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480" yWindow="210" windowWidth="12120" windowHeight="7620" tabRatio="895" firstSheet="8"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state="hidden" r:id="rId22"/>
    <sheet name="比较法-办公" sheetId="34"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concurrentCalc="0"/>
</workbook>
</file>

<file path=xl/calcChain.xml><?xml version="1.0" encoding="utf-8"?>
<calcChain xmlns="http://schemas.openxmlformats.org/spreadsheetml/2006/main">
  <c r="V1557" i="77"/>
  <c r="S1557"/>
  <c r="I48" i="34"/>
  <c r="G48"/>
  <c r="E48"/>
  <c r="I7"/>
  <c r="G7"/>
  <c r="E7"/>
  <c r="H41" i="77" l="1"/>
  <c r="H1557"/>
  <c r="M9"/>
  <c r="H6"/>
  <c r="H7"/>
  <c r="H8"/>
  <c r="H9"/>
  <c r="H10"/>
  <c r="H11"/>
  <c r="H12"/>
  <c r="H13"/>
  <c r="H14"/>
  <c r="H15"/>
  <c r="H16"/>
  <c r="H17"/>
  <c r="H18"/>
  <c r="H19"/>
  <c r="H20"/>
  <c r="H21"/>
  <c r="H22"/>
  <c r="H23"/>
  <c r="H24"/>
  <c r="H25"/>
  <c r="H26"/>
  <c r="H27"/>
  <c r="H28"/>
  <c r="H29"/>
  <c r="H30"/>
  <c r="H31"/>
  <c r="H32"/>
  <c r="H33"/>
  <c r="H34"/>
  <c r="H35"/>
  <c r="H36"/>
  <c r="H37"/>
  <c r="H38"/>
  <c r="H39"/>
  <c r="H40"/>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H205"/>
  <c r="H206"/>
  <c r="H207"/>
  <c r="H208"/>
  <c r="H209"/>
  <c r="H210"/>
  <c r="H211"/>
  <c r="H212"/>
  <c r="H213"/>
  <c r="H214"/>
  <c r="H215"/>
  <c r="H216"/>
  <c r="H217"/>
  <c r="H218"/>
  <c r="H219"/>
  <c r="H220"/>
  <c r="H221"/>
  <c r="H222"/>
  <c r="H223"/>
  <c r="H224"/>
  <c r="H225"/>
  <c r="H226"/>
  <c r="H227"/>
  <c r="H228"/>
  <c r="H229"/>
  <c r="H230"/>
  <c r="H231"/>
  <c r="H232"/>
  <c r="H233"/>
  <c r="H234"/>
  <c r="H235"/>
  <c r="H236"/>
  <c r="H237"/>
  <c r="H238"/>
  <c r="H239"/>
  <c r="H240"/>
  <c r="H241"/>
  <c r="H242"/>
  <c r="H243"/>
  <c r="H244"/>
  <c r="H245"/>
  <c r="H246"/>
  <c r="H247"/>
  <c r="H248"/>
  <c r="H249"/>
  <c r="H250"/>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380"/>
  <c r="H381"/>
  <c r="H382"/>
  <c r="H383"/>
  <c r="H384"/>
  <c r="H385"/>
  <c r="H386"/>
  <c r="H387"/>
  <c r="H388"/>
  <c r="H389"/>
  <c r="H390"/>
  <c r="H391"/>
  <c r="H392"/>
  <c r="H393"/>
  <c r="H394"/>
  <c r="H395"/>
  <c r="H396"/>
  <c r="H397"/>
  <c r="H398"/>
  <c r="H399"/>
  <c r="H400"/>
  <c r="H401"/>
  <c r="H402"/>
  <c r="H403"/>
  <c r="H404"/>
  <c r="H405"/>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2"/>
  <c r="H443"/>
  <c r="H444"/>
  <c r="H445"/>
  <c r="H446"/>
  <c r="H447"/>
  <c r="H448"/>
  <c r="H449"/>
  <c r="H450"/>
  <c r="H451"/>
  <c r="H452"/>
  <c r="H453"/>
  <c r="H454"/>
  <c r="H455"/>
  <c r="H456"/>
  <c r="H457"/>
  <c r="H458"/>
  <c r="H459"/>
  <c r="H460"/>
  <c r="H461"/>
  <c r="H462"/>
  <c r="H463"/>
  <c r="H464"/>
  <c r="H465"/>
  <c r="H466"/>
  <c r="H467"/>
  <c r="H468"/>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09"/>
  <c r="H510"/>
  <c r="H511"/>
  <c r="H512"/>
  <c r="H513"/>
  <c r="H514"/>
  <c r="H515"/>
  <c r="H516"/>
  <c r="H517"/>
  <c r="H518"/>
  <c r="H519"/>
  <c r="H520"/>
  <c r="H521"/>
  <c r="H522"/>
  <c r="H523"/>
  <c r="H524"/>
  <c r="H525"/>
  <c r="H526"/>
  <c r="H527"/>
  <c r="H528"/>
  <c r="H529"/>
  <c r="H530"/>
  <c r="H531"/>
  <c r="H532"/>
  <c r="H533"/>
  <c r="H534"/>
  <c r="H535"/>
  <c r="H536"/>
  <c r="H537"/>
  <c r="H538"/>
  <c r="H539"/>
  <c r="H540"/>
  <c r="H541"/>
  <c r="H542"/>
  <c r="H543"/>
  <c r="H544"/>
  <c r="H545"/>
  <c r="H546"/>
  <c r="H547"/>
  <c r="H548"/>
  <c r="H549"/>
  <c r="H550"/>
  <c r="H551"/>
  <c r="H552"/>
  <c r="H553"/>
  <c r="H554"/>
  <c r="H555"/>
  <c r="H556"/>
  <c r="H557"/>
  <c r="H558"/>
  <c r="H559"/>
  <c r="H560"/>
  <c r="H561"/>
  <c r="H562"/>
  <c r="H563"/>
  <c r="H564"/>
  <c r="H565"/>
  <c r="H566"/>
  <c r="H567"/>
  <c r="H568"/>
  <c r="H569"/>
  <c r="H570"/>
  <c r="H571"/>
  <c r="H572"/>
  <c r="H573"/>
  <c r="H574"/>
  <c r="H575"/>
  <c r="H576"/>
  <c r="H577"/>
  <c r="H578"/>
  <c r="H579"/>
  <c r="H580"/>
  <c r="H581"/>
  <c r="H582"/>
  <c r="H583"/>
  <c r="H584"/>
  <c r="H585"/>
  <c r="H586"/>
  <c r="H587"/>
  <c r="H588"/>
  <c r="H589"/>
  <c r="H590"/>
  <c r="H591"/>
  <c r="H592"/>
  <c r="H593"/>
  <c r="H594"/>
  <c r="H595"/>
  <c r="H596"/>
  <c r="H597"/>
  <c r="H598"/>
  <c r="H599"/>
  <c r="H600"/>
  <c r="H601"/>
  <c r="H602"/>
  <c r="H603"/>
  <c r="H604"/>
  <c r="H605"/>
  <c r="H606"/>
  <c r="H607"/>
  <c r="H608"/>
  <c r="H609"/>
  <c r="H610"/>
  <c r="H611"/>
  <c r="H612"/>
  <c r="H613"/>
  <c r="H614"/>
  <c r="H615"/>
  <c r="H616"/>
  <c r="H617"/>
  <c r="H618"/>
  <c r="H619"/>
  <c r="H620"/>
  <c r="H621"/>
  <c r="H622"/>
  <c r="H623"/>
  <c r="H624"/>
  <c r="H625"/>
  <c r="H626"/>
  <c r="H627"/>
  <c r="H628"/>
  <c r="H629"/>
  <c r="H630"/>
  <c r="H631"/>
  <c r="H632"/>
  <c r="H633"/>
  <c r="H634"/>
  <c r="H635"/>
  <c r="H636"/>
  <c r="H637"/>
  <c r="H638"/>
  <c r="H639"/>
  <c r="H640"/>
  <c r="H641"/>
  <c r="H642"/>
  <c r="H643"/>
  <c r="H644"/>
  <c r="H645"/>
  <c r="H646"/>
  <c r="H647"/>
  <c r="H648"/>
  <c r="H649"/>
  <c r="H650"/>
  <c r="H651"/>
  <c r="H652"/>
  <c r="H653"/>
  <c r="H654"/>
  <c r="H655"/>
  <c r="H656"/>
  <c r="H657"/>
  <c r="H658"/>
  <c r="H659"/>
  <c r="H660"/>
  <c r="H661"/>
  <c r="H662"/>
  <c r="H663"/>
  <c r="H664"/>
  <c r="H665"/>
  <c r="H666"/>
  <c r="H667"/>
  <c r="H668"/>
  <c r="H669"/>
  <c r="H670"/>
  <c r="H671"/>
  <c r="H672"/>
  <c r="H673"/>
  <c r="H674"/>
  <c r="H675"/>
  <c r="H676"/>
  <c r="H677"/>
  <c r="H678"/>
  <c r="H679"/>
  <c r="H680"/>
  <c r="H681"/>
  <c r="H682"/>
  <c r="H683"/>
  <c r="H684"/>
  <c r="H685"/>
  <c r="H686"/>
  <c r="H687"/>
  <c r="H688"/>
  <c r="H689"/>
  <c r="H690"/>
  <c r="H691"/>
  <c r="H692"/>
  <c r="H693"/>
  <c r="H694"/>
  <c r="H695"/>
  <c r="H696"/>
  <c r="H697"/>
  <c r="H698"/>
  <c r="H699"/>
  <c r="H700"/>
  <c r="H701"/>
  <c r="H702"/>
  <c r="H703"/>
  <c r="H704"/>
  <c r="H705"/>
  <c r="H706"/>
  <c r="H707"/>
  <c r="H708"/>
  <c r="H709"/>
  <c r="H710"/>
  <c r="H711"/>
  <c r="H712"/>
  <c r="H713"/>
  <c r="H714"/>
  <c r="H715"/>
  <c r="H716"/>
  <c r="H717"/>
  <c r="H718"/>
  <c r="H719"/>
  <c r="H720"/>
  <c r="H721"/>
  <c r="H722"/>
  <c r="H723"/>
  <c r="H724"/>
  <c r="H725"/>
  <c r="H726"/>
  <c r="H727"/>
  <c r="H728"/>
  <c r="H729"/>
  <c r="H730"/>
  <c r="H731"/>
  <c r="H732"/>
  <c r="H733"/>
  <c r="H734"/>
  <c r="H735"/>
  <c r="H736"/>
  <c r="H737"/>
  <c r="H738"/>
  <c r="H739"/>
  <c r="H740"/>
  <c r="H741"/>
  <c r="H742"/>
  <c r="H743"/>
  <c r="H744"/>
  <c r="H745"/>
  <c r="H746"/>
  <c r="H747"/>
  <c r="H748"/>
  <c r="H749"/>
  <c r="H750"/>
  <c r="H751"/>
  <c r="H752"/>
  <c r="H753"/>
  <c r="H754"/>
  <c r="H755"/>
  <c r="H756"/>
  <c r="H757"/>
  <c r="H758"/>
  <c r="H759"/>
  <c r="H760"/>
  <c r="H761"/>
  <c r="H762"/>
  <c r="H763"/>
  <c r="H764"/>
  <c r="H765"/>
  <c r="H766"/>
  <c r="H767"/>
  <c r="H768"/>
  <c r="H769"/>
  <c r="H770"/>
  <c r="H771"/>
  <c r="H772"/>
  <c r="H773"/>
  <c r="H774"/>
  <c r="H775"/>
  <c r="H776"/>
  <c r="H777"/>
  <c r="H778"/>
  <c r="H779"/>
  <c r="H780"/>
  <c r="H781"/>
  <c r="H782"/>
  <c r="H783"/>
  <c r="H784"/>
  <c r="H785"/>
  <c r="H786"/>
  <c r="H787"/>
  <c r="H788"/>
  <c r="H789"/>
  <c r="H790"/>
  <c r="H791"/>
  <c r="H792"/>
  <c r="H793"/>
  <c r="H794"/>
  <c r="H795"/>
  <c r="H796"/>
  <c r="H797"/>
  <c r="H798"/>
  <c r="H799"/>
  <c r="H800"/>
  <c r="H801"/>
  <c r="H802"/>
  <c r="H803"/>
  <c r="H804"/>
  <c r="H805"/>
  <c r="H806"/>
  <c r="H807"/>
  <c r="H808"/>
  <c r="H809"/>
  <c r="H810"/>
  <c r="H811"/>
  <c r="H812"/>
  <c r="H813"/>
  <c r="H814"/>
  <c r="H815"/>
  <c r="H816"/>
  <c r="H817"/>
  <c r="H818"/>
  <c r="H819"/>
  <c r="H820"/>
  <c r="H821"/>
  <c r="H822"/>
  <c r="H823"/>
  <c r="H824"/>
  <c r="H825"/>
  <c r="H826"/>
  <c r="H827"/>
  <c r="H828"/>
  <c r="H829"/>
  <c r="H830"/>
  <c r="H831"/>
  <c r="H832"/>
  <c r="H833"/>
  <c r="H834"/>
  <c r="H835"/>
  <c r="H836"/>
  <c r="H837"/>
  <c r="H838"/>
  <c r="H839"/>
  <c r="H840"/>
  <c r="H841"/>
  <c r="H842"/>
  <c r="H843"/>
  <c r="H844"/>
  <c r="H845"/>
  <c r="H846"/>
  <c r="H847"/>
  <c r="H848"/>
  <c r="H849"/>
  <c r="H850"/>
  <c r="H851"/>
  <c r="H852"/>
  <c r="H853"/>
  <c r="H854"/>
  <c r="H855"/>
  <c r="H856"/>
  <c r="H857"/>
  <c r="H858"/>
  <c r="H859"/>
  <c r="H860"/>
  <c r="H861"/>
  <c r="H862"/>
  <c r="H863"/>
  <c r="H864"/>
  <c r="H865"/>
  <c r="H866"/>
  <c r="H867"/>
  <c r="H868"/>
  <c r="H869"/>
  <c r="H870"/>
  <c r="H871"/>
  <c r="H872"/>
  <c r="H873"/>
  <c r="H874"/>
  <c r="H875"/>
  <c r="H876"/>
  <c r="H877"/>
  <c r="H878"/>
  <c r="H879"/>
  <c r="H880"/>
  <c r="H881"/>
  <c r="H882"/>
  <c r="H883"/>
  <c r="H884"/>
  <c r="H885"/>
  <c r="H886"/>
  <c r="H887"/>
  <c r="H888"/>
  <c r="H889"/>
  <c r="H890"/>
  <c r="H891"/>
  <c r="H892"/>
  <c r="H893"/>
  <c r="H894"/>
  <c r="H895"/>
  <c r="H896"/>
  <c r="H897"/>
  <c r="H898"/>
  <c r="H899"/>
  <c r="H900"/>
  <c r="H901"/>
  <c r="H902"/>
  <c r="H903"/>
  <c r="H904"/>
  <c r="H905"/>
  <c r="H906"/>
  <c r="H907"/>
  <c r="H908"/>
  <c r="H909"/>
  <c r="H910"/>
  <c r="H911"/>
  <c r="H912"/>
  <c r="H913"/>
  <c r="H914"/>
  <c r="H915"/>
  <c r="H916"/>
  <c r="H917"/>
  <c r="H918"/>
  <c r="H919"/>
  <c r="H920"/>
  <c r="H921"/>
  <c r="H922"/>
  <c r="H923"/>
  <c r="H924"/>
  <c r="H925"/>
  <c r="H926"/>
  <c r="H927"/>
  <c r="H928"/>
  <c r="H929"/>
  <c r="H930"/>
  <c r="H931"/>
  <c r="H932"/>
  <c r="H933"/>
  <c r="H934"/>
  <c r="H935"/>
  <c r="H936"/>
  <c r="H937"/>
  <c r="H938"/>
  <c r="H939"/>
  <c r="H940"/>
  <c r="H941"/>
  <c r="H942"/>
  <c r="H943"/>
  <c r="H944"/>
  <c r="H945"/>
  <c r="H946"/>
  <c r="H947"/>
  <c r="H948"/>
  <c r="H949"/>
  <c r="H950"/>
  <c r="H951"/>
  <c r="H952"/>
  <c r="H953"/>
  <c r="H954"/>
  <c r="H955"/>
  <c r="H956"/>
  <c r="H957"/>
  <c r="H958"/>
  <c r="H959"/>
  <c r="H960"/>
  <c r="H961"/>
  <c r="H962"/>
  <c r="H963"/>
  <c r="H964"/>
  <c r="H965"/>
  <c r="H966"/>
  <c r="H967"/>
  <c r="H968"/>
  <c r="H969"/>
  <c r="H970"/>
  <c r="H971"/>
  <c r="H972"/>
  <c r="H973"/>
  <c r="H974"/>
  <c r="H975"/>
  <c r="H976"/>
  <c r="H977"/>
  <c r="H978"/>
  <c r="H979"/>
  <c r="H980"/>
  <c r="H981"/>
  <c r="H982"/>
  <c r="H983"/>
  <c r="H984"/>
  <c r="H985"/>
  <c r="H986"/>
  <c r="H987"/>
  <c r="H988"/>
  <c r="H989"/>
  <c r="H990"/>
  <c r="H991"/>
  <c r="H992"/>
  <c r="H993"/>
  <c r="H994"/>
  <c r="H995"/>
  <c r="H996"/>
  <c r="H997"/>
  <c r="H998"/>
  <c r="H999"/>
  <c r="H1000"/>
  <c r="H1001"/>
  <c r="H1002"/>
  <c r="H1003"/>
  <c r="H1004"/>
  <c r="H1005"/>
  <c r="H1006"/>
  <c r="H1007"/>
  <c r="H1008"/>
  <c r="H1009"/>
  <c r="H1010"/>
  <c r="H1011"/>
  <c r="H1012"/>
  <c r="H1013"/>
  <c r="H1014"/>
  <c r="H1015"/>
  <c r="H1016"/>
  <c r="H1017"/>
  <c r="H1018"/>
  <c r="H1019"/>
  <c r="H1020"/>
  <c r="H1021"/>
  <c r="H1022"/>
  <c r="H1023"/>
  <c r="H1024"/>
  <c r="H1025"/>
  <c r="H1026"/>
  <c r="H1027"/>
  <c r="H1028"/>
  <c r="H1029"/>
  <c r="H1030"/>
  <c r="H1031"/>
  <c r="H1032"/>
  <c r="H1033"/>
  <c r="H1034"/>
  <c r="H1035"/>
  <c r="H1036"/>
  <c r="H1037"/>
  <c r="H1038"/>
  <c r="H1039"/>
  <c r="H1040"/>
  <c r="H1041"/>
  <c r="H1042"/>
  <c r="H1043"/>
  <c r="H1044"/>
  <c r="H1045"/>
  <c r="H1046"/>
  <c r="H1047"/>
  <c r="H1048"/>
  <c r="H1049"/>
  <c r="H1050"/>
  <c r="H1051"/>
  <c r="H1052"/>
  <c r="H1053"/>
  <c r="H1054"/>
  <c r="H1055"/>
  <c r="H1056"/>
  <c r="H1057"/>
  <c r="H1058"/>
  <c r="H1059"/>
  <c r="H1060"/>
  <c r="H1061"/>
  <c r="H1062"/>
  <c r="H1063"/>
  <c r="H1064"/>
  <c r="H1065"/>
  <c r="H1066"/>
  <c r="H1067"/>
  <c r="H1068"/>
  <c r="H1069"/>
  <c r="H1070"/>
  <c r="H1071"/>
  <c r="H1072"/>
  <c r="H1073"/>
  <c r="H1074"/>
  <c r="H1075"/>
  <c r="H1076"/>
  <c r="H1077"/>
  <c r="H1078"/>
  <c r="H1079"/>
  <c r="H1080"/>
  <c r="H1081"/>
  <c r="H1082"/>
  <c r="H1083"/>
  <c r="H1084"/>
  <c r="H1085"/>
  <c r="H1086"/>
  <c r="H1087"/>
  <c r="H1088"/>
  <c r="H1089"/>
  <c r="H1090"/>
  <c r="H1091"/>
  <c r="H1092"/>
  <c r="H1093"/>
  <c r="H1094"/>
  <c r="H1095"/>
  <c r="H1096"/>
  <c r="H1097"/>
  <c r="H1098"/>
  <c r="H1099"/>
  <c r="H1100"/>
  <c r="H1101"/>
  <c r="H1102"/>
  <c r="H1103"/>
  <c r="H1104"/>
  <c r="H1105"/>
  <c r="H1106"/>
  <c r="H1107"/>
  <c r="H1108"/>
  <c r="H1109"/>
  <c r="H1110"/>
  <c r="H1111"/>
  <c r="H1112"/>
  <c r="H1113"/>
  <c r="H1114"/>
  <c r="H1115"/>
  <c r="H1116"/>
  <c r="H1117"/>
  <c r="H1118"/>
  <c r="H1119"/>
  <c r="H1120"/>
  <c r="H1121"/>
  <c r="H1122"/>
  <c r="H1123"/>
  <c r="H1124"/>
  <c r="H1125"/>
  <c r="H1126"/>
  <c r="H1127"/>
  <c r="H1128"/>
  <c r="H1129"/>
  <c r="H1130"/>
  <c r="H1131"/>
  <c r="H1132"/>
  <c r="H1133"/>
  <c r="H1134"/>
  <c r="H1135"/>
  <c r="H1136"/>
  <c r="H1137"/>
  <c r="H1138"/>
  <c r="H1139"/>
  <c r="H1140"/>
  <c r="H1141"/>
  <c r="H1142"/>
  <c r="H1143"/>
  <c r="H1144"/>
  <c r="H1145"/>
  <c r="H1146"/>
  <c r="H1147"/>
  <c r="H1148"/>
  <c r="H1149"/>
  <c r="H1150"/>
  <c r="H1151"/>
  <c r="H1152"/>
  <c r="H1153"/>
  <c r="H1154"/>
  <c r="H1155"/>
  <c r="H1156"/>
  <c r="H1157"/>
  <c r="H1158"/>
  <c r="H1159"/>
  <c r="H1160"/>
  <c r="H1161"/>
  <c r="H1162"/>
  <c r="H1163"/>
  <c r="H1164"/>
  <c r="H1165"/>
  <c r="H1166"/>
  <c r="H1167"/>
  <c r="H1168"/>
  <c r="H1169"/>
  <c r="H1170"/>
  <c r="H1171"/>
  <c r="H1172"/>
  <c r="H1173"/>
  <c r="H1174"/>
  <c r="H1175"/>
  <c r="H1176"/>
  <c r="H1177"/>
  <c r="H1178"/>
  <c r="H1179"/>
  <c r="H1180"/>
  <c r="H1181"/>
  <c r="H1182"/>
  <c r="H1183"/>
  <c r="H1184"/>
  <c r="H1185"/>
  <c r="H1186"/>
  <c r="H1187"/>
  <c r="H1188"/>
  <c r="H1189"/>
  <c r="H1190"/>
  <c r="H1191"/>
  <c r="H1192"/>
  <c r="H1193"/>
  <c r="H1194"/>
  <c r="H1195"/>
  <c r="H1196"/>
  <c r="H1197"/>
  <c r="H1198"/>
  <c r="H1199"/>
  <c r="H1200"/>
  <c r="H1201"/>
  <c r="H1202"/>
  <c r="H1203"/>
  <c r="H1204"/>
  <c r="H1205"/>
  <c r="H1206"/>
  <c r="H1207"/>
  <c r="H1208"/>
  <c r="H1209"/>
  <c r="H1210"/>
  <c r="H1211"/>
  <c r="H1212"/>
  <c r="H1213"/>
  <c r="H1214"/>
  <c r="H1215"/>
  <c r="H1216"/>
  <c r="H1217"/>
  <c r="H1218"/>
  <c r="H1219"/>
  <c r="H1220"/>
  <c r="H1221"/>
  <c r="H1222"/>
  <c r="H1223"/>
  <c r="H1224"/>
  <c r="H1225"/>
  <c r="H1226"/>
  <c r="H1227"/>
  <c r="H1228"/>
  <c r="H1229"/>
  <c r="H1230"/>
  <c r="H1231"/>
  <c r="H1232"/>
  <c r="H1233"/>
  <c r="H1234"/>
  <c r="H1235"/>
  <c r="H1236"/>
  <c r="H1237"/>
  <c r="H1238"/>
  <c r="H1239"/>
  <c r="H1240"/>
  <c r="H1241"/>
  <c r="H1242"/>
  <c r="H1243"/>
  <c r="H1244"/>
  <c r="H1245"/>
  <c r="H1246"/>
  <c r="H1247"/>
  <c r="H1248"/>
  <c r="H1249"/>
  <c r="H1250"/>
  <c r="H1251"/>
  <c r="H1252"/>
  <c r="H1253"/>
  <c r="H1254"/>
  <c r="H1255"/>
  <c r="H1256"/>
  <c r="H1257"/>
  <c r="H1258"/>
  <c r="H1259"/>
  <c r="H1260"/>
  <c r="H1261"/>
  <c r="H1262"/>
  <c r="H1263"/>
  <c r="H1264"/>
  <c r="H1265"/>
  <c r="H1266"/>
  <c r="H1267"/>
  <c r="H1268"/>
  <c r="H1269"/>
  <c r="H1270"/>
  <c r="H1271"/>
  <c r="H1272"/>
  <c r="H1273"/>
  <c r="H1274"/>
  <c r="H1275"/>
  <c r="H1276"/>
  <c r="H1277"/>
  <c r="H1278"/>
  <c r="H1279"/>
  <c r="H1280"/>
  <c r="H1281"/>
  <c r="H1282"/>
  <c r="H1283"/>
  <c r="H1284"/>
  <c r="H1285"/>
  <c r="H1286"/>
  <c r="H1287"/>
  <c r="H1288"/>
  <c r="H1289"/>
  <c r="H1290"/>
  <c r="H1291"/>
  <c r="H1292"/>
  <c r="H1293"/>
  <c r="H1294"/>
  <c r="H1295"/>
  <c r="H1296"/>
  <c r="H1297"/>
  <c r="H1298"/>
  <c r="H1299"/>
  <c r="H1300"/>
  <c r="H1301"/>
  <c r="H1302"/>
  <c r="H1303"/>
  <c r="H1304"/>
  <c r="H1305"/>
  <c r="H1306"/>
  <c r="H1307"/>
  <c r="H1308"/>
  <c r="H1309"/>
  <c r="H1310"/>
  <c r="H1311"/>
  <c r="H1312"/>
  <c r="H1313"/>
  <c r="H1314"/>
  <c r="H1315"/>
  <c r="H1316"/>
  <c r="H1317"/>
  <c r="H1318"/>
  <c r="H1319"/>
  <c r="H1320"/>
  <c r="H1321"/>
  <c r="H1322"/>
  <c r="H1323"/>
  <c r="H1324"/>
  <c r="H1325"/>
  <c r="H1326"/>
  <c r="H1327"/>
  <c r="H1328"/>
  <c r="H1329"/>
  <c r="H1330"/>
  <c r="H1331"/>
  <c r="H1332"/>
  <c r="H1333"/>
  <c r="H1334"/>
  <c r="H1335"/>
  <c r="H1336"/>
  <c r="H1337"/>
  <c r="H1338"/>
  <c r="H1339"/>
  <c r="H1340"/>
  <c r="H1341"/>
  <c r="H1342"/>
  <c r="H1343"/>
  <c r="H1344"/>
  <c r="H1345"/>
  <c r="H1346"/>
  <c r="H1347"/>
  <c r="H1348"/>
  <c r="H1349"/>
  <c r="H1350"/>
  <c r="H1351"/>
  <c r="H1352"/>
  <c r="H1353"/>
  <c r="H1354"/>
  <c r="H1355"/>
  <c r="H1356"/>
  <c r="H1357"/>
  <c r="H1358"/>
  <c r="H1359"/>
  <c r="H1360"/>
  <c r="H1361"/>
  <c r="H1362"/>
  <c r="H1363"/>
  <c r="H1364"/>
  <c r="H1365"/>
  <c r="H1366"/>
  <c r="H1367"/>
  <c r="H1368"/>
  <c r="H1369"/>
  <c r="H1370"/>
  <c r="H1371"/>
  <c r="H1372"/>
  <c r="H1373"/>
  <c r="H1374"/>
  <c r="H1375"/>
  <c r="H1376"/>
  <c r="H1377"/>
  <c r="H1378"/>
  <c r="H1379"/>
  <c r="H1380"/>
  <c r="H1381"/>
  <c r="H1382"/>
  <c r="H1383"/>
  <c r="H1384"/>
  <c r="H1385"/>
  <c r="H1386"/>
  <c r="H1387"/>
  <c r="H1388"/>
  <c r="H1389"/>
  <c r="H1390"/>
  <c r="H1391"/>
  <c r="H1392"/>
  <c r="H1393"/>
  <c r="H1394"/>
  <c r="H1395"/>
  <c r="H1396"/>
  <c r="H1397"/>
  <c r="H1398"/>
  <c r="H1399"/>
  <c r="H1400"/>
  <c r="H1401"/>
  <c r="H1402"/>
  <c r="H1403"/>
  <c r="H1404"/>
  <c r="H1405"/>
  <c r="H1406"/>
  <c r="H1407"/>
  <c r="H1408"/>
  <c r="H1409"/>
  <c r="H1410"/>
  <c r="H1411"/>
  <c r="H1412"/>
  <c r="H1413"/>
  <c r="H1414"/>
  <c r="H1415"/>
  <c r="H1416"/>
  <c r="H1417"/>
  <c r="H1418"/>
  <c r="H1419"/>
  <c r="H1420"/>
  <c r="H1421"/>
  <c r="H1422"/>
  <c r="H1423"/>
  <c r="H1424"/>
  <c r="H1425"/>
  <c r="H1426"/>
  <c r="H1427"/>
  <c r="H1428"/>
  <c r="H1429"/>
  <c r="H1430"/>
  <c r="H1431"/>
  <c r="H1432"/>
  <c r="H1433"/>
  <c r="H1434"/>
  <c r="H1435"/>
  <c r="H1436"/>
  <c r="H1437"/>
  <c r="H1438"/>
  <c r="H1439"/>
  <c r="H1440"/>
  <c r="H1441"/>
  <c r="H1442"/>
  <c r="H1443"/>
  <c r="H1444"/>
  <c r="H1445"/>
  <c r="H1446"/>
  <c r="H1447"/>
  <c r="H1448"/>
  <c r="H1449"/>
  <c r="H1450"/>
  <c r="H1451"/>
  <c r="H1452"/>
  <c r="H1453"/>
  <c r="H1454"/>
  <c r="H1455"/>
  <c r="H1456"/>
  <c r="H1457"/>
  <c r="H1458"/>
  <c r="H1459"/>
  <c r="H1460"/>
  <c r="H1461"/>
  <c r="H1462"/>
  <c r="H1463"/>
  <c r="H1464"/>
  <c r="H1465"/>
  <c r="H1466"/>
  <c r="H1467"/>
  <c r="H1468"/>
  <c r="H1469"/>
  <c r="H1470"/>
  <c r="H1471"/>
  <c r="H1472"/>
  <c r="H1473"/>
  <c r="H1474"/>
  <c r="H1475"/>
  <c r="H1476"/>
  <c r="H1477"/>
  <c r="H1478"/>
  <c r="H1479"/>
  <c r="H1480"/>
  <c r="H1481"/>
  <c r="H1482"/>
  <c r="H1483"/>
  <c r="H1484"/>
  <c r="H1485"/>
  <c r="H1486"/>
  <c r="H1487"/>
  <c r="H1488"/>
  <c r="H1489"/>
  <c r="H1490"/>
  <c r="H1491"/>
  <c r="H1492"/>
  <c r="H1493"/>
  <c r="H1494"/>
  <c r="H1495"/>
  <c r="H1496"/>
  <c r="H1497"/>
  <c r="H1498"/>
  <c r="H1499"/>
  <c r="H1500"/>
  <c r="H1501"/>
  <c r="H1502"/>
  <c r="H1503"/>
  <c r="H1504"/>
  <c r="H1505"/>
  <c r="H1506"/>
  <c r="H1507"/>
  <c r="H1508"/>
  <c r="H1509"/>
  <c r="H1510"/>
  <c r="H1511"/>
  <c r="H1512"/>
  <c r="H1513"/>
  <c r="H1514"/>
  <c r="H1515"/>
  <c r="H1516"/>
  <c r="H1517"/>
  <c r="H1518"/>
  <c r="H1519"/>
  <c r="H1520"/>
  <c r="H1521"/>
  <c r="H1522"/>
  <c r="H1523"/>
  <c r="H1524"/>
  <c r="H1525"/>
  <c r="H1526"/>
  <c r="H1527"/>
  <c r="H1528"/>
  <c r="H1529"/>
  <c r="H1530"/>
  <c r="H1531"/>
  <c r="H1532"/>
  <c r="H1533"/>
  <c r="H1534"/>
  <c r="H1535"/>
  <c r="H1536"/>
  <c r="H1537"/>
  <c r="H1538"/>
  <c r="H1539"/>
  <c r="H1540"/>
  <c r="H1541"/>
  <c r="H1542"/>
  <c r="H1543"/>
  <c r="H1544"/>
  <c r="H1545"/>
  <c r="H1546"/>
  <c r="H1547"/>
  <c r="H1548"/>
  <c r="H1549"/>
  <c r="H1550"/>
  <c r="H1551"/>
  <c r="H1552"/>
  <c r="H1553"/>
  <c r="H1554"/>
  <c r="H1555"/>
  <c r="H1556"/>
  <c r="H5"/>
  <c r="C15" i="74"/>
  <c r="B15"/>
  <c r="I13" i="3"/>
  <c r="H13"/>
  <c r="G13"/>
  <c r="K14"/>
  <c r="H14"/>
  <c r="G14"/>
  <c r="G5"/>
  <c r="B3"/>
  <c r="BB13"/>
  <c r="BA13"/>
  <c r="AZ13"/>
  <c r="BC14"/>
  <c r="BA14"/>
  <c r="AZ14"/>
  <c r="AZ5"/>
  <c r="E3" i="6"/>
  <c r="B14" i="74"/>
  <c r="G1557" i="77"/>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N7"/>
  <c r="M7"/>
  <c r="E7"/>
  <c r="E6"/>
  <c r="C1" i="73"/>
  <c r="L1"/>
  <c r="F7"/>
  <c r="J1"/>
  <c r="D7"/>
  <c r="F6"/>
  <c r="D6"/>
  <c r="F5"/>
  <c r="D5"/>
  <c r="F4"/>
  <c r="D4"/>
  <c r="F3"/>
  <c r="D3"/>
  <c r="E1"/>
  <c r="K1"/>
  <c r="I1"/>
  <c r="G1" s="1"/>
  <c r="G1" s="1"/>
  <c r="B40" i="1"/>
  <c r="F22" i="11"/>
  <c r="F34"/>
  <c r="A6" i="1"/>
  <c r="F19" i="6"/>
  <c r="E19"/>
  <c r="K6" i="1"/>
  <c r="M6"/>
  <c r="A7"/>
  <c r="K7"/>
  <c r="M7"/>
  <c r="A8"/>
  <c r="K8"/>
  <c r="M8"/>
  <c r="A9"/>
  <c r="K9"/>
  <c r="M9"/>
  <c r="A10"/>
  <c r="K10"/>
  <c r="M10"/>
  <c r="A11"/>
  <c r="K11"/>
  <c r="M11"/>
  <c r="A12"/>
  <c r="K12"/>
  <c r="M12"/>
  <c r="A13"/>
  <c r="K13"/>
  <c r="M13"/>
  <c r="F28" i="6"/>
  <c r="G28"/>
  <c r="E28"/>
  <c r="K14" i="1"/>
  <c r="M14"/>
  <c r="M16"/>
  <c r="B2"/>
  <c r="C42"/>
  <c r="C34" i="11"/>
  <c r="F35"/>
  <c r="C35"/>
  <c r="C36"/>
  <c r="E37"/>
  <c r="D37"/>
  <c r="C37"/>
  <c r="F38"/>
  <c r="C38"/>
  <c r="C33"/>
  <c r="C42"/>
  <c r="F20"/>
  <c r="C39"/>
  <c r="C43"/>
  <c r="C41"/>
  <c r="F21"/>
  <c r="C40"/>
  <c r="C44"/>
  <c r="D41"/>
  <c r="Q16" i="1"/>
  <c r="F27" i="11"/>
  <c r="C46"/>
  <c r="C45"/>
  <c r="C47"/>
  <c r="D45"/>
  <c r="F30"/>
  <c r="C48"/>
  <c r="C49"/>
  <c r="C51"/>
  <c r="F7"/>
  <c r="C7"/>
  <c r="C8"/>
  <c r="C5"/>
  <c r="C23"/>
  <c r="D19"/>
  <c r="E19"/>
  <c r="C19"/>
  <c r="C24"/>
  <c r="C20"/>
  <c r="C25"/>
  <c r="C22"/>
  <c r="C26"/>
  <c r="D22"/>
  <c r="C28"/>
  <c r="C27"/>
  <c r="C21"/>
  <c r="C29"/>
  <c r="D27"/>
  <c r="C30"/>
  <c r="C31"/>
  <c r="C52"/>
  <c r="C56"/>
  <c r="C57"/>
  <c r="N16" i="1"/>
  <c r="F50" i="11"/>
  <c r="G41"/>
  <c r="F36"/>
  <c r="G22"/>
  <c r="E10"/>
  <c r="E5" i="6"/>
  <c r="E6"/>
  <c r="D10" i="11"/>
  <c r="C10"/>
  <c r="E9"/>
  <c r="D9"/>
  <c r="C9"/>
  <c r="B2"/>
  <c r="B3"/>
  <c r="R1577" i="31"/>
  <c r="S1577"/>
  <c r="Q1577"/>
  <c r="O1577"/>
  <c r="M1577"/>
  <c r="K1577"/>
  <c r="I1577"/>
  <c r="G1577"/>
  <c r="E1577"/>
  <c r="C1577"/>
  <c r="A1577"/>
  <c r="R1576"/>
  <c r="S1576"/>
  <c r="Q1576"/>
  <c r="O1576"/>
  <c r="M1576"/>
  <c r="K1576"/>
  <c r="I1576"/>
  <c r="G1576"/>
  <c r="E1576"/>
  <c r="C1576"/>
  <c r="A1576"/>
  <c r="F6" i="15"/>
  <c r="F8"/>
  <c r="F7"/>
  <c r="F9"/>
  <c r="C6"/>
  <c r="B39" i="1"/>
  <c r="F11" i="15"/>
  <c r="C10"/>
  <c r="C5"/>
  <c r="F32"/>
  <c r="C32"/>
  <c r="C14"/>
  <c r="C15"/>
  <c r="G1"/>
  <c r="F16"/>
  <c r="C16"/>
  <c r="F43"/>
  <c r="C17"/>
  <c r="C18"/>
  <c r="C19"/>
  <c r="C20"/>
  <c r="F24"/>
  <c r="F23"/>
  <c r="C23"/>
  <c r="F26"/>
  <c r="C26"/>
  <c r="F21"/>
  <c r="C24"/>
  <c r="C27"/>
  <c r="F28"/>
  <c r="C28"/>
  <c r="C29"/>
  <c r="F33"/>
  <c r="C33"/>
  <c r="A3" i="3"/>
  <c r="AY6"/>
  <c r="D3" i="6"/>
  <c r="D19"/>
  <c r="BA5" i="3"/>
  <c r="E27" i="6"/>
  <c r="K19"/>
  <c r="L19"/>
  <c r="M19"/>
  <c r="I19"/>
  <c r="H19"/>
  <c r="R19"/>
  <c r="R6" i="1"/>
  <c r="F35" i="15"/>
  <c r="F34"/>
  <c r="C34"/>
  <c r="C31"/>
  <c r="F36"/>
  <c r="C36"/>
  <c r="F13"/>
  <c r="C13"/>
  <c r="F37"/>
  <c r="C37"/>
  <c r="F38"/>
  <c r="C38"/>
  <c r="C30"/>
  <c r="C39"/>
  <c r="F42"/>
  <c r="F40"/>
  <c r="L48"/>
  <c r="J51"/>
  <c r="J53"/>
  <c r="F1"/>
  <c r="AE6" i="1"/>
  <c r="F41" i="15"/>
  <c r="C40"/>
  <c r="M6"/>
  <c r="M8"/>
  <c r="M7"/>
  <c r="M9"/>
  <c r="J6"/>
  <c r="M11"/>
  <c r="J10"/>
  <c r="J5"/>
  <c r="J26"/>
  <c r="J29"/>
  <c r="J60"/>
  <c r="L46"/>
  <c r="B2"/>
  <c r="B3" l="1"/>
  <c r="F6" i="67"/>
  <c r="F8"/>
  <c r="F7"/>
  <c r="F9"/>
  <c r="C6"/>
  <c r="F11"/>
  <c r="C10"/>
  <c r="C5"/>
  <c r="C32"/>
  <c r="F43"/>
  <c r="C14"/>
  <c r="C15"/>
  <c r="F16"/>
  <c r="C16"/>
  <c r="C17"/>
  <c r="C18"/>
  <c r="C19"/>
  <c r="C20"/>
  <c r="F24"/>
  <c r="C23"/>
  <c r="F26"/>
  <c r="C26"/>
  <c r="C24"/>
  <c r="C27"/>
  <c r="C29"/>
  <c r="C33"/>
  <c r="F35"/>
  <c r="C34"/>
  <c r="C31"/>
  <c r="F36"/>
  <c r="C36"/>
  <c r="F13"/>
  <c r="C13"/>
  <c r="F37"/>
  <c r="C37"/>
  <c r="F38"/>
  <c r="C38"/>
  <c r="C30"/>
  <c r="C39"/>
  <c r="F42"/>
  <c r="F40"/>
  <c r="F41"/>
  <c r="C40"/>
  <c r="M6"/>
  <c r="M8"/>
  <c r="M7"/>
  <c r="M9"/>
  <c r="J6"/>
  <c r="M11"/>
  <c r="J10"/>
  <c r="J5"/>
  <c r="J26"/>
  <c r="J29"/>
  <c r="L48"/>
  <c r="J60"/>
  <c r="L46"/>
  <c r="D2"/>
  <c r="B3"/>
  <c r="C20" i="9"/>
  <c r="C7" i="33"/>
  <c r="E7"/>
  <c r="C58"/>
  <c r="D58"/>
  <c r="E58"/>
  <c r="F58"/>
  <c r="G58"/>
  <c r="H58"/>
  <c r="I58"/>
  <c r="J58"/>
  <c r="K58"/>
  <c r="L58"/>
  <c r="M58"/>
  <c r="N58"/>
  <c r="O58"/>
  <c r="F7"/>
  <c r="AA7"/>
  <c r="C36"/>
  <c r="F36"/>
  <c r="AA36"/>
  <c r="B92"/>
  <c r="F28"/>
  <c r="AA28"/>
  <c r="D87"/>
  <c r="E87"/>
  <c r="F25"/>
  <c r="AA25"/>
  <c r="F33"/>
  <c r="AA33"/>
  <c r="F35"/>
  <c r="AA35"/>
  <c r="R48"/>
  <c r="G7"/>
  <c r="H7"/>
  <c r="AB7"/>
  <c r="H36"/>
  <c r="AB36"/>
  <c r="H28"/>
  <c r="AB28"/>
  <c r="H25"/>
  <c r="AB25"/>
  <c r="H33"/>
  <c r="AB33"/>
  <c r="H35"/>
  <c r="AB35"/>
  <c r="T48"/>
  <c r="I7"/>
  <c r="J7"/>
  <c r="AC7"/>
  <c r="J36"/>
  <c r="AC36"/>
  <c r="J28"/>
  <c r="AC28"/>
  <c r="J25"/>
  <c r="AC25"/>
  <c r="J33"/>
  <c r="AC33"/>
  <c r="J35"/>
  <c r="AC35"/>
  <c r="J11"/>
  <c r="AC11"/>
  <c r="V48"/>
  <c r="R49"/>
  <c r="C49"/>
  <c r="B3"/>
  <c r="D20" i="9"/>
  <c r="C17"/>
  <c r="D17"/>
  <c r="C18"/>
  <c r="D18"/>
  <c r="G20"/>
  <c r="R24" i="31"/>
  <c r="R1575"/>
  <c r="S1575"/>
  <c r="Q1575"/>
  <c r="O1575"/>
  <c r="M1575"/>
  <c r="K1575"/>
  <c r="I1575"/>
  <c r="G1575"/>
  <c r="E1575"/>
  <c r="B1575"/>
  <c r="B24"/>
  <c r="C1575"/>
  <c r="A1575"/>
  <c r="R1574"/>
  <c r="S1574"/>
  <c r="Q1574"/>
  <c r="O1574"/>
  <c r="M1574"/>
  <c r="K1574"/>
  <c r="I1574"/>
  <c r="G1574"/>
  <c r="E1574"/>
  <c r="B1574"/>
  <c r="C1574"/>
  <c r="A1574"/>
  <c r="R1573"/>
  <c r="S1573"/>
  <c r="Q1573"/>
  <c r="O1573"/>
  <c r="M1573"/>
  <c r="K1573"/>
  <c r="I1573"/>
  <c r="G1573"/>
  <c r="E1573"/>
  <c r="B1573"/>
  <c r="C1573"/>
  <c r="A1573"/>
  <c r="R1572"/>
  <c r="S1572"/>
  <c r="Q1572"/>
  <c r="O1572"/>
  <c r="M1572"/>
  <c r="K1572"/>
  <c r="I1572"/>
  <c r="G1572"/>
  <c r="E1572"/>
  <c r="B1572"/>
  <c r="C1572"/>
  <c r="A1572"/>
  <c r="R1571"/>
  <c r="S1571"/>
  <c r="Q1571"/>
  <c r="O1571"/>
  <c r="M1571"/>
  <c r="K1571"/>
  <c r="I1571"/>
  <c r="G1571"/>
  <c r="E1571"/>
  <c r="B1571"/>
  <c r="C1571"/>
  <c r="A1571"/>
  <c r="R1570"/>
  <c r="S1570"/>
  <c r="Q1570"/>
  <c r="O1570"/>
  <c r="M1570"/>
  <c r="K1570"/>
  <c r="I1570"/>
  <c r="G1570"/>
  <c r="E1570"/>
  <c r="B1570"/>
  <c r="C1570"/>
  <c r="A1570"/>
  <c r="R1569"/>
  <c r="S1569"/>
  <c r="Q1569"/>
  <c r="O1569"/>
  <c r="M1569"/>
  <c r="K1569"/>
  <c r="I1569"/>
  <c r="G1569"/>
  <c r="E1569"/>
  <c r="B1569"/>
  <c r="C1569"/>
  <c r="A1569"/>
  <c r="R1568"/>
  <c r="S1568"/>
  <c r="Q1568"/>
  <c r="O1568"/>
  <c r="M1568"/>
  <c r="K1568"/>
  <c r="I1568"/>
  <c r="G1568"/>
  <c r="E1568"/>
  <c r="B1568"/>
  <c r="C1568"/>
  <c r="A1568"/>
  <c r="R1567"/>
  <c r="S1567"/>
  <c r="Q1567"/>
  <c r="O1567"/>
  <c r="M1567"/>
  <c r="K1567"/>
  <c r="I1567"/>
  <c r="G1567"/>
  <c r="E1567"/>
  <c r="B1567"/>
  <c r="C1567"/>
  <c r="A1567"/>
  <c r="R1566"/>
  <c r="S1566"/>
  <c r="Q1566"/>
  <c r="O1566"/>
  <c r="M1566"/>
  <c r="K1566"/>
  <c r="I1566"/>
  <c r="G1566"/>
  <c r="E1566"/>
  <c r="B1566"/>
  <c r="C1566"/>
  <c r="A1566"/>
  <c r="R1565"/>
  <c r="S1565"/>
  <c r="Q1565"/>
  <c r="O1565"/>
  <c r="M1565"/>
  <c r="K1565"/>
  <c r="I1565"/>
  <c r="G1565"/>
  <c r="E1565"/>
  <c r="B1565"/>
  <c r="C1565"/>
  <c r="A1565"/>
  <c r="R1564"/>
  <c r="S1564"/>
  <c r="Q1564"/>
  <c r="O1564"/>
  <c r="M1564"/>
  <c r="K1564"/>
  <c r="I1564"/>
  <c r="G1564"/>
  <c r="E1564"/>
  <c r="B1564"/>
  <c r="C1564"/>
  <c r="A1564"/>
  <c r="R1563"/>
  <c r="S1563"/>
  <c r="Q1563"/>
  <c r="O1563"/>
  <c r="M1563"/>
  <c r="K1563"/>
  <c r="I1563"/>
  <c r="G1563"/>
  <c r="E1563"/>
  <c r="B1563"/>
  <c r="C1563"/>
  <c r="A1563"/>
  <c r="R1562"/>
  <c r="S1562"/>
  <c r="Q1562"/>
  <c r="O1562"/>
  <c r="M1562"/>
  <c r="K1562"/>
  <c r="I1562"/>
  <c r="G1562"/>
  <c r="E1562"/>
  <c r="B1562"/>
  <c r="C1562"/>
  <c r="A1562"/>
  <c r="R1561"/>
  <c r="S1561"/>
  <c r="Q1561"/>
  <c r="O1561"/>
  <c r="M1561"/>
  <c r="K1561"/>
  <c r="I1561"/>
  <c r="G1561"/>
  <c r="E1561"/>
  <c r="B1561"/>
  <c r="C1561"/>
  <c r="A1561"/>
  <c r="R1560"/>
  <c r="S1560"/>
  <c r="Q1560"/>
  <c r="O1560"/>
  <c r="M1560"/>
  <c r="K1560"/>
  <c r="I1560"/>
  <c r="G1560"/>
  <c r="E1560"/>
  <c r="B1560"/>
  <c r="C1560"/>
  <c r="A1560"/>
  <c r="R1559"/>
  <c r="S1559"/>
  <c r="Q1559"/>
  <c r="O1559"/>
  <c r="M1559"/>
  <c r="K1559"/>
  <c r="I1559"/>
  <c r="G1559"/>
  <c r="E1559"/>
  <c r="B1559"/>
  <c r="C1559"/>
  <c r="A1559"/>
  <c r="R1558"/>
  <c r="S1558"/>
  <c r="Q1558"/>
  <c r="O1558"/>
  <c r="M1558"/>
  <c r="K1558"/>
  <c r="I1558"/>
  <c r="G1558"/>
  <c r="E1558"/>
  <c r="B1558"/>
  <c r="C1558"/>
  <c r="A1558"/>
  <c r="R1557"/>
  <c r="S1557"/>
  <c r="Q1557"/>
  <c r="O1557"/>
  <c r="M1557"/>
  <c r="K1557"/>
  <c r="I1557"/>
  <c r="G1557"/>
  <c r="E1557"/>
  <c r="B1557"/>
  <c r="C1557"/>
  <c r="A1557"/>
  <c r="R1556"/>
  <c r="S1556"/>
  <c r="Q1556"/>
  <c r="O1556"/>
  <c r="M1556"/>
  <c r="K1556"/>
  <c r="I1556"/>
  <c r="G1556"/>
  <c r="E1556"/>
  <c r="B1556"/>
  <c r="C1556"/>
  <c r="A1556"/>
  <c r="R1555"/>
  <c r="S1555"/>
  <c r="Q1555"/>
  <c r="O1555"/>
  <c r="M1555"/>
  <c r="K1555"/>
  <c r="I1555"/>
  <c r="G1555"/>
  <c r="E1555"/>
  <c r="B1555"/>
  <c r="C1555"/>
  <c r="A1555"/>
  <c r="R1554"/>
  <c r="S1554"/>
  <c r="Q1554"/>
  <c r="O1554"/>
  <c r="M1554"/>
  <c r="K1554"/>
  <c r="I1554"/>
  <c r="G1554"/>
  <c r="E1554"/>
  <c r="B1554"/>
  <c r="C1554"/>
  <c r="A1554"/>
  <c r="R1553"/>
  <c r="S1553"/>
  <c r="Q1553"/>
  <c r="O1553"/>
  <c r="M1553"/>
  <c r="K1553"/>
  <c r="I1553"/>
  <c r="G1553"/>
  <c r="E1553"/>
  <c r="B1553"/>
  <c r="C1553"/>
  <c r="A1553"/>
  <c r="R1552"/>
  <c r="S1552"/>
  <c r="Q1552"/>
  <c r="O1552"/>
  <c r="M1552"/>
  <c r="K1552"/>
  <c r="I1552"/>
  <c r="G1552"/>
  <c r="E1552"/>
  <c r="B1552"/>
  <c r="C1552"/>
  <c r="A1552"/>
  <c r="R1551"/>
  <c r="S1551"/>
  <c r="Q1551"/>
  <c r="O1551"/>
  <c r="M1551"/>
  <c r="K1551"/>
  <c r="I1551"/>
  <c r="G1551"/>
  <c r="E1551"/>
  <c r="B1551"/>
  <c r="C1551"/>
  <c r="A1551"/>
  <c r="R1550"/>
  <c r="S1550"/>
  <c r="Q1550"/>
  <c r="O1550"/>
  <c r="M1550"/>
  <c r="K1550"/>
  <c r="I1550"/>
  <c r="G1550"/>
  <c r="E1550"/>
  <c r="B1550"/>
  <c r="C1550"/>
  <c r="A1550"/>
  <c r="R1549"/>
  <c r="S1549"/>
  <c r="Q1549"/>
  <c r="O1549"/>
  <c r="M1549"/>
  <c r="K1549"/>
  <c r="I1549"/>
  <c r="G1549"/>
  <c r="E1549"/>
  <c r="B1549"/>
  <c r="C1549"/>
  <c r="A1549"/>
  <c r="R1548"/>
  <c r="S1548"/>
  <c r="Q1548"/>
  <c r="O1548"/>
  <c r="M1548"/>
  <c r="K1548"/>
  <c r="I1548"/>
  <c r="G1548"/>
  <c r="E1548"/>
  <c r="B1548"/>
  <c r="C1548"/>
  <c r="A1548"/>
  <c r="R1547"/>
  <c r="S1547"/>
  <c r="Q1547"/>
  <c r="O1547"/>
  <c r="M1547"/>
  <c r="K1547"/>
  <c r="I1547"/>
  <c r="G1547"/>
  <c r="E1547"/>
  <c r="B1547"/>
  <c r="C1547"/>
  <c r="A1547"/>
  <c r="R1546"/>
  <c r="S1546"/>
  <c r="Q1546"/>
  <c r="O1546"/>
  <c r="M1546"/>
  <c r="K1546"/>
  <c r="I1546"/>
  <c r="G1546"/>
  <c r="E1546"/>
  <c r="B1546"/>
  <c r="C1546"/>
  <c r="A1546"/>
  <c r="R1545"/>
  <c r="S1545"/>
  <c r="Q1545"/>
  <c r="O1545"/>
  <c r="M1545"/>
  <c r="K1545"/>
  <c r="I1545"/>
  <c r="G1545"/>
  <c r="E1545"/>
  <c r="B1545"/>
  <c r="C1545"/>
  <c r="A1545"/>
  <c r="R1544"/>
  <c r="S1544"/>
  <c r="Q1544"/>
  <c r="O1544"/>
  <c r="M1544"/>
  <c r="K1544"/>
  <c r="I1544"/>
  <c r="G1544"/>
  <c r="E1544"/>
  <c r="B1544"/>
  <c r="C1544"/>
  <c r="A1544"/>
  <c r="R1543"/>
  <c r="S1543"/>
  <c r="Q1543"/>
  <c r="O1543"/>
  <c r="M1543"/>
  <c r="K1543"/>
  <c r="I1543"/>
  <c r="G1543"/>
  <c r="E1543"/>
  <c r="B1543"/>
  <c r="C1543"/>
  <c r="A1543"/>
  <c r="R1542"/>
  <c r="S1542"/>
  <c r="Q1542"/>
  <c r="O1542"/>
  <c r="M1542"/>
  <c r="K1542"/>
  <c r="I1542"/>
  <c r="G1542"/>
  <c r="E1542"/>
  <c r="B1542"/>
  <c r="C1542"/>
  <c r="A1542"/>
  <c r="R1541"/>
  <c r="S1541"/>
  <c r="Q1541"/>
  <c r="O1541"/>
  <c r="M1541"/>
  <c r="K1541"/>
  <c r="I1541"/>
  <c r="G1541"/>
  <c r="E1541"/>
  <c r="B1541"/>
  <c r="C1541"/>
  <c r="A1541"/>
  <c r="R1540"/>
  <c r="S1540"/>
  <c r="Q1540"/>
  <c r="O1540"/>
  <c r="M1540"/>
  <c r="K1540"/>
  <c r="I1540"/>
  <c r="G1540"/>
  <c r="E1540"/>
  <c r="B1540"/>
  <c r="C1540"/>
  <c r="A1540"/>
  <c r="R1539"/>
  <c r="S1539"/>
  <c r="Q1539"/>
  <c r="O1539"/>
  <c r="M1539"/>
  <c r="K1539"/>
  <c r="I1539"/>
  <c r="G1539"/>
  <c r="E1539"/>
  <c r="B1539"/>
  <c r="C1539"/>
  <c r="A1539"/>
  <c r="R1538"/>
  <c r="S1538"/>
  <c r="Q1538"/>
  <c r="O1538"/>
  <c r="M1538"/>
  <c r="K1538"/>
  <c r="I1538"/>
  <c r="G1538"/>
  <c r="E1538"/>
  <c r="B1538"/>
  <c r="C1538"/>
  <c r="A1538"/>
  <c r="R1537"/>
  <c r="S1537"/>
  <c r="Q1537"/>
  <c r="O1537"/>
  <c r="M1537"/>
  <c r="K1537"/>
  <c r="I1537"/>
  <c r="G1537"/>
  <c r="E1537"/>
  <c r="B1537"/>
  <c r="C1537"/>
  <c r="A1537"/>
  <c r="R1536"/>
  <c r="S1536"/>
  <c r="Q1536"/>
  <c r="O1536"/>
  <c r="M1536"/>
  <c r="K1536"/>
  <c r="I1536"/>
  <c r="G1536"/>
  <c r="E1536"/>
  <c r="B1536"/>
  <c r="C1536"/>
  <c r="A1536"/>
  <c r="R1535"/>
  <c r="S1535"/>
  <c r="Q1535"/>
  <c r="O1535"/>
  <c r="M1535"/>
  <c r="K1535"/>
  <c r="I1535"/>
  <c r="G1535"/>
  <c r="E1535"/>
  <c r="B1535"/>
  <c r="C1535"/>
  <c r="A1535"/>
  <c r="R1534"/>
  <c r="S1534"/>
  <c r="Q1534"/>
  <c r="O1534"/>
  <c r="M1534"/>
  <c r="K1534"/>
  <c r="I1534"/>
  <c r="G1534"/>
  <c r="E1534"/>
  <c r="B1534"/>
  <c r="C1534"/>
  <c r="A1534"/>
  <c r="R1533"/>
  <c r="S1533"/>
  <c r="Q1533"/>
  <c r="O1533"/>
  <c r="M1533"/>
  <c r="K1533"/>
  <c r="I1533"/>
  <c r="G1533"/>
  <c r="E1533"/>
  <c r="B1533"/>
  <c r="C1533"/>
  <c r="A1533"/>
  <c r="R1532"/>
  <c r="S1532"/>
  <c r="Q1532"/>
  <c r="O1532"/>
  <c r="M1532"/>
  <c r="K1532"/>
  <c r="I1532"/>
  <c r="G1532"/>
  <c r="E1532"/>
  <c r="B1532"/>
  <c r="C1532"/>
  <c r="A1532"/>
  <c r="R1531"/>
  <c r="S1531"/>
  <c r="Q1531"/>
  <c r="O1531"/>
  <c r="M1531"/>
  <c r="K1531"/>
  <c r="I1531"/>
  <c r="G1531"/>
  <c r="E1531"/>
  <c r="B1531"/>
  <c r="C1531"/>
  <c r="A1531"/>
  <c r="R1530"/>
  <c r="S1530"/>
  <c r="Q1530"/>
  <c r="O1530"/>
  <c r="M1530"/>
  <c r="K1530"/>
  <c r="I1530"/>
  <c r="G1530"/>
  <c r="E1530"/>
  <c r="B1530"/>
  <c r="C1530"/>
  <c r="A1530"/>
  <c r="R1529"/>
  <c r="S1529"/>
  <c r="Q1529"/>
  <c r="O1529"/>
  <c r="M1529"/>
  <c r="K1529"/>
  <c r="I1529"/>
  <c r="G1529"/>
  <c r="E1529"/>
  <c r="B1529"/>
  <c r="C1529"/>
  <c r="A1529"/>
  <c r="R1528"/>
  <c r="S1528"/>
  <c r="Q1528"/>
  <c r="O1528"/>
  <c r="M1528"/>
  <c r="K1528"/>
  <c r="I1528"/>
  <c r="G1528"/>
  <c r="E1528"/>
  <c r="B1528"/>
  <c r="C1528"/>
  <c r="A1528"/>
  <c r="R1527"/>
  <c r="S1527"/>
  <c r="Q1527"/>
  <c r="O1527"/>
  <c r="M1527"/>
  <c r="K1527"/>
  <c r="I1527"/>
  <c r="G1527"/>
  <c r="E1527"/>
  <c r="B1527"/>
  <c r="C1527"/>
  <c r="A1527"/>
  <c r="R1526"/>
  <c r="S1526"/>
  <c r="Q1526"/>
  <c r="O1526"/>
  <c r="M1526"/>
  <c r="K1526"/>
  <c r="I1526"/>
  <c r="G1526"/>
  <c r="E1526"/>
  <c r="B1526"/>
  <c r="C1526"/>
  <c r="A1526"/>
  <c r="R1525"/>
  <c r="S1525"/>
  <c r="Q1525"/>
  <c r="O1525"/>
  <c r="M1525"/>
  <c r="K1525"/>
  <c r="I1525"/>
  <c r="G1525"/>
  <c r="E1525"/>
  <c r="B1525"/>
  <c r="C1525"/>
  <c r="A1525"/>
  <c r="R1524"/>
  <c r="S1524"/>
  <c r="Q1524"/>
  <c r="O1524"/>
  <c r="M1524"/>
  <c r="K1524"/>
  <c r="I1524"/>
  <c r="G1524"/>
  <c r="E1524"/>
  <c r="B1524"/>
  <c r="C1524"/>
  <c r="A1524"/>
  <c r="R1523"/>
  <c r="S1523"/>
  <c r="Q1523"/>
  <c r="O1523"/>
  <c r="M1523"/>
  <c r="K1523"/>
  <c r="I1523"/>
  <c r="G1523"/>
  <c r="E1523"/>
  <c r="B1523"/>
  <c r="C1523"/>
  <c r="A1523"/>
  <c r="R1522"/>
  <c r="S1522"/>
  <c r="Q1522"/>
  <c r="O1522"/>
  <c r="M1522"/>
  <c r="K1522"/>
  <c r="I1522"/>
  <c r="G1522"/>
  <c r="E1522"/>
  <c r="B1522"/>
  <c r="C1522"/>
  <c r="A1522"/>
  <c r="R1521"/>
  <c r="S1521"/>
  <c r="Q1521"/>
  <c r="O1521"/>
  <c r="M1521"/>
  <c r="K1521"/>
  <c r="I1521"/>
  <c r="G1521"/>
  <c r="E1521"/>
  <c r="B1521"/>
  <c r="C1521"/>
  <c r="A1521"/>
  <c r="R1520"/>
  <c r="S1520"/>
  <c r="Q1520"/>
  <c r="O1520"/>
  <c r="M1520"/>
  <c r="K1520"/>
  <c r="I1520"/>
  <c r="G1520"/>
  <c r="E1520"/>
  <c r="B1520"/>
  <c r="C1520"/>
  <c r="A1520"/>
  <c r="R1519"/>
  <c r="S1519"/>
  <c r="Q1519"/>
  <c r="O1519"/>
  <c r="M1519"/>
  <c r="K1519"/>
  <c r="I1519"/>
  <c r="G1519"/>
  <c r="E1519"/>
  <c r="B1519"/>
  <c r="C1519"/>
  <c r="A1519"/>
  <c r="R1518"/>
  <c r="S1518"/>
  <c r="Q1518"/>
  <c r="O1518"/>
  <c r="M1518"/>
  <c r="K1518"/>
  <c r="I1518"/>
  <c r="G1518"/>
  <c r="E1518"/>
  <c r="B1518"/>
  <c r="C1518"/>
  <c r="A1518"/>
  <c r="R1517"/>
  <c r="S1517"/>
  <c r="Q1517"/>
  <c r="O1517"/>
  <c r="M1517"/>
  <c r="K1517"/>
  <c r="I1517"/>
  <c r="G1517"/>
  <c r="E1517"/>
  <c r="B1517"/>
  <c r="C1517"/>
  <c r="A1517"/>
  <c r="R1516"/>
  <c r="S1516"/>
  <c r="Q1516"/>
  <c r="O1516"/>
  <c r="M1516"/>
  <c r="K1516"/>
  <c r="I1516"/>
  <c r="G1516"/>
  <c r="E1516"/>
  <c r="B1516"/>
  <c r="C1516"/>
  <c r="A1516"/>
  <c r="R1515"/>
  <c r="S1515"/>
  <c r="Q1515"/>
  <c r="O1515"/>
  <c r="M1515"/>
  <c r="K1515"/>
  <c r="I1515"/>
  <c r="G1515"/>
  <c r="E1515"/>
  <c r="B1515"/>
  <c r="C1515"/>
  <c r="A1515"/>
  <c r="R1514"/>
  <c r="S1514"/>
  <c r="Q1514"/>
  <c r="O1514"/>
  <c r="M1514"/>
  <c r="K1514"/>
  <c r="I1514"/>
  <c r="G1514"/>
  <c r="E1514"/>
  <c r="B1514"/>
  <c r="C1514"/>
  <c r="A1514"/>
  <c r="R1513"/>
  <c r="S1513"/>
  <c r="Q1513"/>
  <c r="O1513"/>
  <c r="M1513"/>
  <c r="K1513"/>
  <c r="I1513"/>
  <c r="G1513"/>
  <c r="E1513"/>
  <c r="B1513"/>
  <c r="C1513"/>
  <c r="A1513"/>
  <c r="R1512"/>
  <c r="S1512"/>
  <c r="Q1512"/>
  <c r="O1512"/>
  <c r="M1512"/>
  <c r="K1512"/>
  <c r="I1512"/>
  <c r="G1512"/>
  <c r="E1512"/>
  <c r="B1512"/>
  <c r="C1512"/>
  <c r="A1512"/>
  <c r="R1511"/>
  <c r="S1511"/>
  <c r="Q1511"/>
  <c r="O1511"/>
  <c r="M1511"/>
  <c r="K1511"/>
  <c r="I1511"/>
  <c r="G1511"/>
  <c r="E1511"/>
  <c r="B1511"/>
  <c r="C1511"/>
  <c r="A1511"/>
  <c r="R1510"/>
  <c r="S1510"/>
  <c r="Q1510"/>
  <c r="O1510"/>
  <c r="M1510"/>
  <c r="K1510"/>
  <c r="I1510"/>
  <c r="G1510"/>
  <c r="E1510"/>
  <c r="B1510"/>
  <c r="C1510"/>
  <c r="A1510"/>
  <c r="R1509"/>
  <c r="S1509"/>
  <c r="Q1509"/>
  <c r="O1509"/>
  <c r="M1509"/>
  <c r="K1509"/>
  <c r="I1509"/>
  <c r="G1509"/>
  <c r="E1509"/>
  <c r="B1509"/>
  <c r="C1509"/>
  <c r="A1509"/>
  <c r="R1508"/>
  <c r="S1508"/>
  <c r="Q1508"/>
  <c r="O1508"/>
  <c r="M1508"/>
  <c r="K1508"/>
  <c r="I1508"/>
  <c r="G1508"/>
  <c r="E1508"/>
  <c r="B1508"/>
  <c r="C1508"/>
  <c r="A1508"/>
  <c r="R1507"/>
  <c r="S1507"/>
  <c r="Q1507"/>
  <c r="O1507"/>
  <c r="M1507"/>
  <c r="K1507"/>
  <c r="I1507"/>
  <c r="G1507"/>
  <c r="E1507"/>
  <c r="B1507"/>
  <c r="C1507"/>
  <c r="A1507"/>
  <c r="R1506"/>
  <c r="S1506"/>
  <c r="Q1506"/>
  <c r="O1506"/>
  <c r="M1506"/>
  <c r="K1506"/>
  <c r="I1506"/>
  <c r="G1506"/>
  <c r="E1506"/>
  <c r="B1506"/>
  <c r="C1506"/>
  <c r="A1506"/>
  <c r="R1505"/>
  <c r="S1505"/>
  <c r="Q1505"/>
  <c r="O1505"/>
  <c r="M1505"/>
  <c r="K1505"/>
  <c r="I1505"/>
  <c r="G1505"/>
  <c r="E1505"/>
  <c r="B1505"/>
  <c r="C1505"/>
  <c r="A1505"/>
  <c r="R1504"/>
  <c r="S1504"/>
  <c r="Q1504"/>
  <c r="O1504"/>
  <c r="M1504"/>
  <c r="K1504"/>
  <c r="I1504"/>
  <c r="G1504"/>
  <c r="E1504"/>
  <c r="B1504"/>
  <c r="C1504"/>
  <c r="A1504"/>
  <c r="R1503"/>
  <c r="S1503"/>
  <c r="Q1503"/>
  <c r="O1503"/>
  <c r="M1503"/>
  <c r="K1503"/>
  <c r="I1503"/>
  <c r="G1503"/>
  <c r="E1503"/>
  <c r="B1503"/>
  <c r="C1503"/>
  <c r="A1503"/>
  <c r="R1502"/>
  <c r="S1502"/>
  <c r="Q1502"/>
  <c r="O1502"/>
  <c r="M1502"/>
  <c r="K1502"/>
  <c r="I1502"/>
  <c r="G1502"/>
  <c r="E1502"/>
  <c r="B1502"/>
  <c r="C1502"/>
  <c r="A1502"/>
  <c r="R1501"/>
  <c r="S1501"/>
  <c r="Q1501"/>
  <c r="O1501"/>
  <c r="M1501"/>
  <c r="K1501"/>
  <c r="I1501"/>
  <c r="G1501"/>
  <c r="E1501"/>
  <c r="B1501"/>
  <c r="C1501"/>
  <c r="A1501"/>
  <c r="R1500"/>
  <c r="S1500"/>
  <c r="Q1500"/>
  <c r="O1500"/>
  <c r="M1500"/>
  <c r="K1500"/>
  <c r="I1500"/>
  <c r="G1500"/>
  <c r="E1500"/>
  <c r="B1500"/>
  <c r="C1500"/>
  <c r="A1500"/>
  <c r="R1499"/>
  <c r="S1499"/>
  <c r="Q1499"/>
  <c r="O1499"/>
  <c r="M1499"/>
  <c r="K1499"/>
  <c r="I1499"/>
  <c r="G1499"/>
  <c r="E1499"/>
  <c r="B1499"/>
  <c r="C1499"/>
  <c r="A1499"/>
  <c r="R1498"/>
  <c r="S1498"/>
  <c r="Q1498"/>
  <c r="O1498"/>
  <c r="M1498"/>
  <c r="K1498"/>
  <c r="I1498"/>
  <c r="G1498"/>
  <c r="E1498"/>
  <c r="B1498"/>
  <c r="C1498"/>
  <c r="A1498"/>
  <c r="R1497"/>
  <c r="S1497"/>
  <c r="Q1497"/>
  <c r="O1497"/>
  <c r="M1497"/>
  <c r="K1497"/>
  <c r="I1497"/>
  <c r="G1497"/>
  <c r="E1497"/>
  <c r="B1497"/>
  <c r="C1497"/>
  <c r="A1497"/>
  <c r="R1496"/>
  <c r="S1496"/>
  <c r="Q1496"/>
  <c r="O1496"/>
  <c r="M1496"/>
  <c r="K1496"/>
  <c r="I1496"/>
  <c r="G1496"/>
  <c r="E1496"/>
  <c r="B1496"/>
  <c r="C1496"/>
  <c r="A1496"/>
  <c r="R1495"/>
  <c r="S1495"/>
  <c r="Q1495"/>
  <c r="O1495"/>
  <c r="M1495"/>
  <c r="K1495"/>
  <c r="I1495"/>
  <c r="G1495"/>
  <c r="E1495"/>
  <c r="B1495"/>
  <c r="C1495"/>
  <c r="A1495"/>
  <c r="R1494"/>
  <c r="S1494"/>
  <c r="Q1494"/>
  <c r="O1494"/>
  <c r="M1494"/>
  <c r="K1494"/>
  <c r="I1494"/>
  <c r="G1494"/>
  <c r="E1494"/>
  <c r="B1494"/>
  <c r="C1494"/>
  <c r="A1494"/>
  <c r="R1493"/>
  <c r="S1493"/>
  <c r="Q1493"/>
  <c r="O1493"/>
  <c r="M1493"/>
  <c r="K1493"/>
  <c r="I1493"/>
  <c r="G1493"/>
  <c r="E1493"/>
  <c r="B1493"/>
  <c r="C1493"/>
  <c r="A1493"/>
  <c r="R1492"/>
  <c r="S1492"/>
  <c r="Q1492"/>
  <c r="O1492"/>
  <c r="M1492"/>
  <c r="K1492"/>
  <c r="I1492"/>
  <c r="G1492"/>
  <c r="E1492"/>
  <c r="B1492"/>
  <c r="C1492"/>
  <c r="A1492"/>
  <c r="R1491"/>
  <c r="S1491"/>
  <c r="Q1491"/>
  <c r="O1491"/>
  <c r="M1491"/>
  <c r="K1491"/>
  <c r="I1491"/>
  <c r="G1491"/>
  <c r="E1491"/>
  <c r="B1491"/>
  <c r="C1491"/>
  <c r="A1491"/>
  <c r="R1490"/>
  <c r="S1490"/>
  <c r="Q1490"/>
  <c r="O1490"/>
  <c r="M1490"/>
  <c r="K1490"/>
  <c r="I1490"/>
  <c r="G1490"/>
  <c r="E1490"/>
  <c r="B1490"/>
  <c r="C1490"/>
  <c r="A1490"/>
  <c r="R1489"/>
  <c r="S1489"/>
  <c r="Q1489"/>
  <c r="O1489"/>
  <c r="M1489"/>
  <c r="K1489"/>
  <c r="I1489"/>
  <c r="G1489"/>
  <c r="E1489"/>
  <c r="B1489"/>
  <c r="C1489"/>
  <c r="A1489"/>
  <c r="R1488"/>
  <c r="S1488"/>
  <c r="Q1488"/>
  <c r="O1488"/>
  <c r="M1488"/>
  <c r="K1488"/>
  <c r="I1488"/>
  <c r="G1488"/>
  <c r="E1488"/>
  <c r="B1488"/>
  <c r="C1488"/>
  <c r="A1488"/>
  <c r="R1487"/>
  <c r="S1487"/>
  <c r="Q1487"/>
  <c r="O1487"/>
  <c r="M1487"/>
  <c r="K1487"/>
  <c r="I1487"/>
  <c r="G1487"/>
  <c r="E1487"/>
  <c r="B1487"/>
  <c r="C1487"/>
  <c r="A1487"/>
  <c r="R1486"/>
  <c r="S1486"/>
  <c r="Q1486"/>
  <c r="O1486"/>
  <c r="M1486"/>
  <c r="K1486"/>
  <c r="I1486"/>
  <c r="G1486"/>
  <c r="E1486"/>
  <c r="B1486"/>
  <c r="C1486"/>
  <c r="A1486"/>
  <c r="R1485"/>
  <c r="S1485"/>
  <c r="Q1485"/>
  <c r="O1485"/>
  <c r="M1485"/>
  <c r="K1485"/>
  <c r="I1485"/>
  <c r="G1485"/>
  <c r="E1485"/>
  <c r="B1485"/>
  <c r="C1485"/>
  <c r="A1485"/>
  <c r="R1484"/>
  <c r="S1484"/>
  <c r="Q1484"/>
  <c r="O1484"/>
  <c r="M1484"/>
  <c r="K1484"/>
  <c r="I1484"/>
  <c r="G1484"/>
  <c r="E1484"/>
  <c r="B1484"/>
  <c r="C1484"/>
  <c r="A1484"/>
  <c r="R1483"/>
  <c r="S1483"/>
  <c r="Q1483"/>
  <c r="O1483"/>
  <c r="M1483"/>
  <c r="K1483"/>
  <c r="I1483"/>
  <c r="G1483"/>
  <c r="E1483"/>
  <c r="B1483"/>
  <c r="C1483"/>
  <c r="A1483"/>
  <c r="R1482"/>
  <c r="S1482"/>
  <c r="Q1482"/>
  <c r="O1482"/>
  <c r="M1482"/>
  <c r="K1482"/>
  <c r="I1482"/>
  <c r="G1482"/>
  <c r="E1482"/>
  <c r="B1482"/>
  <c r="C1482"/>
  <c r="A1482"/>
  <c r="R1481"/>
  <c r="S1481"/>
  <c r="Q1481"/>
  <c r="O1481"/>
  <c r="M1481"/>
  <c r="K1481"/>
  <c r="I1481"/>
  <c r="G1481"/>
  <c r="E1481"/>
  <c r="B1481"/>
  <c r="C1481"/>
  <c r="A1481"/>
  <c r="R1480"/>
  <c r="S1480"/>
  <c r="Q1480"/>
  <c r="O1480"/>
  <c r="M1480"/>
  <c r="K1480"/>
  <c r="I1480"/>
  <c r="G1480"/>
  <c r="E1480"/>
  <c r="B1480"/>
  <c r="C1480"/>
  <c r="A1480"/>
  <c r="R1479"/>
  <c r="S1479"/>
  <c r="Q1479"/>
  <c r="O1479"/>
  <c r="M1479"/>
  <c r="K1479"/>
  <c r="I1479"/>
  <c r="G1479"/>
  <c r="E1479"/>
  <c r="B1479"/>
  <c r="C1479"/>
  <c r="A1479"/>
  <c r="R1478"/>
  <c r="S1478"/>
  <c r="Q1478"/>
  <c r="O1478"/>
  <c r="M1478"/>
  <c r="K1478"/>
  <c r="I1478"/>
  <c r="G1478"/>
  <c r="E1478"/>
  <c r="B1478"/>
  <c r="C1478"/>
  <c r="A1478"/>
  <c r="R1477"/>
  <c r="S1477"/>
  <c r="Q1477"/>
  <c r="O1477"/>
  <c r="M1477"/>
  <c r="K1477"/>
  <c r="I1477"/>
  <c r="G1477"/>
  <c r="E1477"/>
  <c r="B1477"/>
  <c r="C1477"/>
  <c r="A1477"/>
  <c r="R1476"/>
  <c r="S1476"/>
  <c r="Q1476"/>
  <c r="O1476"/>
  <c r="M1476"/>
  <c r="K1476"/>
  <c r="I1476"/>
  <c r="G1476"/>
  <c r="E1476"/>
  <c r="B1476"/>
  <c r="C1476"/>
  <c r="A1476"/>
  <c r="R1475"/>
  <c r="S1475"/>
  <c r="Q1475"/>
  <c r="O1475"/>
  <c r="M1475"/>
  <c r="K1475"/>
  <c r="I1475"/>
  <c r="G1475"/>
  <c r="E1475"/>
  <c r="B1475"/>
  <c r="C1475"/>
  <c r="A1475"/>
  <c r="R1474"/>
  <c r="S1474"/>
  <c r="Q1474"/>
  <c r="O1474"/>
  <c r="M1474"/>
  <c r="K1474"/>
  <c r="I1474"/>
  <c r="G1474"/>
  <c r="E1474"/>
  <c r="B1474"/>
  <c r="C1474"/>
  <c r="A1474"/>
  <c r="R1473"/>
  <c r="S1473"/>
  <c r="Q1473"/>
  <c r="O1473"/>
  <c r="M1473"/>
  <c r="K1473"/>
  <c r="I1473"/>
  <c r="G1473"/>
  <c r="E1473"/>
  <c r="B1473"/>
  <c r="C1473"/>
  <c r="A1473"/>
  <c r="R1472"/>
  <c r="S1472"/>
  <c r="Q1472"/>
  <c r="O1472"/>
  <c r="M1472"/>
  <c r="K1472"/>
  <c r="I1472"/>
  <c r="G1472"/>
  <c r="E1472"/>
  <c r="B1472"/>
  <c r="C1472"/>
  <c r="A1472"/>
  <c r="R1471"/>
  <c r="S1471"/>
  <c r="Q1471"/>
  <c r="O1471"/>
  <c r="M1471"/>
  <c r="K1471"/>
  <c r="I1471"/>
  <c r="G1471"/>
  <c r="E1471"/>
  <c r="B1471"/>
  <c r="C1471"/>
  <c r="A1471"/>
  <c r="R1470"/>
  <c r="S1470"/>
  <c r="Q1470"/>
  <c r="O1470"/>
  <c r="M1470"/>
  <c r="K1470"/>
  <c r="I1470"/>
  <c r="G1470"/>
  <c r="E1470"/>
  <c r="B1470"/>
  <c r="C1470"/>
  <c r="A1470"/>
  <c r="R1469"/>
  <c r="S1469"/>
  <c r="Q1469"/>
  <c r="O1469"/>
  <c r="M1469"/>
  <c r="K1469"/>
  <c r="I1469"/>
  <c r="G1469"/>
  <c r="E1469"/>
  <c r="B1469"/>
  <c r="C1469"/>
  <c r="A1469"/>
  <c r="R1468"/>
  <c r="S1468"/>
  <c r="Q1468"/>
  <c r="O1468"/>
  <c r="M1468"/>
  <c r="K1468"/>
  <c r="I1468"/>
  <c r="G1468"/>
  <c r="E1468"/>
  <c r="B1468"/>
  <c r="C1468"/>
  <c r="A1468"/>
  <c r="R1467"/>
  <c r="S1467"/>
  <c r="Q1467"/>
  <c r="O1467"/>
  <c r="M1467"/>
  <c r="K1467"/>
  <c r="I1467"/>
  <c r="G1467"/>
  <c r="E1467"/>
  <c r="B1467"/>
  <c r="C1467"/>
  <c r="A1467"/>
  <c r="R1466"/>
  <c r="S1466"/>
  <c r="Q1466"/>
  <c r="O1466"/>
  <c r="M1466"/>
  <c r="K1466"/>
  <c r="I1466"/>
  <c r="G1466"/>
  <c r="E1466"/>
  <c r="B1466"/>
  <c r="C1466"/>
  <c r="A1466"/>
  <c r="R1465"/>
  <c r="S1465"/>
  <c r="Q1465"/>
  <c r="O1465"/>
  <c r="M1465"/>
  <c r="K1465"/>
  <c r="I1465"/>
  <c r="G1465"/>
  <c r="E1465"/>
  <c r="B1465"/>
  <c r="C1465"/>
  <c r="A1465"/>
  <c r="R1464"/>
  <c r="S1464"/>
  <c r="Q1464"/>
  <c r="O1464"/>
  <c r="M1464"/>
  <c r="K1464"/>
  <c r="I1464"/>
  <c r="G1464"/>
  <c r="E1464"/>
  <c r="B1464"/>
  <c r="C1464"/>
  <c r="A1464"/>
  <c r="R1463"/>
  <c r="S1463"/>
  <c r="Q1463"/>
  <c r="O1463"/>
  <c r="M1463"/>
  <c r="K1463"/>
  <c r="I1463"/>
  <c r="G1463"/>
  <c r="E1463"/>
  <c r="B1463"/>
  <c r="C1463"/>
  <c r="A1463"/>
  <c r="R1462"/>
  <c r="S1462"/>
  <c r="Q1462"/>
  <c r="O1462"/>
  <c r="M1462"/>
  <c r="K1462"/>
  <c r="I1462"/>
  <c r="G1462"/>
  <c r="E1462"/>
  <c r="B1462"/>
  <c r="C1462"/>
  <c r="A1462"/>
  <c r="R1461"/>
  <c r="S1461"/>
  <c r="Q1461"/>
  <c r="O1461"/>
  <c r="M1461"/>
  <c r="K1461"/>
  <c r="I1461"/>
  <c r="G1461"/>
  <c r="E1461"/>
  <c r="B1461"/>
  <c r="C1461"/>
  <c r="A1461"/>
  <c r="R1460"/>
  <c r="S1460"/>
  <c r="Q1460"/>
  <c r="O1460"/>
  <c r="M1460"/>
  <c r="K1460"/>
  <c r="I1460"/>
  <c r="G1460"/>
  <c r="E1460"/>
  <c r="B1460"/>
  <c r="C1460"/>
  <c r="A1460"/>
  <c r="R1459"/>
  <c r="S1459"/>
  <c r="Q1459"/>
  <c r="O1459"/>
  <c r="M1459"/>
  <c r="K1459"/>
  <c r="I1459"/>
  <c r="G1459"/>
  <c r="E1459"/>
  <c r="B1459"/>
  <c r="C1459"/>
  <c r="A1459"/>
  <c r="R1458"/>
  <c r="S1458"/>
  <c r="Q1458"/>
  <c r="O1458"/>
  <c r="M1458"/>
  <c r="K1458"/>
  <c r="I1458"/>
  <c r="G1458"/>
  <c r="E1458"/>
  <c r="B1458"/>
  <c r="C1458"/>
  <c r="A1458"/>
  <c r="R1457"/>
  <c r="S1457"/>
  <c r="Q1457"/>
  <c r="O1457"/>
  <c r="M1457"/>
  <c r="K1457"/>
  <c r="I1457"/>
  <c r="G1457"/>
  <c r="E1457"/>
  <c r="B1457"/>
  <c r="C1457"/>
  <c r="A1457"/>
  <c r="R1456"/>
  <c r="S1456"/>
  <c r="Q1456"/>
  <c r="O1456"/>
  <c r="M1456"/>
  <c r="K1456"/>
  <c r="I1456"/>
  <c r="G1456"/>
  <c r="E1456"/>
  <c r="B1456"/>
  <c r="C1456"/>
  <c r="A1456"/>
  <c r="R1455"/>
  <c r="S1455"/>
  <c r="Q1455"/>
  <c r="O1455"/>
  <c r="M1455"/>
  <c r="K1455"/>
  <c r="I1455"/>
  <c r="G1455"/>
  <c r="E1455"/>
  <c r="B1455"/>
  <c r="C1455"/>
  <c r="A1455"/>
  <c r="R1454"/>
  <c r="S1454"/>
  <c r="Q1454"/>
  <c r="O1454"/>
  <c r="M1454"/>
  <c r="K1454"/>
  <c r="I1454"/>
  <c r="G1454"/>
  <c r="E1454"/>
  <c r="B1454"/>
  <c r="C1454"/>
  <c r="A1454"/>
  <c r="R1453"/>
  <c r="S1453"/>
  <c r="Q1453"/>
  <c r="O1453"/>
  <c r="M1453"/>
  <c r="K1453"/>
  <c r="I1453"/>
  <c r="G1453"/>
  <c r="E1453"/>
  <c r="B1453"/>
  <c r="C1453"/>
  <c r="A1453"/>
  <c r="R1452"/>
  <c r="S1452"/>
  <c r="Q1452"/>
  <c r="O1452"/>
  <c r="M1452"/>
  <c r="K1452"/>
  <c r="I1452"/>
  <c r="G1452"/>
  <c r="E1452"/>
  <c r="B1452"/>
  <c r="C1452"/>
  <c r="A1452"/>
  <c r="R1451"/>
  <c r="S1451"/>
  <c r="Q1451"/>
  <c r="O1451"/>
  <c r="M1451"/>
  <c r="K1451"/>
  <c r="I1451"/>
  <c r="G1451"/>
  <c r="E1451"/>
  <c r="B1451"/>
  <c r="C1451"/>
  <c r="A1451"/>
  <c r="R1450"/>
  <c r="S1450"/>
  <c r="Q1450"/>
  <c r="O1450"/>
  <c r="M1450"/>
  <c r="K1450"/>
  <c r="I1450"/>
  <c r="G1450"/>
  <c r="E1450"/>
  <c r="B1450"/>
  <c r="C1450"/>
  <c r="A1450"/>
  <c r="R1449"/>
  <c r="S1449"/>
  <c r="Q1449"/>
  <c r="O1449"/>
  <c r="M1449"/>
  <c r="K1449"/>
  <c r="I1449"/>
  <c r="G1449"/>
  <c r="E1449"/>
  <c r="B1449"/>
  <c r="C1449"/>
  <c r="A1449"/>
  <c r="R1448"/>
  <c r="S1448"/>
  <c r="Q1448"/>
  <c r="O1448"/>
  <c r="M1448"/>
  <c r="K1448"/>
  <c r="I1448"/>
  <c r="G1448"/>
  <c r="E1448"/>
  <c r="B1448"/>
  <c r="C1448"/>
  <c r="A1448"/>
  <c r="R1447"/>
  <c r="S1447"/>
  <c r="Q1447"/>
  <c r="O1447"/>
  <c r="M1447"/>
  <c r="K1447"/>
  <c r="I1447"/>
  <c r="G1447"/>
  <c r="E1447"/>
  <c r="B1447"/>
  <c r="C1447"/>
  <c r="A1447"/>
  <c r="R1446"/>
  <c r="S1446"/>
  <c r="Q1446"/>
  <c r="O1446"/>
  <c r="M1446"/>
  <c r="K1446"/>
  <c r="I1446"/>
  <c r="G1446"/>
  <c r="E1446"/>
  <c r="B1446"/>
  <c r="C1446"/>
  <c r="A1446"/>
  <c r="R1445"/>
  <c r="S1445"/>
  <c r="Q1445"/>
  <c r="O1445"/>
  <c r="M1445"/>
  <c r="K1445"/>
  <c r="I1445"/>
  <c r="G1445"/>
  <c r="E1445"/>
  <c r="B1445"/>
  <c r="C1445"/>
  <c r="A1445"/>
  <c r="R1444"/>
  <c r="S1444"/>
  <c r="Q1444"/>
  <c r="O1444"/>
  <c r="M1444"/>
  <c r="K1444"/>
  <c r="I1444"/>
  <c r="G1444"/>
  <c r="E1444"/>
  <c r="B1444"/>
  <c r="C1444"/>
  <c r="A1444"/>
  <c r="R1443"/>
  <c r="S1443"/>
  <c r="Q1443"/>
  <c r="O1443"/>
  <c r="M1443"/>
  <c r="K1443"/>
  <c r="I1443"/>
  <c r="G1443"/>
  <c r="E1443"/>
  <c r="B1443"/>
  <c r="C1443"/>
  <c r="A1443"/>
  <c r="R1442"/>
  <c r="S1442"/>
  <c r="Q1442"/>
  <c r="O1442"/>
  <c r="M1442"/>
  <c r="K1442"/>
  <c r="I1442"/>
  <c r="G1442"/>
  <c r="E1442"/>
  <c r="B1442"/>
  <c r="C1442"/>
  <c r="A1442"/>
  <c r="R1441"/>
  <c r="S1441"/>
  <c r="Q1441"/>
  <c r="O1441"/>
  <c r="M1441"/>
  <c r="K1441"/>
  <c r="I1441"/>
  <c r="G1441"/>
  <c r="E1441"/>
  <c r="B1441"/>
  <c r="C1441"/>
  <c r="A1441"/>
  <c r="R1440"/>
  <c r="S1440"/>
  <c r="Q1440"/>
  <c r="O1440"/>
  <c r="M1440"/>
  <c r="K1440"/>
  <c r="I1440"/>
  <c r="G1440"/>
  <c r="E1440"/>
  <c r="B1440"/>
  <c r="C1440"/>
  <c r="A1440"/>
  <c r="R1439"/>
  <c r="S1439"/>
  <c r="Q1439"/>
  <c r="O1439"/>
  <c r="M1439"/>
  <c r="K1439"/>
  <c r="I1439"/>
  <c r="G1439"/>
  <c r="E1439"/>
  <c r="B1439"/>
  <c r="C1439"/>
  <c r="A1439"/>
  <c r="R1438"/>
  <c r="S1438"/>
  <c r="Q1438"/>
  <c r="O1438"/>
  <c r="M1438"/>
  <c r="K1438"/>
  <c r="I1438"/>
  <c r="G1438"/>
  <c r="E1438"/>
  <c r="B1438"/>
  <c r="C1438"/>
  <c r="A1438"/>
  <c r="R1437"/>
  <c r="S1437"/>
  <c r="Q1437"/>
  <c r="O1437"/>
  <c r="M1437"/>
  <c r="K1437"/>
  <c r="I1437"/>
  <c r="G1437"/>
  <c r="E1437"/>
  <c r="B1437"/>
  <c r="C1437"/>
  <c r="A1437"/>
  <c r="R1436"/>
  <c r="S1436"/>
  <c r="Q1436"/>
  <c r="O1436"/>
  <c r="M1436"/>
  <c r="K1436"/>
  <c r="I1436"/>
  <c r="G1436"/>
  <c r="E1436"/>
  <c r="B1436"/>
  <c r="C1436"/>
  <c r="A1436"/>
  <c r="R1435"/>
  <c r="S1435"/>
  <c r="Q1435"/>
  <c r="O1435"/>
  <c r="M1435"/>
  <c r="K1435"/>
  <c r="I1435"/>
  <c r="G1435"/>
  <c r="E1435"/>
  <c r="B1435"/>
  <c r="C1435"/>
  <c r="A1435"/>
  <c r="R1434"/>
  <c r="S1434"/>
  <c r="Q1434"/>
  <c r="O1434"/>
  <c r="M1434"/>
  <c r="K1434"/>
  <c r="I1434"/>
  <c r="G1434"/>
  <c r="E1434"/>
  <c r="B1434"/>
  <c r="C1434"/>
  <c r="A1434"/>
  <c r="R1433"/>
  <c r="S1433"/>
  <c r="Q1433"/>
  <c r="O1433"/>
  <c r="M1433"/>
  <c r="K1433"/>
  <c r="I1433"/>
  <c r="G1433"/>
  <c r="E1433"/>
  <c r="B1433"/>
  <c r="C1433"/>
  <c r="A1433"/>
  <c r="R1432"/>
  <c r="S1432"/>
  <c r="Q1432"/>
  <c r="O1432"/>
  <c r="M1432"/>
  <c r="K1432"/>
  <c r="I1432"/>
  <c r="G1432"/>
  <c r="E1432"/>
  <c r="B1432"/>
  <c r="C1432"/>
  <c r="A1432"/>
  <c r="R1431"/>
  <c r="S1431"/>
  <c r="Q1431"/>
  <c r="O1431"/>
  <c r="M1431"/>
  <c r="K1431"/>
  <c r="I1431"/>
  <c r="G1431"/>
  <c r="E1431"/>
  <c r="B1431"/>
  <c r="C1431"/>
  <c r="A1431"/>
  <c r="R1430"/>
  <c r="S1430"/>
  <c r="Q1430"/>
  <c r="O1430"/>
  <c r="M1430"/>
  <c r="K1430"/>
  <c r="I1430"/>
  <c r="G1430"/>
  <c r="E1430"/>
  <c r="B1430"/>
  <c r="C1430"/>
  <c r="A1430"/>
  <c r="R1429"/>
  <c r="S1429"/>
  <c r="Q1429"/>
  <c r="O1429"/>
  <c r="M1429"/>
  <c r="K1429"/>
  <c r="I1429"/>
  <c r="G1429"/>
  <c r="E1429"/>
  <c r="B1429"/>
  <c r="C1429"/>
  <c r="A1429"/>
  <c r="R1428"/>
  <c r="S1428"/>
  <c r="Q1428"/>
  <c r="O1428"/>
  <c r="M1428"/>
  <c r="K1428"/>
  <c r="I1428"/>
  <c r="G1428"/>
  <c r="E1428"/>
  <c r="B1428"/>
  <c r="C1428"/>
  <c r="A1428"/>
  <c r="R1427"/>
  <c r="S1427"/>
  <c r="Q1427"/>
  <c r="O1427"/>
  <c r="M1427"/>
  <c r="K1427"/>
  <c r="I1427"/>
  <c r="G1427"/>
  <c r="E1427"/>
  <c r="B1427"/>
  <c r="C1427"/>
  <c r="A1427"/>
  <c r="R1426"/>
  <c r="S1426"/>
  <c r="Q1426"/>
  <c r="O1426"/>
  <c r="M1426"/>
  <c r="K1426"/>
  <c r="I1426"/>
  <c r="G1426"/>
  <c r="E1426"/>
  <c r="B1426"/>
  <c r="C1426"/>
  <c r="A1426"/>
  <c r="R1425"/>
  <c r="S1425"/>
  <c r="Q1425"/>
  <c r="O1425"/>
  <c r="M1425"/>
  <c r="K1425"/>
  <c r="I1425"/>
  <c r="G1425"/>
  <c r="E1425"/>
  <c r="B1425"/>
  <c r="C1425"/>
  <c r="A1425"/>
  <c r="R1424"/>
  <c r="S1424"/>
  <c r="Q1424"/>
  <c r="O1424"/>
  <c r="M1424"/>
  <c r="K1424"/>
  <c r="I1424"/>
  <c r="G1424"/>
  <c r="E1424"/>
  <c r="B1424"/>
  <c r="C1424"/>
  <c r="A1424"/>
  <c r="R1423"/>
  <c r="S1423"/>
  <c r="Q1423"/>
  <c r="O1423"/>
  <c r="M1423"/>
  <c r="K1423"/>
  <c r="I1423"/>
  <c r="G1423"/>
  <c r="E1423"/>
  <c r="B1423"/>
  <c r="C1423"/>
  <c r="A1423"/>
  <c r="R1422"/>
  <c r="S1422"/>
  <c r="Q1422"/>
  <c r="O1422"/>
  <c r="M1422"/>
  <c r="K1422"/>
  <c r="I1422"/>
  <c r="G1422"/>
  <c r="E1422"/>
  <c r="B1422"/>
  <c r="C1422"/>
  <c r="A1422"/>
  <c r="R1421"/>
  <c r="S1421"/>
  <c r="Q1421"/>
  <c r="O1421"/>
  <c r="M1421"/>
  <c r="K1421"/>
  <c r="I1421"/>
  <c r="G1421"/>
  <c r="E1421"/>
  <c r="B1421"/>
  <c r="C1421"/>
  <c r="A1421"/>
  <c r="R1420"/>
  <c r="S1420"/>
  <c r="Q1420"/>
  <c r="O1420"/>
  <c r="M1420"/>
  <c r="K1420"/>
  <c r="I1420"/>
  <c r="G1420"/>
  <c r="E1420"/>
  <c r="B1420"/>
  <c r="C1420"/>
  <c r="A1420"/>
  <c r="R1419"/>
  <c r="S1419"/>
  <c r="Q1419"/>
  <c r="O1419"/>
  <c r="M1419"/>
  <c r="K1419"/>
  <c r="I1419"/>
  <c r="G1419"/>
  <c r="E1419"/>
  <c r="B1419"/>
  <c r="C1419"/>
  <c r="A1419"/>
  <c r="R1418"/>
  <c r="S1418"/>
  <c r="Q1418"/>
  <c r="O1418"/>
  <c r="M1418"/>
  <c r="K1418"/>
  <c r="I1418"/>
  <c r="G1418"/>
  <c r="E1418"/>
  <c r="B1418"/>
  <c r="C1418"/>
  <c r="A1418"/>
  <c r="R1417"/>
  <c r="S1417"/>
  <c r="Q1417"/>
  <c r="O1417"/>
  <c r="M1417"/>
  <c r="K1417"/>
  <c r="I1417"/>
  <c r="G1417"/>
  <c r="E1417"/>
  <c r="B1417"/>
  <c r="C1417"/>
  <c r="A1417"/>
  <c r="R1416"/>
  <c r="S1416"/>
  <c r="Q1416"/>
  <c r="O1416"/>
  <c r="M1416"/>
  <c r="K1416"/>
  <c r="I1416"/>
  <c r="G1416"/>
  <c r="E1416"/>
  <c r="B1416"/>
  <c r="C1416"/>
  <c r="A1416"/>
  <c r="R1415"/>
  <c r="S1415"/>
  <c r="Q1415"/>
  <c r="O1415"/>
  <c r="M1415"/>
  <c r="K1415"/>
  <c r="I1415"/>
  <c r="G1415"/>
  <c r="E1415"/>
  <c r="B1415"/>
  <c r="C1415"/>
  <c r="A1415"/>
  <c r="R1414"/>
  <c r="S1414"/>
  <c r="Q1414"/>
  <c r="O1414"/>
  <c r="M1414"/>
  <c r="K1414"/>
  <c r="I1414"/>
  <c r="G1414"/>
  <c r="E1414"/>
  <c r="B1414"/>
  <c r="C1414"/>
  <c r="A1414"/>
  <c r="R1413"/>
  <c r="S1413"/>
  <c r="Q1413"/>
  <c r="O1413"/>
  <c r="M1413"/>
  <c r="K1413"/>
  <c r="I1413"/>
  <c r="G1413"/>
  <c r="E1413"/>
  <c r="B1413"/>
  <c r="C1413"/>
  <c r="A1413"/>
  <c r="R1412"/>
  <c r="S1412"/>
  <c r="Q1412"/>
  <c r="O1412"/>
  <c r="M1412"/>
  <c r="K1412"/>
  <c r="I1412"/>
  <c r="G1412"/>
  <c r="E1412"/>
  <c r="B1412"/>
  <c r="C1412"/>
  <c r="A1412"/>
  <c r="R1411"/>
  <c r="S1411"/>
  <c r="Q1411"/>
  <c r="O1411"/>
  <c r="M1411"/>
  <c r="K1411"/>
  <c r="I1411"/>
  <c r="G1411"/>
  <c r="E1411"/>
  <c r="B1411"/>
  <c r="C1411"/>
  <c r="A1411"/>
  <c r="R1410"/>
  <c r="S1410"/>
  <c r="Q1410"/>
  <c r="O1410"/>
  <c r="M1410"/>
  <c r="K1410"/>
  <c r="I1410"/>
  <c r="G1410"/>
  <c r="E1410"/>
  <c r="B1410"/>
  <c r="C1410"/>
  <c r="A1410"/>
  <c r="R1409"/>
  <c r="S1409"/>
  <c r="Q1409"/>
  <c r="O1409"/>
  <c r="M1409"/>
  <c r="K1409"/>
  <c r="I1409"/>
  <c r="G1409"/>
  <c r="E1409"/>
  <c r="B1409"/>
  <c r="C1409"/>
  <c r="A1409"/>
  <c r="R1408"/>
  <c r="S1408"/>
  <c r="Q1408"/>
  <c r="O1408"/>
  <c r="M1408"/>
  <c r="K1408"/>
  <c r="I1408"/>
  <c r="G1408"/>
  <c r="E1408"/>
  <c r="B1408"/>
  <c r="C1408"/>
  <c r="A1408"/>
  <c r="R1407"/>
  <c r="S1407"/>
  <c r="Q1407"/>
  <c r="O1407"/>
  <c r="M1407"/>
  <c r="K1407"/>
  <c r="I1407"/>
  <c r="G1407"/>
  <c r="E1407"/>
  <c r="B1407"/>
  <c r="C1407"/>
  <c r="A1407"/>
  <c r="R1406"/>
  <c r="S1406"/>
  <c r="Q1406"/>
  <c r="O1406"/>
  <c r="M1406"/>
  <c r="K1406"/>
  <c r="I1406"/>
  <c r="G1406"/>
  <c r="E1406"/>
  <c r="B1406"/>
  <c r="C1406"/>
  <c r="A1406"/>
  <c r="R1405"/>
  <c r="S1405"/>
  <c r="Q1405"/>
  <c r="O1405"/>
  <c r="M1405"/>
  <c r="K1405"/>
  <c r="I1405"/>
  <c r="G1405"/>
  <c r="E1405"/>
  <c r="B1405"/>
  <c r="C1405"/>
  <c r="A1405"/>
  <c r="R1404"/>
  <c r="S1404"/>
  <c r="Q1404"/>
  <c r="O1404"/>
  <c r="M1404"/>
  <c r="K1404"/>
  <c r="I1404"/>
  <c r="G1404"/>
  <c r="E1404"/>
  <c r="B1404"/>
  <c r="C1404"/>
  <c r="A1404"/>
  <c r="R1403"/>
  <c r="S1403"/>
  <c r="Q1403"/>
  <c r="O1403"/>
  <c r="M1403"/>
  <c r="K1403"/>
  <c r="I1403"/>
  <c r="G1403"/>
  <c r="E1403"/>
  <c r="B1403"/>
  <c r="C1403"/>
  <c r="A1403"/>
  <c r="R1402"/>
  <c r="S1402"/>
  <c r="Q1402"/>
  <c r="O1402"/>
  <c r="M1402"/>
  <c r="K1402"/>
  <c r="I1402"/>
  <c r="G1402"/>
  <c r="E1402"/>
  <c r="B1402"/>
  <c r="C1402"/>
  <c r="A1402"/>
  <c r="R1401"/>
  <c r="S1401"/>
  <c r="Q1401"/>
  <c r="O1401"/>
  <c r="M1401"/>
  <c r="K1401"/>
  <c r="I1401"/>
  <c r="G1401"/>
  <c r="E1401"/>
  <c r="B1401"/>
  <c r="C1401"/>
  <c r="A1401"/>
  <c r="R1400"/>
  <c r="S1400"/>
  <c r="Q1400"/>
  <c r="O1400"/>
  <c r="M1400"/>
  <c r="K1400"/>
  <c r="I1400"/>
  <c r="G1400"/>
  <c r="E1400"/>
  <c r="B1400"/>
  <c r="C1400"/>
  <c r="A1400"/>
  <c r="R1399"/>
  <c r="S1399"/>
  <c r="Q1399"/>
  <c r="O1399"/>
  <c r="M1399"/>
  <c r="K1399"/>
  <c r="I1399"/>
  <c r="G1399"/>
  <c r="E1399"/>
  <c r="B1399"/>
  <c r="C1399"/>
  <c r="A1399"/>
  <c r="R1398"/>
  <c r="S1398"/>
  <c r="Q1398"/>
  <c r="O1398"/>
  <c r="M1398"/>
  <c r="K1398"/>
  <c r="I1398"/>
  <c r="G1398"/>
  <c r="E1398"/>
  <c r="B1398"/>
  <c r="C1398"/>
  <c r="A1398"/>
  <c r="R1397"/>
  <c r="S1397"/>
  <c r="Q1397"/>
  <c r="O1397"/>
  <c r="M1397"/>
  <c r="K1397"/>
  <c r="I1397"/>
  <c r="G1397"/>
  <c r="E1397"/>
  <c r="B1397"/>
  <c r="C1397"/>
  <c r="A1397"/>
  <c r="R1396"/>
  <c r="S1396"/>
  <c r="Q1396"/>
  <c r="O1396"/>
  <c r="M1396"/>
  <c r="K1396"/>
  <c r="I1396"/>
  <c r="G1396"/>
  <c r="E1396"/>
  <c r="B1396"/>
  <c r="C1396"/>
  <c r="A1396"/>
  <c r="R1395"/>
  <c r="S1395"/>
  <c r="Q1395"/>
  <c r="O1395"/>
  <c r="M1395"/>
  <c r="K1395"/>
  <c r="I1395"/>
  <c r="G1395"/>
  <c r="E1395"/>
  <c r="B1395"/>
  <c r="C1395"/>
  <c r="A1395"/>
  <c r="R1394"/>
  <c r="S1394"/>
  <c r="Q1394"/>
  <c r="O1394"/>
  <c r="M1394"/>
  <c r="K1394"/>
  <c r="I1394"/>
  <c r="G1394"/>
  <c r="E1394"/>
  <c r="B1394"/>
  <c r="C1394"/>
  <c r="A1394"/>
  <c r="R1393"/>
  <c r="S1393"/>
  <c r="Q1393"/>
  <c r="O1393"/>
  <c r="M1393"/>
  <c r="K1393"/>
  <c r="I1393"/>
  <c r="G1393"/>
  <c r="E1393"/>
  <c r="B1393"/>
  <c r="C1393"/>
  <c r="A1393"/>
  <c r="R1392"/>
  <c r="S1392"/>
  <c r="Q1392"/>
  <c r="O1392"/>
  <c r="M1392"/>
  <c r="K1392"/>
  <c r="I1392"/>
  <c r="G1392"/>
  <c r="E1392"/>
  <c r="B1392"/>
  <c r="C1392"/>
  <c r="A1392"/>
  <c r="R1391"/>
  <c r="S1391"/>
  <c r="Q1391"/>
  <c r="O1391"/>
  <c r="M1391"/>
  <c r="K1391"/>
  <c r="I1391"/>
  <c r="G1391"/>
  <c r="E1391"/>
  <c r="B1391"/>
  <c r="C1391"/>
  <c r="A1391"/>
  <c r="R1390"/>
  <c r="S1390"/>
  <c r="Q1390"/>
  <c r="O1390"/>
  <c r="M1390"/>
  <c r="K1390"/>
  <c r="I1390"/>
  <c r="G1390"/>
  <c r="E1390"/>
  <c r="B1390"/>
  <c r="C1390"/>
  <c r="A1390"/>
  <c r="R1389"/>
  <c r="S1389"/>
  <c r="Q1389"/>
  <c r="O1389"/>
  <c r="M1389"/>
  <c r="K1389"/>
  <c r="I1389"/>
  <c r="G1389"/>
  <c r="E1389"/>
  <c r="B1389"/>
  <c r="C1389"/>
  <c r="A1389"/>
  <c r="R1388"/>
  <c r="S1388"/>
  <c r="Q1388"/>
  <c r="O1388"/>
  <c r="M1388"/>
  <c r="K1388"/>
  <c r="I1388"/>
  <c r="G1388"/>
  <c r="E1388"/>
  <c r="B1388"/>
  <c r="C1388"/>
  <c r="A1388"/>
  <c r="R1387"/>
  <c r="S1387"/>
  <c r="Q1387"/>
  <c r="O1387"/>
  <c r="M1387"/>
  <c r="K1387"/>
  <c r="I1387"/>
  <c r="G1387"/>
  <c r="E1387"/>
  <c r="B1387"/>
  <c r="C1387"/>
  <c r="A1387"/>
  <c r="R1386"/>
  <c r="S1386"/>
  <c r="Q1386"/>
  <c r="O1386"/>
  <c r="M1386"/>
  <c r="K1386"/>
  <c r="I1386"/>
  <c r="G1386"/>
  <c r="E1386"/>
  <c r="B1386"/>
  <c r="C1386"/>
  <c r="A1386"/>
  <c r="R1385"/>
  <c r="S1385"/>
  <c r="Q1385"/>
  <c r="O1385"/>
  <c r="M1385"/>
  <c r="K1385"/>
  <c r="I1385"/>
  <c r="G1385"/>
  <c r="E1385"/>
  <c r="B1385"/>
  <c r="C1385"/>
  <c r="A1385"/>
  <c r="R1384"/>
  <c r="S1384"/>
  <c r="Q1384"/>
  <c r="O1384"/>
  <c r="M1384"/>
  <c r="K1384"/>
  <c r="I1384"/>
  <c r="G1384"/>
  <c r="E1384"/>
  <c r="B1384"/>
  <c r="C1384"/>
  <c r="A1384"/>
  <c r="R1383"/>
  <c r="S1383"/>
  <c r="Q1383"/>
  <c r="O1383"/>
  <c r="M1383"/>
  <c r="K1383"/>
  <c r="I1383"/>
  <c r="G1383"/>
  <c r="E1383"/>
  <c r="B1383"/>
  <c r="C1383"/>
  <c r="A1383"/>
  <c r="R1382"/>
  <c r="S1382"/>
  <c r="Q1382"/>
  <c r="O1382"/>
  <c r="M1382"/>
  <c r="K1382"/>
  <c r="I1382"/>
  <c r="G1382"/>
  <c r="E1382"/>
  <c r="B1382"/>
  <c r="C1382"/>
  <c r="A1382"/>
  <c r="R1381"/>
  <c r="S1381"/>
  <c r="Q1381"/>
  <c r="O1381"/>
  <c r="M1381"/>
  <c r="K1381"/>
  <c r="I1381"/>
  <c r="G1381"/>
  <c r="E1381"/>
  <c r="B1381"/>
  <c r="C1381"/>
  <c r="A1381"/>
  <c r="R1380"/>
  <c r="S1380"/>
  <c r="Q1380"/>
  <c r="O1380"/>
  <c r="M1380"/>
  <c r="K1380"/>
  <c r="I1380"/>
  <c r="G1380"/>
  <c r="E1380"/>
  <c r="B1380"/>
  <c r="C1380"/>
  <c r="A1380"/>
  <c r="R1379"/>
  <c r="S1379"/>
  <c r="Q1379"/>
  <c r="O1379"/>
  <c r="M1379"/>
  <c r="K1379"/>
  <c r="I1379"/>
  <c r="G1379"/>
  <c r="E1379"/>
  <c r="B1379"/>
  <c r="C1379"/>
  <c r="A1379"/>
  <c r="R1378"/>
  <c r="S1378"/>
  <c r="Q1378"/>
  <c r="O1378"/>
  <c r="M1378"/>
  <c r="K1378"/>
  <c r="I1378"/>
  <c r="G1378"/>
  <c r="E1378"/>
  <c r="B1378"/>
  <c r="C1378"/>
  <c r="A1378"/>
  <c r="R1377"/>
  <c r="S1377"/>
  <c r="Q1377"/>
  <c r="O1377"/>
  <c r="M1377"/>
  <c r="K1377"/>
  <c r="I1377"/>
  <c r="G1377"/>
  <c r="E1377"/>
  <c r="B1377"/>
  <c r="C1377"/>
  <c r="A1377"/>
  <c r="R1376"/>
  <c r="S1376"/>
  <c r="Q1376"/>
  <c r="O1376"/>
  <c r="M1376"/>
  <c r="K1376"/>
  <c r="I1376"/>
  <c r="G1376"/>
  <c r="E1376"/>
  <c r="B1376"/>
  <c r="C1376"/>
  <c r="A1376"/>
  <c r="R1375"/>
  <c r="S1375"/>
  <c r="Q1375"/>
  <c r="O1375"/>
  <c r="M1375"/>
  <c r="K1375"/>
  <c r="I1375"/>
  <c r="G1375"/>
  <c r="E1375"/>
  <c r="B1375"/>
  <c r="C1375"/>
  <c r="A1375"/>
  <c r="R1374"/>
  <c r="S1374"/>
  <c r="Q1374"/>
  <c r="O1374"/>
  <c r="M1374"/>
  <c r="K1374"/>
  <c r="I1374"/>
  <c r="G1374"/>
  <c r="E1374"/>
  <c r="B1374"/>
  <c r="C1374"/>
  <c r="A1374"/>
  <c r="R1373"/>
  <c r="S1373"/>
  <c r="Q1373"/>
  <c r="O1373"/>
  <c r="M1373"/>
  <c r="K1373"/>
  <c r="I1373"/>
  <c r="G1373"/>
  <c r="E1373"/>
  <c r="B1373"/>
  <c r="C1373"/>
  <c r="A1373"/>
  <c r="R1372"/>
  <c r="S1372"/>
  <c r="Q1372"/>
  <c r="O1372"/>
  <c r="M1372"/>
  <c r="K1372"/>
  <c r="I1372"/>
  <c r="G1372"/>
  <c r="E1372"/>
  <c r="B1372"/>
  <c r="C1372"/>
  <c r="A1372"/>
  <c r="R1371"/>
  <c r="S1371"/>
  <c r="Q1371"/>
  <c r="O1371"/>
  <c r="M1371"/>
  <c r="K1371"/>
  <c r="I1371"/>
  <c r="G1371"/>
  <c r="E1371"/>
  <c r="B1371"/>
  <c r="C1371"/>
  <c r="A1371"/>
  <c r="R1370"/>
  <c r="S1370"/>
  <c r="Q1370"/>
  <c r="O1370"/>
  <c r="M1370"/>
  <c r="K1370"/>
  <c r="I1370"/>
  <c r="G1370"/>
  <c r="E1370"/>
  <c r="B1370"/>
  <c r="C1370"/>
  <c r="A1370"/>
  <c r="R1369"/>
  <c r="S1369"/>
  <c r="Q1369"/>
  <c r="O1369"/>
  <c r="M1369"/>
  <c r="K1369"/>
  <c r="I1369"/>
  <c r="G1369"/>
  <c r="E1369"/>
  <c r="B1369"/>
  <c r="C1369"/>
  <c r="A1369"/>
  <c r="R1368"/>
  <c r="S1368"/>
  <c r="Q1368"/>
  <c r="O1368"/>
  <c r="M1368"/>
  <c r="K1368"/>
  <c r="I1368"/>
  <c r="G1368"/>
  <c r="E1368"/>
  <c r="B1368"/>
  <c r="C1368"/>
  <c r="A1368"/>
  <c r="R1367"/>
  <c r="S1367"/>
  <c r="Q1367"/>
  <c r="O1367"/>
  <c r="M1367"/>
  <c r="K1367"/>
  <c r="I1367"/>
  <c r="G1367"/>
  <c r="E1367"/>
  <c r="B1367"/>
  <c r="C1367"/>
  <c r="A1367"/>
  <c r="R1366"/>
  <c r="S1366"/>
  <c r="Q1366"/>
  <c r="O1366"/>
  <c r="M1366"/>
  <c r="K1366"/>
  <c r="I1366"/>
  <c r="G1366"/>
  <c r="E1366"/>
  <c r="B1366"/>
  <c r="C1366"/>
  <c r="A1366"/>
  <c r="R1365"/>
  <c r="S1365"/>
  <c r="Q1365"/>
  <c r="O1365"/>
  <c r="M1365"/>
  <c r="K1365"/>
  <c r="I1365"/>
  <c r="G1365"/>
  <c r="E1365"/>
  <c r="B1365"/>
  <c r="C1365"/>
  <c r="A1365"/>
  <c r="R1364"/>
  <c r="S1364"/>
  <c r="Q1364"/>
  <c r="O1364"/>
  <c r="M1364"/>
  <c r="K1364"/>
  <c r="I1364"/>
  <c r="G1364"/>
  <c r="E1364"/>
  <c r="B1364"/>
  <c r="C1364"/>
  <c r="A1364"/>
  <c r="R1363"/>
  <c r="S1363"/>
  <c r="Q1363"/>
  <c r="O1363"/>
  <c r="M1363"/>
  <c r="K1363"/>
  <c r="I1363"/>
  <c r="G1363"/>
  <c r="E1363"/>
  <c r="B1363"/>
  <c r="C1363"/>
  <c r="A1363"/>
  <c r="R1362"/>
  <c r="S1362"/>
  <c r="Q1362"/>
  <c r="O1362"/>
  <c r="M1362"/>
  <c r="K1362"/>
  <c r="I1362"/>
  <c r="G1362"/>
  <c r="E1362"/>
  <c r="B1362"/>
  <c r="C1362"/>
  <c r="A1362"/>
  <c r="R1361"/>
  <c r="S1361"/>
  <c r="Q1361"/>
  <c r="O1361"/>
  <c r="M1361"/>
  <c r="K1361"/>
  <c r="I1361"/>
  <c r="G1361"/>
  <c r="E1361"/>
  <c r="B1361"/>
  <c r="C1361"/>
  <c r="A1361"/>
  <c r="R1360"/>
  <c r="S1360"/>
  <c r="Q1360"/>
  <c r="O1360"/>
  <c r="M1360"/>
  <c r="K1360"/>
  <c r="I1360"/>
  <c r="G1360"/>
  <c r="E1360"/>
  <c r="B1360"/>
  <c r="C1360"/>
  <c r="A1360"/>
  <c r="R1359"/>
  <c r="S1359"/>
  <c r="Q1359"/>
  <c r="O1359"/>
  <c r="M1359"/>
  <c r="K1359"/>
  <c r="I1359"/>
  <c r="G1359"/>
  <c r="E1359"/>
  <c r="B1359"/>
  <c r="C1359"/>
  <c r="A1359"/>
  <c r="R1358"/>
  <c r="S1358"/>
  <c r="Q1358"/>
  <c r="O1358"/>
  <c r="M1358"/>
  <c r="K1358"/>
  <c r="I1358"/>
  <c r="G1358"/>
  <c r="E1358"/>
  <c r="B1358"/>
  <c r="C1358"/>
  <c r="A1358"/>
  <c r="R1357"/>
  <c r="S1357"/>
  <c r="Q1357"/>
  <c r="O1357"/>
  <c r="M1357"/>
  <c r="K1357"/>
  <c r="I1357"/>
  <c r="G1357"/>
  <c r="E1357"/>
  <c r="B1357"/>
  <c r="C1357"/>
  <c r="A1357"/>
  <c r="R1356"/>
  <c r="S1356"/>
  <c r="Q1356"/>
  <c r="O1356"/>
  <c r="M1356"/>
  <c r="K1356"/>
  <c r="I1356"/>
  <c r="G1356"/>
  <c r="E1356"/>
  <c r="B1356"/>
  <c r="C1356"/>
  <c r="A1356"/>
  <c r="R1355"/>
  <c r="S1355"/>
  <c r="Q1355"/>
  <c r="O1355"/>
  <c r="M1355"/>
  <c r="K1355"/>
  <c r="I1355"/>
  <c r="G1355"/>
  <c r="E1355"/>
  <c r="B1355"/>
  <c r="C1355"/>
  <c r="A1355"/>
  <c r="R1354"/>
  <c r="S1354"/>
  <c r="Q1354"/>
  <c r="O1354"/>
  <c r="M1354"/>
  <c r="K1354"/>
  <c r="I1354"/>
  <c r="G1354"/>
  <c r="E1354"/>
  <c r="B1354"/>
  <c r="C1354"/>
  <c r="A1354"/>
  <c r="R1353"/>
  <c r="S1353"/>
  <c r="Q1353"/>
  <c r="O1353"/>
  <c r="M1353"/>
  <c r="K1353"/>
  <c r="I1353"/>
  <c r="G1353"/>
  <c r="E1353"/>
  <c r="B1353"/>
  <c r="C1353"/>
  <c r="A1353"/>
  <c r="R1352"/>
  <c r="S1352"/>
  <c r="Q1352"/>
  <c r="O1352"/>
  <c r="M1352"/>
  <c r="K1352"/>
  <c r="I1352"/>
  <c r="G1352"/>
  <c r="E1352"/>
  <c r="B1352"/>
  <c r="C1352"/>
  <c r="A1352"/>
  <c r="R1351"/>
  <c r="S1351"/>
  <c r="Q1351"/>
  <c r="O1351"/>
  <c r="M1351"/>
  <c r="K1351"/>
  <c r="I1351"/>
  <c r="G1351"/>
  <c r="E1351"/>
  <c r="B1351"/>
  <c r="C1351"/>
  <c r="A1351"/>
  <c r="R1350"/>
  <c r="S1350"/>
  <c r="Q1350"/>
  <c r="O1350"/>
  <c r="M1350"/>
  <c r="K1350"/>
  <c r="I1350"/>
  <c r="G1350"/>
  <c r="E1350"/>
  <c r="B1350"/>
  <c r="C1350"/>
  <c r="A1350"/>
  <c r="R1349"/>
  <c r="S1349"/>
  <c r="Q1349"/>
  <c r="O1349"/>
  <c r="M1349"/>
  <c r="K1349"/>
  <c r="I1349"/>
  <c r="G1349"/>
  <c r="E1349"/>
  <c r="B1349"/>
  <c r="C1349"/>
  <c r="A1349"/>
  <c r="R1348"/>
  <c r="S1348"/>
  <c r="Q1348"/>
  <c r="O1348"/>
  <c r="M1348"/>
  <c r="K1348"/>
  <c r="I1348"/>
  <c r="G1348"/>
  <c r="E1348"/>
  <c r="B1348"/>
  <c r="C1348"/>
  <c r="A1348"/>
  <c r="R1347"/>
  <c r="S1347"/>
  <c r="Q1347"/>
  <c r="O1347"/>
  <c r="M1347"/>
  <c r="K1347"/>
  <c r="I1347"/>
  <c r="G1347"/>
  <c r="E1347"/>
  <c r="B1347"/>
  <c r="C1347"/>
  <c r="A1347"/>
  <c r="R1346"/>
  <c r="S1346"/>
  <c r="Q1346"/>
  <c r="O1346"/>
  <c r="M1346"/>
  <c r="K1346"/>
  <c r="I1346"/>
  <c r="G1346"/>
  <c r="E1346"/>
  <c r="B1346"/>
  <c r="C1346"/>
  <c r="A1346"/>
  <c r="R1345"/>
  <c r="S1345"/>
  <c r="Q1345"/>
  <c r="O1345"/>
  <c r="M1345"/>
  <c r="K1345"/>
  <c r="I1345"/>
  <c r="G1345"/>
  <c r="E1345"/>
  <c r="B1345"/>
  <c r="C1345"/>
  <c r="A1345"/>
  <c r="R1344"/>
  <c r="S1344"/>
  <c r="Q1344"/>
  <c r="O1344"/>
  <c r="M1344"/>
  <c r="K1344"/>
  <c r="I1344"/>
  <c r="G1344"/>
  <c r="E1344"/>
  <c r="B1344"/>
  <c r="C1344"/>
  <c r="A1344"/>
  <c r="R1343"/>
  <c r="S1343"/>
  <c r="Q1343"/>
  <c r="O1343"/>
  <c r="M1343"/>
  <c r="K1343"/>
  <c r="I1343"/>
  <c r="G1343"/>
  <c r="E1343"/>
  <c r="B1343"/>
  <c r="C1343"/>
  <c r="A1343"/>
  <c r="R1342"/>
  <c r="S1342"/>
  <c r="Q1342"/>
  <c r="O1342"/>
  <c r="M1342"/>
  <c r="K1342"/>
  <c r="I1342"/>
  <c r="G1342"/>
  <c r="E1342"/>
  <c r="B1342"/>
  <c r="C1342"/>
  <c r="A1342"/>
  <c r="R1341"/>
  <c r="S1341"/>
  <c r="Q1341"/>
  <c r="O1341"/>
  <c r="M1341"/>
  <c r="K1341"/>
  <c r="I1341"/>
  <c r="G1341"/>
  <c r="E1341"/>
  <c r="B1341"/>
  <c r="C1341"/>
  <c r="A1341"/>
  <c r="R1340"/>
  <c r="S1340"/>
  <c r="Q1340"/>
  <c r="O1340"/>
  <c r="M1340"/>
  <c r="K1340"/>
  <c r="I1340"/>
  <c r="G1340"/>
  <c r="E1340"/>
  <c r="B1340"/>
  <c r="C1340"/>
  <c r="A1340"/>
  <c r="R1339"/>
  <c r="S1339"/>
  <c r="Q1339"/>
  <c r="O1339"/>
  <c r="M1339"/>
  <c r="K1339"/>
  <c r="I1339"/>
  <c r="G1339"/>
  <c r="E1339"/>
  <c r="B1339"/>
  <c r="C1339"/>
  <c r="A1339"/>
  <c r="R1338"/>
  <c r="S1338"/>
  <c r="Q1338"/>
  <c r="O1338"/>
  <c r="M1338"/>
  <c r="K1338"/>
  <c r="I1338"/>
  <c r="G1338"/>
  <c r="E1338"/>
  <c r="B1338"/>
  <c r="C1338"/>
  <c r="A1338"/>
  <c r="R1337"/>
  <c r="S1337"/>
  <c r="Q1337"/>
  <c r="O1337"/>
  <c r="M1337"/>
  <c r="K1337"/>
  <c r="I1337"/>
  <c r="G1337"/>
  <c r="E1337"/>
  <c r="B1337"/>
  <c r="C1337"/>
  <c r="A1337"/>
  <c r="R1336"/>
  <c r="S1336"/>
  <c r="Q1336"/>
  <c r="O1336"/>
  <c r="M1336"/>
  <c r="K1336"/>
  <c r="I1336"/>
  <c r="G1336"/>
  <c r="E1336"/>
  <c r="B1336"/>
  <c r="C1336"/>
  <c r="A1336"/>
  <c r="R1335"/>
  <c r="S1335"/>
  <c r="Q1335"/>
  <c r="O1335"/>
  <c r="M1335"/>
  <c r="K1335"/>
  <c r="I1335"/>
  <c r="G1335"/>
  <c r="E1335"/>
  <c r="B1335"/>
  <c r="C1335"/>
  <c r="A1335"/>
  <c r="R1334"/>
  <c r="S1334"/>
  <c r="Q1334"/>
  <c r="O1334"/>
  <c r="M1334"/>
  <c r="K1334"/>
  <c r="I1334"/>
  <c r="G1334"/>
  <c r="E1334"/>
  <c r="B1334"/>
  <c r="C1334"/>
  <c r="A1334"/>
  <c r="R1333"/>
  <c r="S1333"/>
  <c r="Q1333"/>
  <c r="O1333"/>
  <c r="M1333"/>
  <c r="K1333"/>
  <c r="I1333"/>
  <c r="G1333"/>
  <c r="E1333"/>
  <c r="B1333"/>
  <c r="C1333"/>
  <c r="A1333"/>
  <c r="R1332"/>
  <c r="S1332"/>
  <c r="Q1332"/>
  <c r="O1332"/>
  <c r="M1332"/>
  <c r="K1332"/>
  <c r="I1332"/>
  <c r="G1332"/>
  <c r="E1332"/>
  <c r="B1332"/>
  <c r="C1332"/>
  <c r="A1332"/>
  <c r="R1331"/>
  <c r="S1331"/>
  <c r="Q1331"/>
  <c r="O1331"/>
  <c r="M1331"/>
  <c r="K1331"/>
  <c r="I1331"/>
  <c r="G1331"/>
  <c r="E1331"/>
  <c r="B1331"/>
  <c r="C1331"/>
  <c r="A1331"/>
  <c r="R1330"/>
  <c r="S1330"/>
  <c r="Q1330"/>
  <c r="O1330"/>
  <c r="M1330"/>
  <c r="K1330"/>
  <c r="I1330"/>
  <c r="G1330"/>
  <c r="E1330"/>
  <c r="B1330"/>
  <c r="C1330"/>
  <c r="A1330"/>
  <c r="R1329"/>
  <c r="S1329"/>
  <c r="Q1329"/>
  <c r="O1329"/>
  <c r="M1329"/>
  <c r="K1329"/>
  <c r="I1329"/>
  <c r="G1329"/>
  <c r="E1329"/>
  <c r="B1329"/>
  <c r="C1329"/>
  <c r="A1329"/>
  <c r="R1328"/>
  <c r="S1328"/>
  <c r="Q1328"/>
  <c r="O1328"/>
  <c r="M1328"/>
  <c r="K1328"/>
  <c r="I1328"/>
  <c r="G1328"/>
  <c r="E1328"/>
  <c r="B1328"/>
  <c r="C1328"/>
  <c r="A1328"/>
  <c r="R1327"/>
  <c r="S1327"/>
  <c r="Q1327"/>
  <c r="O1327"/>
  <c r="M1327"/>
  <c r="K1327"/>
  <c r="I1327"/>
  <c r="G1327"/>
  <c r="E1327"/>
  <c r="B1327"/>
  <c r="C1327"/>
  <c r="A1327"/>
  <c r="R1326"/>
  <c r="S1326"/>
  <c r="Q1326"/>
  <c r="O1326"/>
  <c r="M1326"/>
  <c r="K1326"/>
  <c r="I1326"/>
  <c r="G1326"/>
  <c r="E1326"/>
  <c r="B1326"/>
  <c r="C1326"/>
  <c r="A1326"/>
  <c r="R1325"/>
  <c r="S1325"/>
  <c r="Q1325"/>
  <c r="O1325"/>
  <c r="M1325"/>
  <c r="K1325"/>
  <c r="I1325"/>
  <c r="G1325"/>
  <c r="E1325"/>
  <c r="B1325"/>
  <c r="C1325"/>
  <c r="A1325"/>
  <c r="R1324"/>
  <c r="S1324"/>
  <c r="Q1324"/>
  <c r="O1324"/>
  <c r="M1324"/>
  <c r="K1324"/>
  <c r="I1324"/>
  <c r="G1324"/>
  <c r="E1324"/>
  <c r="B1324"/>
  <c r="C1324"/>
  <c r="A1324"/>
  <c r="R1323"/>
  <c r="S1323"/>
  <c r="Q1323"/>
  <c r="O1323"/>
  <c r="M1323"/>
  <c r="K1323"/>
  <c r="I1323"/>
  <c r="G1323"/>
  <c r="E1323"/>
  <c r="B1323"/>
  <c r="C1323"/>
  <c r="A1323"/>
  <c r="R1322"/>
  <c r="S1322"/>
  <c r="Q1322"/>
  <c r="O1322"/>
  <c r="M1322"/>
  <c r="K1322"/>
  <c r="I1322"/>
  <c r="G1322"/>
  <c r="E1322"/>
  <c r="B1322"/>
  <c r="C1322"/>
  <c r="A1322"/>
  <c r="R1321"/>
  <c r="S1321"/>
  <c r="Q1321"/>
  <c r="O1321"/>
  <c r="M1321"/>
  <c r="K1321"/>
  <c r="I1321"/>
  <c r="G1321"/>
  <c r="E1321"/>
  <c r="B1321"/>
  <c r="C1321"/>
  <c r="A1321"/>
  <c r="R1320"/>
  <c r="S1320"/>
  <c r="Q1320"/>
  <c r="O1320"/>
  <c r="M1320"/>
  <c r="K1320"/>
  <c r="I1320"/>
  <c r="G1320"/>
  <c r="E1320"/>
  <c r="B1320"/>
  <c r="C1320"/>
  <c r="A1320"/>
  <c r="R1319"/>
  <c r="S1319"/>
  <c r="Q1319"/>
  <c r="O1319"/>
  <c r="M1319"/>
  <c r="K1319"/>
  <c r="I1319"/>
  <c r="G1319"/>
  <c r="E1319"/>
  <c r="B1319"/>
  <c r="C1319"/>
  <c r="A1319"/>
  <c r="R1318"/>
  <c r="S1318"/>
  <c r="Q1318"/>
  <c r="O1318"/>
  <c r="M1318"/>
  <c r="K1318"/>
  <c r="I1318"/>
  <c r="G1318"/>
  <c r="E1318"/>
  <c r="B1318"/>
  <c r="C1318"/>
  <c r="A1318"/>
  <c r="R1317"/>
  <c r="S1317"/>
  <c r="Q1317"/>
  <c r="O1317"/>
  <c r="M1317"/>
  <c r="K1317"/>
  <c r="I1317"/>
  <c r="G1317"/>
  <c r="E1317"/>
  <c r="B1317"/>
  <c r="C1317"/>
  <c r="A1317"/>
  <c r="R1316"/>
  <c r="S1316"/>
  <c r="Q1316"/>
  <c r="O1316"/>
  <c r="M1316"/>
  <c r="K1316"/>
  <c r="I1316"/>
  <c r="G1316"/>
  <c r="E1316"/>
  <c r="B1316"/>
  <c r="C1316"/>
  <c r="A1316"/>
  <c r="R1315"/>
  <c r="S1315"/>
  <c r="Q1315"/>
  <c r="O1315"/>
  <c r="M1315"/>
  <c r="K1315"/>
  <c r="I1315"/>
  <c r="G1315"/>
  <c r="E1315"/>
  <c r="B1315"/>
  <c r="C1315"/>
  <c r="A1315"/>
  <c r="R1314"/>
  <c r="S1314"/>
  <c r="Q1314"/>
  <c r="O1314"/>
  <c r="M1314"/>
  <c r="K1314"/>
  <c r="I1314"/>
  <c r="G1314"/>
  <c r="E1314"/>
  <c r="B1314"/>
  <c r="C1314"/>
  <c r="A1314"/>
  <c r="R1313"/>
  <c r="S1313"/>
  <c r="Q1313"/>
  <c r="O1313"/>
  <c r="M1313"/>
  <c r="K1313"/>
  <c r="I1313"/>
  <c r="G1313"/>
  <c r="E1313"/>
  <c r="B1313"/>
  <c r="C1313"/>
  <c r="A1313"/>
  <c r="R1312"/>
  <c r="S1312"/>
  <c r="Q1312"/>
  <c r="O1312"/>
  <c r="M1312"/>
  <c r="K1312"/>
  <c r="I1312"/>
  <c r="G1312"/>
  <c r="E1312"/>
  <c r="B1312"/>
  <c r="C1312"/>
  <c r="A1312"/>
  <c r="R1311"/>
  <c r="S1311"/>
  <c r="Q1311"/>
  <c r="O1311"/>
  <c r="M1311"/>
  <c r="K1311"/>
  <c r="I1311"/>
  <c r="G1311"/>
  <c r="E1311"/>
  <c r="B1311"/>
  <c r="C1311"/>
  <c r="A1311"/>
  <c r="R1310"/>
  <c r="S1310"/>
  <c r="Q1310"/>
  <c r="O1310"/>
  <c r="M1310"/>
  <c r="K1310"/>
  <c r="I1310"/>
  <c r="G1310"/>
  <c r="E1310"/>
  <c r="B1310"/>
  <c r="C1310"/>
  <c r="A1310"/>
  <c r="R1309"/>
  <c r="S1309"/>
  <c r="Q1309"/>
  <c r="O1309"/>
  <c r="M1309"/>
  <c r="K1309"/>
  <c r="I1309"/>
  <c r="G1309"/>
  <c r="E1309"/>
  <c r="B1309"/>
  <c r="C1309"/>
  <c r="A1309"/>
  <c r="R1308"/>
  <c r="S1308"/>
  <c r="Q1308"/>
  <c r="O1308"/>
  <c r="M1308"/>
  <c r="K1308"/>
  <c r="I1308"/>
  <c r="G1308"/>
  <c r="E1308"/>
  <c r="B1308"/>
  <c r="C1308"/>
  <c r="A1308"/>
  <c r="R1307"/>
  <c r="S1307"/>
  <c r="Q1307"/>
  <c r="O1307"/>
  <c r="M1307"/>
  <c r="K1307"/>
  <c r="I1307"/>
  <c r="G1307"/>
  <c r="E1307"/>
  <c r="B1307"/>
  <c r="C1307"/>
  <c r="A1307"/>
  <c r="R1306"/>
  <c r="S1306"/>
  <c r="Q1306"/>
  <c r="O1306"/>
  <c r="M1306"/>
  <c r="K1306"/>
  <c r="I1306"/>
  <c r="G1306"/>
  <c r="E1306"/>
  <c r="B1306"/>
  <c r="C1306"/>
  <c r="A1306"/>
  <c r="R1305"/>
  <c r="S1305"/>
  <c r="Q1305"/>
  <c r="O1305"/>
  <c r="M1305"/>
  <c r="K1305"/>
  <c r="I1305"/>
  <c r="G1305"/>
  <c r="E1305"/>
  <c r="B1305"/>
  <c r="C1305"/>
  <c r="A1305"/>
  <c r="R1304"/>
  <c r="S1304"/>
  <c r="Q1304"/>
  <c r="O1304"/>
  <c r="M1304"/>
  <c r="K1304"/>
  <c r="I1304"/>
  <c r="G1304"/>
  <c r="E1304"/>
  <c r="B1304"/>
  <c r="C1304"/>
  <c r="A1304"/>
  <c r="R1303"/>
  <c r="S1303"/>
  <c r="Q1303"/>
  <c r="O1303"/>
  <c r="M1303"/>
  <c r="K1303"/>
  <c r="I1303"/>
  <c r="G1303"/>
  <c r="E1303"/>
  <c r="B1303"/>
  <c r="C1303"/>
  <c r="A1303"/>
  <c r="R1302"/>
  <c r="S1302"/>
  <c r="Q1302"/>
  <c r="O1302"/>
  <c r="M1302"/>
  <c r="K1302"/>
  <c r="I1302"/>
  <c r="G1302"/>
  <c r="E1302"/>
  <c r="B1302"/>
  <c r="C1302"/>
  <c r="A1302"/>
  <c r="R1301"/>
  <c r="S1301"/>
  <c r="Q1301"/>
  <c r="O1301"/>
  <c r="M1301"/>
  <c r="K1301"/>
  <c r="I1301"/>
  <c r="G1301"/>
  <c r="E1301"/>
  <c r="B1301"/>
  <c r="C1301"/>
  <c r="A1301"/>
  <c r="R1300"/>
  <c r="S1300"/>
  <c r="Q1300"/>
  <c r="O1300"/>
  <c r="M1300"/>
  <c r="K1300"/>
  <c r="I1300"/>
  <c r="G1300"/>
  <c r="E1300"/>
  <c r="B1300"/>
  <c r="C1300"/>
  <c r="A1300"/>
  <c r="R1299"/>
  <c r="S1299"/>
  <c r="Q1299"/>
  <c r="O1299"/>
  <c r="M1299"/>
  <c r="K1299"/>
  <c r="I1299"/>
  <c r="G1299"/>
  <c r="E1299"/>
  <c r="B1299"/>
  <c r="C1299"/>
  <c r="A1299"/>
  <c r="R1298"/>
  <c r="S1298"/>
  <c r="Q1298"/>
  <c r="O1298"/>
  <c r="M1298"/>
  <c r="K1298"/>
  <c r="I1298"/>
  <c r="G1298"/>
  <c r="E1298"/>
  <c r="B1298"/>
  <c r="C1298"/>
  <c r="A1298"/>
  <c r="R1297"/>
  <c r="S1297"/>
  <c r="Q1297"/>
  <c r="O1297"/>
  <c r="M1297"/>
  <c r="K1297"/>
  <c r="I1297"/>
  <c r="G1297"/>
  <c r="E1297"/>
  <c r="B1297"/>
  <c r="C1297"/>
  <c r="A1297"/>
  <c r="R1296"/>
  <c r="S1296"/>
  <c r="Q1296"/>
  <c r="O1296"/>
  <c r="M1296"/>
  <c r="K1296"/>
  <c r="I1296"/>
  <c r="G1296"/>
  <c r="E1296"/>
  <c r="B1296"/>
  <c r="C1296"/>
  <c r="A1296"/>
  <c r="R1295"/>
  <c r="S1295"/>
  <c r="Q1295"/>
  <c r="O1295"/>
  <c r="M1295"/>
  <c r="K1295"/>
  <c r="I1295"/>
  <c r="G1295"/>
  <c r="E1295"/>
  <c r="B1295"/>
  <c r="C1295"/>
  <c r="A1295"/>
  <c r="R1294"/>
  <c r="S1294"/>
  <c r="Q1294"/>
  <c r="O1294"/>
  <c r="M1294"/>
  <c r="K1294"/>
  <c r="I1294"/>
  <c r="G1294"/>
  <c r="E1294"/>
  <c r="B1294"/>
  <c r="C1294"/>
  <c r="A1294"/>
  <c r="R1293"/>
  <c r="S1293"/>
  <c r="Q1293"/>
  <c r="O1293"/>
  <c r="M1293"/>
  <c r="K1293"/>
  <c r="I1293"/>
  <c r="G1293"/>
  <c r="E1293"/>
  <c r="B1293"/>
  <c r="C1293"/>
  <c r="A1293"/>
  <c r="R1292"/>
  <c r="S1292"/>
  <c r="Q1292"/>
  <c r="O1292"/>
  <c r="M1292"/>
  <c r="K1292"/>
  <c r="I1292"/>
  <c r="G1292"/>
  <c r="E1292"/>
  <c r="B1292"/>
  <c r="C1292"/>
  <c r="A1292"/>
  <c r="R1291"/>
  <c r="S1291"/>
  <c r="Q1291"/>
  <c r="O1291"/>
  <c r="M1291"/>
  <c r="K1291"/>
  <c r="I1291"/>
  <c r="G1291"/>
  <c r="E1291"/>
  <c r="B1291"/>
  <c r="C1291"/>
  <c r="A1291"/>
  <c r="R1290"/>
  <c r="S1290"/>
  <c r="Q1290"/>
  <c r="O1290"/>
  <c r="M1290"/>
  <c r="K1290"/>
  <c r="I1290"/>
  <c r="G1290"/>
  <c r="E1290"/>
  <c r="B1290"/>
  <c r="C1290"/>
  <c r="A1290"/>
  <c r="R1289"/>
  <c r="S1289"/>
  <c r="Q1289"/>
  <c r="O1289"/>
  <c r="M1289"/>
  <c r="K1289"/>
  <c r="I1289"/>
  <c r="G1289"/>
  <c r="E1289"/>
  <c r="B1289"/>
  <c r="C1289"/>
  <c r="A1289"/>
  <c r="R1288"/>
  <c r="S1288"/>
  <c r="Q1288"/>
  <c r="O1288"/>
  <c r="M1288"/>
  <c r="K1288"/>
  <c r="I1288"/>
  <c r="G1288"/>
  <c r="E1288"/>
  <c r="B1288"/>
  <c r="C1288"/>
  <c r="A1288"/>
  <c r="R1287"/>
  <c r="S1287"/>
  <c r="Q1287"/>
  <c r="O1287"/>
  <c r="M1287"/>
  <c r="K1287"/>
  <c r="I1287"/>
  <c r="G1287"/>
  <c r="E1287"/>
  <c r="B1287"/>
  <c r="C1287"/>
  <c r="A1287"/>
  <c r="R1286"/>
  <c r="S1286"/>
  <c r="Q1286"/>
  <c r="O1286"/>
  <c r="M1286"/>
  <c r="K1286"/>
  <c r="I1286"/>
  <c r="G1286"/>
  <c r="E1286"/>
  <c r="B1286"/>
  <c r="C1286"/>
  <c r="A1286"/>
  <c r="R1285"/>
  <c r="S1285"/>
  <c r="Q1285"/>
  <c r="O1285"/>
  <c r="M1285"/>
  <c r="K1285"/>
  <c r="I1285"/>
  <c r="G1285"/>
  <c r="E1285"/>
  <c r="B1285"/>
  <c r="C1285"/>
  <c r="A1285"/>
  <c r="R1284"/>
  <c r="S1284"/>
  <c r="Q1284"/>
  <c r="O1284"/>
  <c r="M1284"/>
  <c r="K1284"/>
  <c r="I1284"/>
  <c r="G1284"/>
  <c r="E1284"/>
  <c r="B1284"/>
  <c r="C1284"/>
  <c r="A1284"/>
  <c r="R1283"/>
  <c r="S1283"/>
  <c r="Q1283"/>
  <c r="O1283"/>
  <c r="M1283"/>
  <c r="K1283"/>
  <c r="I1283"/>
  <c r="G1283"/>
  <c r="E1283"/>
  <c r="B1283"/>
  <c r="C1283"/>
  <c r="A1283"/>
  <c r="R1282"/>
  <c r="S1282"/>
  <c r="Q1282"/>
  <c r="O1282"/>
  <c r="M1282"/>
  <c r="K1282"/>
  <c r="I1282"/>
  <c r="G1282"/>
  <c r="E1282"/>
  <c r="B1282"/>
  <c r="C1282"/>
  <c r="A1282"/>
  <c r="R1281"/>
  <c r="S1281"/>
  <c r="Q1281"/>
  <c r="O1281"/>
  <c r="M1281"/>
  <c r="K1281"/>
  <c r="I1281"/>
  <c r="G1281"/>
  <c r="E1281"/>
  <c r="B1281"/>
  <c r="C1281"/>
  <c r="A1281"/>
  <c r="R1280"/>
  <c r="S1280"/>
  <c r="Q1280"/>
  <c r="O1280"/>
  <c r="M1280"/>
  <c r="K1280"/>
  <c r="I1280"/>
  <c r="G1280"/>
  <c r="E1280"/>
  <c r="B1280"/>
  <c r="C1280"/>
  <c r="A1280"/>
  <c r="R1279"/>
  <c r="S1279"/>
  <c r="Q1279"/>
  <c r="O1279"/>
  <c r="M1279"/>
  <c r="K1279"/>
  <c r="I1279"/>
  <c r="G1279"/>
  <c r="E1279"/>
  <c r="B1279"/>
  <c r="C1279"/>
  <c r="A1279"/>
  <c r="R1278"/>
  <c r="S1278"/>
  <c r="Q1278"/>
  <c r="O1278"/>
  <c r="M1278"/>
  <c r="K1278"/>
  <c r="I1278"/>
  <c r="G1278"/>
  <c r="E1278"/>
  <c r="B1278"/>
  <c r="C1278"/>
  <c r="A1278"/>
  <c r="R1277"/>
  <c r="S1277"/>
  <c r="Q1277"/>
  <c r="O1277"/>
  <c r="M1277"/>
  <c r="K1277"/>
  <c r="I1277"/>
  <c r="G1277"/>
  <c r="E1277"/>
  <c r="B1277"/>
  <c r="C1277"/>
  <c r="A1277"/>
  <c r="R1276"/>
  <c r="S1276"/>
  <c r="Q1276"/>
  <c r="O1276"/>
  <c r="M1276"/>
  <c r="K1276"/>
  <c r="I1276"/>
  <c r="G1276"/>
  <c r="E1276"/>
  <c r="B1276"/>
  <c r="C1276"/>
  <c r="A1276"/>
  <c r="R1275"/>
  <c r="S1275"/>
  <c r="Q1275"/>
  <c r="O1275"/>
  <c r="M1275"/>
  <c r="K1275"/>
  <c r="I1275"/>
  <c r="G1275"/>
  <c r="E1275"/>
  <c r="B1275"/>
  <c r="C1275"/>
  <c r="A1275"/>
  <c r="R1274"/>
  <c r="S1274"/>
  <c r="Q1274"/>
  <c r="O1274"/>
  <c r="M1274"/>
  <c r="K1274"/>
  <c r="I1274"/>
  <c r="G1274"/>
  <c r="E1274"/>
  <c r="B1274"/>
  <c r="C1274"/>
  <c r="A1274"/>
  <c r="R1273"/>
  <c r="S1273"/>
  <c r="Q1273"/>
  <c r="O1273"/>
  <c r="M1273"/>
  <c r="K1273"/>
  <c r="I1273"/>
  <c r="G1273"/>
  <c r="E1273"/>
  <c r="B1273"/>
  <c r="C1273"/>
  <c r="A1273"/>
  <c r="R1272"/>
  <c r="S1272"/>
  <c r="Q1272"/>
  <c r="O1272"/>
  <c r="M1272"/>
  <c r="K1272"/>
  <c r="I1272"/>
  <c r="G1272"/>
  <c r="E1272"/>
  <c r="B1272"/>
  <c r="C1272"/>
  <c r="A1272"/>
  <c r="R1271"/>
  <c r="S1271"/>
  <c r="Q1271"/>
  <c r="O1271"/>
  <c r="M1271"/>
  <c r="K1271"/>
  <c r="I1271"/>
  <c r="G1271"/>
  <c r="E1271"/>
  <c r="B1271"/>
  <c r="C1271"/>
  <c r="A1271"/>
  <c r="R1270"/>
  <c r="S1270"/>
  <c r="Q1270"/>
  <c r="O1270"/>
  <c r="M1270"/>
  <c r="K1270"/>
  <c r="I1270"/>
  <c r="G1270"/>
  <c r="E1270"/>
  <c r="B1270"/>
  <c r="C1270"/>
  <c r="A1270"/>
  <c r="R1269"/>
  <c r="S1269"/>
  <c r="Q1269"/>
  <c r="O1269"/>
  <c r="M1269"/>
  <c r="K1269"/>
  <c r="I1269"/>
  <c r="G1269"/>
  <c r="E1269"/>
  <c r="B1269"/>
  <c r="C1269"/>
  <c r="A1269"/>
  <c r="R1268"/>
  <c r="S1268"/>
  <c r="Q1268"/>
  <c r="O1268"/>
  <c r="M1268"/>
  <c r="K1268"/>
  <c r="I1268"/>
  <c r="G1268"/>
  <c r="E1268"/>
  <c r="B1268"/>
  <c r="C1268"/>
  <c r="A1268"/>
  <c r="R1267"/>
  <c r="S1267"/>
  <c r="Q1267"/>
  <c r="O1267"/>
  <c r="M1267"/>
  <c r="K1267"/>
  <c r="I1267"/>
  <c r="G1267"/>
  <c r="E1267"/>
  <c r="B1267"/>
  <c r="C1267"/>
  <c r="A1267"/>
  <c r="R1266"/>
  <c r="S1266"/>
  <c r="Q1266"/>
  <c r="O1266"/>
  <c r="M1266"/>
  <c r="K1266"/>
  <c r="I1266"/>
  <c r="G1266"/>
  <c r="E1266"/>
  <c r="B1266"/>
  <c r="C1266"/>
  <c r="A1266"/>
  <c r="R1265"/>
  <c r="S1265"/>
  <c r="Q1265"/>
  <c r="O1265"/>
  <c r="M1265"/>
  <c r="K1265"/>
  <c r="I1265"/>
  <c r="G1265"/>
  <c r="E1265"/>
  <c r="B1265"/>
  <c r="C1265"/>
  <c r="A1265"/>
  <c r="R1264"/>
  <c r="S1264"/>
  <c r="Q1264"/>
  <c r="O1264"/>
  <c r="M1264"/>
  <c r="K1264"/>
  <c r="I1264"/>
  <c r="G1264"/>
  <c r="E1264"/>
  <c r="B1264"/>
  <c r="C1264"/>
  <c r="A1264"/>
  <c r="R1263"/>
  <c r="S1263"/>
  <c r="Q1263"/>
  <c r="O1263"/>
  <c r="M1263"/>
  <c r="K1263"/>
  <c r="I1263"/>
  <c r="G1263"/>
  <c r="E1263"/>
  <c r="B1263"/>
  <c r="C1263"/>
  <c r="A1263"/>
  <c r="R1262"/>
  <c r="S1262"/>
  <c r="Q1262"/>
  <c r="O1262"/>
  <c r="M1262"/>
  <c r="K1262"/>
  <c r="I1262"/>
  <c r="G1262"/>
  <c r="E1262"/>
  <c r="B1262"/>
  <c r="C1262"/>
  <c r="A1262"/>
  <c r="R1261"/>
  <c r="S1261"/>
  <c r="Q1261"/>
  <c r="O1261"/>
  <c r="M1261"/>
  <c r="K1261"/>
  <c r="I1261"/>
  <c r="G1261"/>
  <c r="E1261"/>
  <c r="B1261"/>
  <c r="C1261"/>
  <c r="A1261"/>
  <c r="R1260"/>
  <c r="S1260"/>
  <c r="Q1260"/>
  <c r="O1260"/>
  <c r="M1260"/>
  <c r="K1260"/>
  <c r="I1260"/>
  <c r="G1260"/>
  <c r="E1260"/>
  <c r="B1260"/>
  <c r="C1260"/>
  <c r="A1260"/>
  <c r="R1259"/>
  <c r="S1259"/>
  <c r="Q1259"/>
  <c r="O1259"/>
  <c r="M1259"/>
  <c r="K1259"/>
  <c r="I1259"/>
  <c r="G1259"/>
  <c r="E1259"/>
  <c r="B1259"/>
  <c r="C1259"/>
  <c r="A1259"/>
  <c r="R1258"/>
  <c r="S1258"/>
  <c r="Q1258"/>
  <c r="O1258"/>
  <c r="M1258"/>
  <c r="K1258"/>
  <c r="I1258"/>
  <c r="G1258"/>
  <c r="E1258"/>
  <c r="B1258"/>
  <c r="C1258"/>
  <c r="A1258"/>
  <c r="R1257"/>
  <c r="S1257"/>
  <c r="Q1257"/>
  <c r="O1257"/>
  <c r="M1257"/>
  <c r="K1257"/>
  <c r="I1257"/>
  <c r="G1257"/>
  <c r="E1257"/>
  <c r="B1257"/>
  <c r="C1257"/>
  <c r="A1257"/>
  <c r="R1256"/>
  <c r="S1256"/>
  <c r="Q1256"/>
  <c r="O1256"/>
  <c r="M1256"/>
  <c r="K1256"/>
  <c r="I1256"/>
  <c r="G1256"/>
  <c r="E1256"/>
  <c r="B1256"/>
  <c r="C1256"/>
  <c r="A1256"/>
  <c r="R1255"/>
  <c r="S1255"/>
  <c r="Q1255"/>
  <c r="O1255"/>
  <c r="M1255"/>
  <c r="K1255"/>
  <c r="I1255"/>
  <c r="G1255"/>
  <c r="E1255"/>
  <c r="B1255"/>
  <c r="C1255"/>
  <c r="A1255"/>
  <c r="R1254"/>
  <c r="S1254"/>
  <c r="Q1254"/>
  <c r="O1254"/>
  <c r="M1254"/>
  <c r="K1254"/>
  <c r="I1254"/>
  <c r="G1254"/>
  <c r="E1254"/>
  <c r="B1254"/>
  <c r="C1254"/>
  <c r="A1254"/>
  <c r="R1253"/>
  <c r="S1253"/>
  <c r="Q1253"/>
  <c r="O1253"/>
  <c r="M1253"/>
  <c r="K1253"/>
  <c r="I1253"/>
  <c r="G1253"/>
  <c r="E1253"/>
  <c r="B1253"/>
  <c r="C1253"/>
  <c r="A1253"/>
  <c r="R1252"/>
  <c r="S1252"/>
  <c r="Q1252"/>
  <c r="O1252"/>
  <c r="M1252"/>
  <c r="K1252"/>
  <c r="I1252"/>
  <c r="G1252"/>
  <c r="E1252"/>
  <c r="B1252"/>
  <c r="C1252"/>
  <c r="A1252"/>
  <c r="R1251"/>
  <c r="S1251"/>
  <c r="Q1251"/>
  <c r="O1251"/>
  <c r="M1251"/>
  <c r="K1251"/>
  <c r="I1251"/>
  <c r="G1251"/>
  <c r="E1251"/>
  <c r="B1251"/>
  <c r="C1251"/>
  <c r="A1251"/>
  <c r="R1250"/>
  <c r="S1250"/>
  <c r="Q1250"/>
  <c r="O1250"/>
  <c r="M1250"/>
  <c r="K1250"/>
  <c r="I1250"/>
  <c r="G1250"/>
  <c r="E1250"/>
  <c r="B1250"/>
  <c r="C1250"/>
  <c r="A1250"/>
  <c r="R1249"/>
  <c r="S1249"/>
  <c r="Q1249"/>
  <c r="O1249"/>
  <c r="M1249"/>
  <c r="K1249"/>
  <c r="I1249"/>
  <c r="G1249"/>
  <c r="E1249"/>
  <c r="B1249"/>
  <c r="C1249"/>
  <c r="A1249"/>
  <c r="R1248"/>
  <c r="S1248"/>
  <c r="Q1248"/>
  <c r="O1248"/>
  <c r="M1248"/>
  <c r="K1248"/>
  <c r="I1248"/>
  <c r="G1248"/>
  <c r="E1248"/>
  <c r="B1248"/>
  <c r="C1248"/>
  <c r="A1248"/>
  <c r="R1247"/>
  <c r="S1247"/>
  <c r="Q1247"/>
  <c r="O1247"/>
  <c r="M1247"/>
  <c r="K1247"/>
  <c r="I1247"/>
  <c r="G1247"/>
  <c r="E1247"/>
  <c r="B1247"/>
  <c r="C1247"/>
  <c r="A1247"/>
  <c r="R1246"/>
  <c r="S1246"/>
  <c r="Q1246"/>
  <c r="O1246"/>
  <c r="M1246"/>
  <c r="K1246"/>
  <c r="I1246"/>
  <c r="G1246"/>
  <c r="E1246"/>
  <c r="B1246"/>
  <c r="C1246"/>
  <c r="A1246"/>
  <c r="R1245"/>
  <c r="S1245"/>
  <c r="Q1245"/>
  <c r="O1245"/>
  <c r="M1245"/>
  <c r="K1245"/>
  <c r="I1245"/>
  <c r="G1245"/>
  <c r="E1245"/>
  <c r="B1245"/>
  <c r="C1245"/>
  <c r="A1245"/>
  <c r="R1244"/>
  <c r="S1244"/>
  <c r="Q1244"/>
  <c r="O1244"/>
  <c r="M1244"/>
  <c r="K1244"/>
  <c r="I1244"/>
  <c r="G1244"/>
  <c r="E1244"/>
  <c r="B1244"/>
  <c r="C1244"/>
  <c r="A1244"/>
  <c r="R1243"/>
  <c r="S1243"/>
  <c r="Q1243"/>
  <c r="O1243"/>
  <c r="M1243"/>
  <c r="K1243"/>
  <c r="I1243"/>
  <c r="G1243"/>
  <c r="E1243"/>
  <c r="B1243"/>
  <c r="C1243"/>
  <c r="A1243"/>
  <c r="R1242"/>
  <c r="S1242"/>
  <c r="Q1242"/>
  <c r="O1242"/>
  <c r="M1242"/>
  <c r="K1242"/>
  <c r="I1242"/>
  <c r="G1242"/>
  <c r="E1242"/>
  <c r="B1242"/>
  <c r="C1242"/>
  <c r="A1242"/>
  <c r="R1241"/>
  <c r="S1241"/>
  <c r="Q1241"/>
  <c r="O1241"/>
  <c r="M1241"/>
  <c r="K1241"/>
  <c r="I1241"/>
  <c r="G1241"/>
  <c r="E1241"/>
  <c r="B1241"/>
  <c r="C1241"/>
  <c r="A1241"/>
  <c r="R1240"/>
  <c r="S1240"/>
  <c r="Q1240"/>
  <c r="O1240"/>
  <c r="M1240"/>
  <c r="K1240"/>
  <c r="I1240"/>
  <c r="G1240"/>
  <c r="E1240"/>
  <c r="B1240"/>
  <c r="C1240"/>
  <c r="A1240"/>
  <c r="R1239"/>
  <c r="S1239"/>
  <c r="Q1239"/>
  <c r="O1239"/>
  <c r="M1239"/>
  <c r="K1239"/>
  <c r="I1239"/>
  <c r="G1239"/>
  <c r="E1239"/>
  <c r="B1239"/>
  <c r="C1239"/>
  <c r="A1239"/>
  <c r="R1238"/>
  <c r="S1238"/>
  <c r="Q1238"/>
  <c r="O1238"/>
  <c r="M1238"/>
  <c r="K1238"/>
  <c r="I1238"/>
  <c r="G1238"/>
  <c r="E1238"/>
  <c r="B1238"/>
  <c r="C1238"/>
  <c r="A1238"/>
  <c r="R1237"/>
  <c r="S1237"/>
  <c r="Q1237"/>
  <c r="O1237"/>
  <c r="M1237"/>
  <c r="K1237"/>
  <c r="I1237"/>
  <c r="G1237"/>
  <c r="E1237"/>
  <c r="B1237"/>
  <c r="C1237"/>
  <c r="A1237"/>
  <c r="R1236"/>
  <c r="S1236"/>
  <c r="Q1236"/>
  <c r="O1236"/>
  <c r="M1236"/>
  <c r="K1236"/>
  <c r="I1236"/>
  <c r="G1236"/>
  <c r="E1236"/>
  <c r="B1236"/>
  <c r="C1236"/>
  <c r="A1236"/>
  <c r="R1235"/>
  <c r="S1235"/>
  <c r="Q1235"/>
  <c r="O1235"/>
  <c r="M1235"/>
  <c r="K1235"/>
  <c r="I1235"/>
  <c r="G1235"/>
  <c r="E1235"/>
  <c r="B1235"/>
  <c r="C1235"/>
  <c r="A1235"/>
  <c r="R1234"/>
  <c r="S1234"/>
  <c r="Q1234"/>
  <c r="O1234"/>
  <c r="M1234"/>
  <c r="K1234"/>
  <c r="I1234"/>
  <c r="G1234"/>
  <c r="E1234"/>
  <c r="B1234"/>
  <c r="C1234"/>
  <c r="A1234"/>
  <c r="R1233"/>
  <c r="S1233"/>
  <c r="Q1233"/>
  <c r="O1233"/>
  <c r="M1233"/>
  <c r="K1233"/>
  <c r="I1233"/>
  <c r="G1233"/>
  <c r="E1233"/>
  <c r="B1233"/>
  <c r="C1233"/>
  <c r="A1233"/>
  <c r="R1232"/>
  <c r="S1232"/>
  <c r="Q1232"/>
  <c r="O1232"/>
  <c r="M1232"/>
  <c r="K1232"/>
  <c r="I1232"/>
  <c r="G1232"/>
  <c r="E1232"/>
  <c r="B1232"/>
  <c r="C1232"/>
  <c r="A1232"/>
  <c r="R1231"/>
  <c r="S1231"/>
  <c r="Q1231"/>
  <c r="O1231"/>
  <c r="M1231"/>
  <c r="K1231"/>
  <c r="I1231"/>
  <c r="G1231"/>
  <c r="E1231"/>
  <c r="B1231"/>
  <c r="C1231"/>
  <c r="A1231"/>
  <c r="R1230"/>
  <c r="S1230"/>
  <c r="Q1230"/>
  <c r="O1230"/>
  <c r="M1230"/>
  <c r="K1230"/>
  <c r="I1230"/>
  <c r="G1230"/>
  <c r="E1230"/>
  <c r="B1230"/>
  <c r="C1230"/>
  <c r="A1230"/>
  <c r="R1229"/>
  <c r="S1229"/>
  <c r="Q1229"/>
  <c r="O1229"/>
  <c r="M1229"/>
  <c r="K1229"/>
  <c r="I1229"/>
  <c r="G1229"/>
  <c r="E1229"/>
  <c r="B1229"/>
  <c r="C1229"/>
  <c r="A1229"/>
  <c r="R1228"/>
  <c r="S1228"/>
  <c r="Q1228"/>
  <c r="O1228"/>
  <c r="M1228"/>
  <c r="K1228"/>
  <c r="I1228"/>
  <c r="G1228"/>
  <c r="E1228"/>
  <c r="B1228"/>
  <c r="C1228"/>
  <c r="A1228"/>
  <c r="R1227"/>
  <c r="S1227"/>
  <c r="Q1227"/>
  <c r="O1227"/>
  <c r="M1227"/>
  <c r="K1227"/>
  <c r="I1227"/>
  <c r="G1227"/>
  <c r="E1227"/>
  <c r="B1227"/>
  <c r="C1227"/>
  <c r="A1227"/>
  <c r="R1226"/>
  <c r="S1226"/>
  <c r="Q1226"/>
  <c r="O1226"/>
  <c r="M1226"/>
  <c r="K1226"/>
  <c r="I1226"/>
  <c r="G1226"/>
  <c r="E1226"/>
  <c r="B1226"/>
  <c r="C1226"/>
  <c r="A1226"/>
  <c r="R1225"/>
  <c r="S1225"/>
  <c r="Q1225"/>
  <c r="O1225"/>
  <c r="M1225"/>
  <c r="K1225"/>
  <c r="I1225"/>
  <c r="G1225"/>
  <c r="E1225"/>
  <c r="B1225"/>
  <c r="C1225"/>
  <c r="A1225"/>
  <c r="R1224"/>
  <c r="S1224"/>
  <c r="Q1224"/>
  <c r="O1224"/>
  <c r="M1224"/>
  <c r="K1224"/>
  <c r="I1224"/>
  <c r="G1224"/>
  <c r="E1224"/>
  <c r="B1224"/>
  <c r="C1224"/>
  <c r="A1224"/>
  <c r="R1223"/>
  <c r="S1223"/>
  <c r="Q1223"/>
  <c r="O1223"/>
  <c r="M1223"/>
  <c r="K1223"/>
  <c r="I1223"/>
  <c r="G1223"/>
  <c r="E1223"/>
  <c r="B1223"/>
  <c r="C1223"/>
  <c r="A1223"/>
  <c r="R1222"/>
  <c r="S1222"/>
  <c r="Q1222"/>
  <c r="O1222"/>
  <c r="M1222"/>
  <c r="K1222"/>
  <c r="I1222"/>
  <c r="G1222"/>
  <c r="E1222"/>
  <c r="B1222"/>
  <c r="C1222"/>
  <c r="A1222"/>
  <c r="R1221"/>
  <c r="S1221"/>
  <c r="Q1221"/>
  <c r="O1221"/>
  <c r="M1221"/>
  <c r="K1221"/>
  <c r="I1221"/>
  <c r="G1221"/>
  <c r="E1221"/>
  <c r="B1221"/>
  <c r="C1221"/>
  <c r="A1221"/>
  <c r="R1220"/>
  <c r="S1220"/>
  <c r="Q1220"/>
  <c r="O1220"/>
  <c r="M1220"/>
  <c r="K1220"/>
  <c r="I1220"/>
  <c r="G1220"/>
  <c r="E1220"/>
  <c r="B1220"/>
  <c r="C1220"/>
  <c r="A1220"/>
  <c r="R1219"/>
  <c r="S1219"/>
  <c r="Q1219"/>
  <c r="O1219"/>
  <c r="M1219"/>
  <c r="K1219"/>
  <c r="I1219"/>
  <c r="G1219"/>
  <c r="E1219"/>
  <c r="B1219"/>
  <c r="C1219"/>
  <c r="A1219"/>
  <c r="R1218"/>
  <c r="S1218"/>
  <c r="Q1218"/>
  <c r="O1218"/>
  <c r="M1218"/>
  <c r="K1218"/>
  <c r="I1218"/>
  <c r="G1218"/>
  <c r="E1218"/>
  <c r="B1218"/>
  <c r="C1218"/>
  <c r="A1218"/>
  <c r="R1217"/>
  <c r="S1217"/>
  <c r="Q1217"/>
  <c r="O1217"/>
  <c r="M1217"/>
  <c r="K1217"/>
  <c r="I1217"/>
  <c r="G1217"/>
  <c r="E1217"/>
  <c r="B1217"/>
  <c r="C1217"/>
  <c r="A1217"/>
  <c r="R1216"/>
  <c r="S1216"/>
  <c r="Q1216"/>
  <c r="O1216"/>
  <c r="M1216"/>
  <c r="K1216"/>
  <c r="I1216"/>
  <c r="G1216"/>
  <c r="E1216"/>
  <c r="B1216"/>
  <c r="C1216"/>
  <c r="A1216"/>
  <c r="R1215"/>
  <c r="S1215"/>
  <c r="Q1215"/>
  <c r="O1215"/>
  <c r="M1215"/>
  <c r="K1215"/>
  <c r="I1215"/>
  <c r="G1215"/>
  <c r="E1215"/>
  <c r="B1215"/>
  <c r="C1215"/>
  <c r="A1215"/>
  <c r="R1214"/>
  <c r="S1214"/>
  <c r="Q1214"/>
  <c r="O1214"/>
  <c r="M1214"/>
  <c r="K1214"/>
  <c r="I1214"/>
  <c r="G1214"/>
  <c r="E1214"/>
  <c r="B1214"/>
  <c r="C1214"/>
  <c r="A1214"/>
  <c r="R1213"/>
  <c r="S1213"/>
  <c r="Q1213"/>
  <c r="O1213"/>
  <c r="M1213"/>
  <c r="K1213"/>
  <c r="I1213"/>
  <c r="G1213"/>
  <c r="E1213"/>
  <c r="B1213"/>
  <c r="C1213"/>
  <c r="A1213"/>
  <c r="R1212"/>
  <c r="S1212"/>
  <c r="Q1212"/>
  <c r="O1212"/>
  <c r="M1212"/>
  <c r="K1212"/>
  <c r="I1212"/>
  <c r="G1212"/>
  <c r="E1212"/>
  <c r="B1212"/>
  <c r="C1212"/>
  <c r="A1212"/>
  <c r="R1211"/>
  <c r="S1211"/>
  <c r="Q1211"/>
  <c r="O1211"/>
  <c r="M1211"/>
  <c r="K1211"/>
  <c r="I1211"/>
  <c r="G1211"/>
  <c r="E1211"/>
  <c r="B1211"/>
  <c r="C1211"/>
  <c r="A1211"/>
  <c r="R1210"/>
  <c r="S1210"/>
  <c r="Q1210"/>
  <c r="O1210"/>
  <c r="M1210"/>
  <c r="K1210"/>
  <c r="I1210"/>
  <c r="G1210"/>
  <c r="E1210"/>
  <c r="B1210"/>
  <c r="C1210"/>
  <c r="A1210"/>
  <c r="R1209"/>
  <c r="S1209"/>
  <c r="Q1209"/>
  <c r="O1209"/>
  <c r="M1209"/>
  <c r="K1209"/>
  <c r="I1209"/>
  <c r="G1209"/>
  <c r="E1209"/>
  <c r="B1209"/>
  <c r="C1209"/>
  <c r="A1209"/>
  <c r="R1208"/>
  <c r="S1208"/>
  <c r="Q1208"/>
  <c r="O1208"/>
  <c r="M1208"/>
  <c r="K1208"/>
  <c r="I1208"/>
  <c r="G1208"/>
  <c r="E1208"/>
  <c r="B1208"/>
  <c r="C1208"/>
  <c r="A1208"/>
  <c r="R1207"/>
  <c r="S1207"/>
  <c r="Q1207"/>
  <c r="O1207"/>
  <c r="M1207"/>
  <c r="K1207"/>
  <c r="I1207"/>
  <c r="G1207"/>
  <c r="E1207"/>
  <c r="B1207"/>
  <c r="C1207"/>
  <c r="A1207"/>
  <c r="R1206"/>
  <c r="S1206"/>
  <c r="Q1206"/>
  <c r="O1206"/>
  <c r="M1206"/>
  <c r="K1206"/>
  <c r="I1206"/>
  <c r="G1206"/>
  <c r="E1206"/>
  <c r="B1206"/>
  <c r="C1206"/>
  <c r="A1206"/>
  <c r="R1205"/>
  <c r="S1205"/>
  <c r="Q1205"/>
  <c r="O1205"/>
  <c r="M1205"/>
  <c r="K1205"/>
  <c r="I1205"/>
  <c r="G1205"/>
  <c r="E1205"/>
  <c r="B1205"/>
  <c r="C1205"/>
  <c r="A1205"/>
  <c r="R1204"/>
  <c r="S1204"/>
  <c r="Q1204"/>
  <c r="O1204"/>
  <c r="M1204"/>
  <c r="K1204"/>
  <c r="I1204"/>
  <c r="G1204"/>
  <c r="E1204"/>
  <c r="B1204"/>
  <c r="C1204"/>
  <c r="A1204"/>
  <c r="R1203"/>
  <c r="S1203"/>
  <c r="Q1203"/>
  <c r="O1203"/>
  <c r="M1203"/>
  <c r="K1203"/>
  <c r="I1203"/>
  <c r="G1203"/>
  <c r="E1203"/>
  <c r="B1203"/>
  <c r="C1203"/>
  <c r="A1203"/>
  <c r="R1202"/>
  <c r="S1202"/>
  <c r="Q1202"/>
  <c r="O1202"/>
  <c r="M1202"/>
  <c r="K1202"/>
  <c r="I1202"/>
  <c r="G1202"/>
  <c r="E1202"/>
  <c r="B1202"/>
  <c r="C1202"/>
  <c r="A1202"/>
  <c r="R1201"/>
  <c r="S1201"/>
  <c r="Q1201"/>
  <c r="O1201"/>
  <c r="M1201"/>
  <c r="K1201"/>
  <c r="I1201"/>
  <c r="G1201"/>
  <c r="E1201"/>
  <c r="B1201"/>
  <c r="C1201"/>
  <c r="A1201"/>
  <c r="R1200"/>
  <c r="S1200"/>
  <c r="Q1200"/>
  <c r="O1200"/>
  <c r="M1200"/>
  <c r="K1200"/>
  <c r="I1200"/>
  <c r="G1200"/>
  <c r="E1200"/>
  <c r="B1200"/>
  <c r="C1200"/>
  <c r="A1200"/>
  <c r="R1199"/>
  <c r="S1199"/>
  <c r="Q1199"/>
  <c r="O1199"/>
  <c r="M1199"/>
  <c r="K1199"/>
  <c r="I1199"/>
  <c r="G1199"/>
  <c r="E1199"/>
  <c r="B1199"/>
  <c r="C1199"/>
  <c r="A1199"/>
  <c r="R1198"/>
  <c r="S1198"/>
  <c r="Q1198"/>
  <c r="O1198"/>
  <c r="M1198"/>
  <c r="K1198"/>
  <c r="I1198"/>
  <c r="G1198"/>
  <c r="E1198"/>
  <c r="B1198"/>
  <c r="C1198"/>
  <c r="A1198"/>
  <c r="R1197"/>
  <c r="S1197"/>
  <c r="Q1197"/>
  <c r="O1197"/>
  <c r="M1197"/>
  <c r="K1197"/>
  <c r="I1197"/>
  <c r="G1197"/>
  <c r="E1197"/>
  <c r="B1197"/>
  <c r="C1197"/>
  <c r="A1197"/>
  <c r="R1196"/>
  <c r="S1196"/>
  <c r="Q1196"/>
  <c r="O1196"/>
  <c r="M1196"/>
  <c r="K1196"/>
  <c r="I1196"/>
  <c r="G1196"/>
  <c r="E1196"/>
  <c r="B1196"/>
  <c r="C1196"/>
  <c r="A1196"/>
  <c r="R1195"/>
  <c r="S1195"/>
  <c r="Q1195"/>
  <c r="O1195"/>
  <c r="M1195"/>
  <c r="K1195"/>
  <c r="I1195"/>
  <c r="G1195"/>
  <c r="E1195"/>
  <c r="B1195"/>
  <c r="C1195"/>
  <c r="A1195"/>
  <c r="R1194"/>
  <c r="S1194"/>
  <c r="Q1194"/>
  <c r="O1194"/>
  <c r="M1194"/>
  <c r="K1194"/>
  <c r="I1194"/>
  <c r="G1194"/>
  <c r="E1194"/>
  <c r="B1194"/>
  <c r="C1194"/>
  <c r="A1194"/>
  <c r="R1193"/>
  <c r="S1193"/>
  <c r="Q1193"/>
  <c r="O1193"/>
  <c r="M1193"/>
  <c r="K1193"/>
  <c r="I1193"/>
  <c r="G1193"/>
  <c r="E1193"/>
  <c r="B1193"/>
  <c r="C1193"/>
  <c r="A1193"/>
  <c r="R1192"/>
  <c r="S1192"/>
  <c r="Q1192"/>
  <c r="O1192"/>
  <c r="M1192"/>
  <c r="K1192"/>
  <c r="I1192"/>
  <c r="G1192"/>
  <c r="E1192"/>
  <c r="B1192"/>
  <c r="C1192"/>
  <c r="A1192"/>
  <c r="R1191"/>
  <c r="S1191"/>
  <c r="Q1191"/>
  <c r="O1191"/>
  <c r="M1191"/>
  <c r="K1191"/>
  <c r="I1191"/>
  <c r="G1191"/>
  <c r="E1191"/>
  <c r="B1191"/>
  <c r="C1191"/>
  <c r="A1191"/>
  <c r="R1190"/>
  <c r="S1190"/>
  <c r="Q1190"/>
  <c r="O1190"/>
  <c r="M1190"/>
  <c r="K1190"/>
  <c r="I1190"/>
  <c r="G1190"/>
  <c r="E1190"/>
  <c r="B1190"/>
  <c r="C1190"/>
  <c r="A1190"/>
  <c r="R1189"/>
  <c r="S1189"/>
  <c r="Q1189"/>
  <c r="O1189"/>
  <c r="M1189"/>
  <c r="K1189"/>
  <c r="I1189"/>
  <c r="G1189"/>
  <c r="E1189"/>
  <c r="B1189"/>
  <c r="C1189"/>
  <c r="A1189"/>
  <c r="R1188"/>
  <c r="S1188"/>
  <c r="Q1188"/>
  <c r="O1188"/>
  <c r="M1188"/>
  <c r="K1188"/>
  <c r="I1188"/>
  <c r="G1188"/>
  <c r="E1188"/>
  <c r="B1188"/>
  <c r="C1188"/>
  <c r="A1188"/>
  <c r="R1187"/>
  <c r="S1187"/>
  <c r="Q1187"/>
  <c r="O1187"/>
  <c r="M1187"/>
  <c r="K1187"/>
  <c r="I1187"/>
  <c r="G1187"/>
  <c r="E1187"/>
  <c r="B1187"/>
  <c r="C1187"/>
  <c r="A1187"/>
  <c r="R1186"/>
  <c r="S1186"/>
  <c r="Q1186"/>
  <c r="O1186"/>
  <c r="M1186"/>
  <c r="K1186"/>
  <c r="I1186"/>
  <c r="G1186"/>
  <c r="E1186"/>
  <c r="B1186"/>
  <c r="C1186"/>
  <c r="A1186"/>
  <c r="R1185"/>
  <c r="S1185"/>
  <c r="Q1185"/>
  <c r="O1185"/>
  <c r="M1185"/>
  <c r="K1185"/>
  <c r="I1185"/>
  <c r="G1185"/>
  <c r="E1185"/>
  <c r="B1185"/>
  <c r="C1185"/>
  <c r="A1185"/>
  <c r="R1184"/>
  <c r="S1184"/>
  <c r="Q1184"/>
  <c r="O1184"/>
  <c r="M1184"/>
  <c r="K1184"/>
  <c r="I1184"/>
  <c r="G1184"/>
  <c r="E1184"/>
  <c r="B1184"/>
  <c r="C1184"/>
  <c r="A1184"/>
  <c r="R1183"/>
  <c r="S1183"/>
  <c r="Q1183"/>
  <c r="O1183"/>
  <c r="M1183"/>
  <c r="K1183"/>
  <c r="I1183"/>
  <c r="G1183"/>
  <c r="E1183"/>
  <c r="B1183"/>
  <c r="C1183"/>
  <c r="A1183"/>
  <c r="R1182"/>
  <c r="S1182"/>
  <c r="Q1182"/>
  <c r="O1182"/>
  <c r="M1182"/>
  <c r="K1182"/>
  <c r="I1182"/>
  <c r="G1182"/>
  <c r="E1182"/>
  <c r="B1182"/>
  <c r="C1182"/>
  <c r="A1182"/>
  <c r="R1181"/>
  <c r="S1181"/>
  <c r="Q1181"/>
  <c r="O1181"/>
  <c r="M1181"/>
  <c r="K1181"/>
  <c r="I1181"/>
  <c r="G1181"/>
  <c r="E1181"/>
  <c r="B1181"/>
  <c r="C1181"/>
  <c r="A1181"/>
  <c r="R1180"/>
  <c r="S1180"/>
  <c r="Q1180"/>
  <c r="O1180"/>
  <c r="M1180"/>
  <c r="K1180"/>
  <c r="I1180"/>
  <c r="G1180"/>
  <c r="E1180"/>
  <c r="B1180"/>
  <c r="C1180"/>
  <c r="A1180"/>
  <c r="R1179"/>
  <c r="S1179"/>
  <c r="Q1179"/>
  <c r="O1179"/>
  <c r="M1179"/>
  <c r="K1179"/>
  <c r="I1179"/>
  <c r="G1179"/>
  <c r="E1179"/>
  <c r="B1179"/>
  <c r="C1179"/>
  <c r="A1179"/>
  <c r="R1178"/>
  <c r="S1178"/>
  <c r="Q1178"/>
  <c r="O1178"/>
  <c r="M1178"/>
  <c r="K1178"/>
  <c r="I1178"/>
  <c r="G1178"/>
  <c r="E1178"/>
  <c r="B1178"/>
  <c r="C1178"/>
  <c r="A1178"/>
  <c r="R1177"/>
  <c r="S1177"/>
  <c r="Q1177"/>
  <c r="O1177"/>
  <c r="M1177"/>
  <c r="K1177"/>
  <c r="I1177"/>
  <c r="G1177"/>
  <c r="E1177"/>
  <c r="B1177"/>
  <c r="C1177"/>
  <c r="A1177"/>
  <c r="R1176"/>
  <c r="S1176"/>
  <c r="Q1176"/>
  <c r="O1176"/>
  <c r="M1176"/>
  <c r="K1176"/>
  <c r="I1176"/>
  <c r="G1176"/>
  <c r="E1176"/>
  <c r="B1176"/>
  <c r="C1176"/>
  <c r="A1176"/>
  <c r="R1175"/>
  <c r="S1175"/>
  <c r="Q1175"/>
  <c r="O1175"/>
  <c r="M1175"/>
  <c r="K1175"/>
  <c r="I1175"/>
  <c r="G1175"/>
  <c r="E1175"/>
  <c r="B1175"/>
  <c r="C1175"/>
  <c r="A1175"/>
  <c r="R1174"/>
  <c r="S1174"/>
  <c r="Q1174"/>
  <c r="O1174"/>
  <c r="M1174"/>
  <c r="K1174"/>
  <c r="I1174"/>
  <c r="G1174"/>
  <c r="E1174"/>
  <c r="B1174"/>
  <c r="C1174"/>
  <c r="A1174"/>
  <c r="R1173"/>
  <c r="S1173"/>
  <c r="Q1173"/>
  <c r="O1173"/>
  <c r="M1173"/>
  <c r="K1173"/>
  <c r="I1173"/>
  <c r="G1173"/>
  <c r="E1173"/>
  <c r="B1173"/>
  <c r="C1173"/>
  <c r="A1173"/>
  <c r="R1172"/>
  <c r="S1172"/>
  <c r="Q1172"/>
  <c r="O1172"/>
  <c r="M1172"/>
  <c r="K1172"/>
  <c r="I1172"/>
  <c r="G1172"/>
  <c r="E1172"/>
  <c r="B1172"/>
  <c r="C1172"/>
  <c r="A1172"/>
  <c r="R1171"/>
  <c r="S1171"/>
  <c r="Q1171"/>
  <c r="O1171"/>
  <c r="M1171"/>
  <c r="K1171"/>
  <c r="I1171"/>
  <c r="G1171"/>
  <c r="E1171"/>
  <c r="B1171"/>
  <c r="C1171"/>
  <c r="A1171"/>
  <c r="R1170"/>
  <c r="S1170"/>
  <c r="Q1170"/>
  <c r="O1170"/>
  <c r="M1170"/>
  <c r="K1170"/>
  <c r="I1170"/>
  <c r="G1170"/>
  <c r="E1170"/>
  <c r="B1170"/>
  <c r="C1170"/>
  <c r="A1170"/>
  <c r="R1169"/>
  <c r="S1169"/>
  <c r="Q1169"/>
  <c r="O1169"/>
  <c r="M1169"/>
  <c r="K1169"/>
  <c r="I1169"/>
  <c r="G1169"/>
  <c r="E1169"/>
  <c r="B1169"/>
  <c r="C1169"/>
  <c r="A1169"/>
  <c r="R1168"/>
  <c r="S1168"/>
  <c r="Q1168"/>
  <c r="O1168"/>
  <c r="M1168"/>
  <c r="K1168"/>
  <c r="I1168"/>
  <c r="G1168"/>
  <c r="E1168"/>
  <c r="B1168"/>
  <c r="C1168"/>
  <c r="A1168"/>
  <c r="R1167"/>
  <c r="S1167"/>
  <c r="Q1167"/>
  <c r="O1167"/>
  <c r="M1167"/>
  <c r="K1167"/>
  <c r="I1167"/>
  <c r="G1167"/>
  <c r="E1167"/>
  <c r="B1167"/>
  <c r="C1167"/>
  <c r="A1167"/>
  <c r="R1166"/>
  <c r="S1166"/>
  <c r="Q1166"/>
  <c r="O1166"/>
  <c r="M1166"/>
  <c r="K1166"/>
  <c r="I1166"/>
  <c r="G1166"/>
  <c r="E1166"/>
  <c r="B1166"/>
  <c r="C1166"/>
  <c r="A1166"/>
  <c r="R1165"/>
  <c r="S1165"/>
  <c r="Q1165"/>
  <c r="O1165"/>
  <c r="M1165"/>
  <c r="K1165"/>
  <c r="I1165"/>
  <c r="G1165"/>
  <c r="E1165"/>
  <c r="B1165"/>
  <c r="C1165"/>
  <c r="A1165"/>
  <c r="R1164"/>
  <c r="S1164"/>
  <c r="Q1164"/>
  <c r="O1164"/>
  <c r="M1164"/>
  <c r="K1164"/>
  <c r="I1164"/>
  <c r="G1164"/>
  <c r="E1164"/>
  <c r="B1164"/>
  <c r="C1164"/>
  <c r="A1164"/>
  <c r="R1163"/>
  <c r="S1163"/>
  <c r="Q1163"/>
  <c r="O1163"/>
  <c r="M1163"/>
  <c r="K1163"/>
  <c r="I1163"/>
  <c r="G1163"/>
  <c r="E1163"/>
  <c r="B1163"/>
  <c r="C1163"/>
  <c r="A1163"/>
  <c r="R1162"/>
  <c r="S1162"/>
  <c r="Q1162"/>
  <c r="O1162"/>
  <c r="M1162"/>
  <c r="K1162"/>
  <c r="I1162"/>
  <c r="G1162"/>
  <c r="E1162"/>
  <c r="B1162"/>
  <c r="C1162"/>
  <c r="A1162"/>
  <c r="R1161"/>
  <c r="S1161"/>
  <c r="Q1161"/>
  <c r="O1161"/>
  <c r="M1161"/>
  <c r="K1161"/>
  <c r="I1161"/>
  <c r="G1161"/>
  <c r="E1161"/>
  <c r="B1161"/>
  <c r="C1161"/>
  <c r="A1161"/>
  <c r="R1160"/>
  <c r="S1160"/>
  <c r="Q1160"/>
  <c r="O1160"/>
  <c r="M1160"/>
  <c r="K1160"/>
  <c r="I1160"/>
  <c r="G1160"/>
  <c r="E1160"/>
  <c r="B1160"/>
  <c r="C1160"/>
  <c r="A1160"/>
  <c r="R1159"/>
  <c r="S1159"/>
  <c r="Q1159"/>
  <c r="O1159"/>
  <c r="M1159"/>
  <c r="K1159"/>
  <c r="I1159"/>
  <c r="G1159"/>
  <c r="E1159"/>
  <c r="B1159"/>
  <c r="C1159"/>
  <c r="A1159"/>
  <c r="R1158"/>
  <c r="S1158"/>
  <c r="Q1158"/>
  <c r="O1158"/>
  <c r="M1158"/>
  <c r="K1158"/>
  <c r="I1158"/>
  <c r="G1158"/>
  <c r="E1158"/>
  <c r="B1158"/>
  <c r="C1158"/>
  <c r="A1158"/>
  <c r="R1157"/>
  <c r="S1157"/>
  <c r="Q1157"/>
  <c r="O1157"/>
  <c r="M1157"/>
  <c r="K1157"/>
  <c r="I1157"/>
  <c r="G1157"/>
  <c r="E1157"/>
  <c r="B1157"/>
  <c r="C1157"/>
  <c r="A1157"/>
  <c r="R1156"/>
  <c r="S1156"/>
  <c r="Q1156"/>
  <c r="O1156"/>
  <c r="M1156"/>
  <c r="K1156"/>
  <c r="I1156"/>
  <c r="G1156"/>
  <c r="E1156"/>
  <c r="B1156"/>
  <c r="C1156"/>
  <c r="A1156"/>
  <c r="R1155"/>
  <c r="S1155"/>
  <c r="Q1155"/>
  <c r="O1155"/>
  <c r="M1155"/>
  <c r="K1155"/>
  <c r="I1155"/>
  <c r="G1155"/>
  <c r="E1155"/>
  <c r="B1155"/>
  <c r="C1155"/>
  <c r="A1155"/>
  <c r="R1154"/>
  <c r="S1154"/>
  <c r="Q1154"/>
  <c r="O1154"/>
  <c r="M1154"/>
  <c r="K1154"/>
  <c r="I1154"/>
  <c r="G1154"/>
  <c r="E1154"/>
  <c r="B1154"/>
  <c r="C1154"/>
  <c r="A1154"/>
  <c r="R1153"/>
  <c r="S1153"/>
  <c r="Q1153"/>
  <c r="O1153"/>
  <c r="M1153"/>
  <c r="K1153"/>
  <c r="I1153"/>
  <c r="G1153"/>
  <c r="E1153"/>
  <c r="B1153"/>
  <c r="C1153"/>
  <c r="A1153"/>
  <c r="R1152"/>
  <c r="S1152"/>
  <c r="Q1152"/>
  <c r="O1152"/>
  <c r="M1152"/>
  <c r="K1152"/>
  <c r="I1152"/>
  <c r="G1152"/>
  <c r="E1152"/>
  <c r="B1152"/>
  <c r="C1152"/>
  <c r="A1152"/>
  <c r="R1151"/>
  <c r="S1151"/>
  <c r="Q1151"/>
  <c r="O1151"/>
  <c r="M1151"/>
  <c r="K1151"/>
  <c r="I1151"/>
  <c r="G1151"/>
  <c r="E1151"/>
  <c r="B1151"/>
  <c r="C1151"/>
  <c r="A1151"/>
  <c r="R1150"/>
  <c r="S1150"/>
  <c r="Q1150"/>
  <c r="O1150"/>
  <c r="M1150"/>
  <c r="K1150"/>
  <c r="I1150"/>
  <c r="G1150"/>
  <c r="E1150"/>
  <c r="B1150"/>
  <c r="C1150"/>
  <c r="A1150"/>
  <c r="R1149"/>
  <c r="S1149"/>
  <c r="Q1149"/>
  <c r="O1149"/>
  <c r="M1149"/>
  <c r="K1149"/>
  <c r="I1149"/>
  <c r="G1149"/>
  <c r="E1149"/>
  <c r="B1149"/>
  <c r="C1149"/>
  <c r="A1149"/>
  <c r="R1148"/>
  <c r="S1148"/>
  <c r="Q1148"/>
  <c r="O1148"/>
  <c r="M1148"/>
  <c r="K1148"/>
  <c r="I1148"/>
  <c r="G1148"/>
  <c r="E1148"/>
  <c r="B1148"/>
  <c r="C1148"/>
  <c r="A1148"/>
  <c r="R1147"/>
  <c r="S1147"/>
  <c r="Q1147"/>
  <c r="O1147"/>
  <c r="M1147"/>
  <c r="K1147"/>
  <c r="I1147"/>
  <c r="G1147"/>
  <c r="E1147"/>
  <c r="B1147"/>
  <c r="C1147"/>
  <c r="A1147"/>
  <c r="R1146"/>
  <c r="S1146"/>
  <c r="Q1146"/>
  <c r="O1146"/>
  <c r="M1146"/>
  <c r="K1146"/>
  <c r="I1146"/>
  <c r="G1146"/>
  <c r="E1146"/>
  <c r="B1146"/>
  <c r="C1146"/>
  <c r="A1146"/>
  <c r="R1145"/>
  <c r="S1145"/>
  <c r="Q1145"/>
  <c r="O1145"/>
  <c r="M1145"/>
  <c r="K1145"/>
  <c r="I1145"/>
  <c r="G1145"/>
  <c r="E1145"/>
  <c r="B1145"/>
  <c r="C1145"/>
  <c r="A1145"/>
  <c r="R1144"/>
  <c r="S1144"/>
  <c r="Q1144"/>
  <c r="O1144"/>
  <c r="M1144"/>
  <c r="K1144"/>
  <c r="I1144"/>
  <c r="G1144"/>
  <c r="E1144"/>
  <c r="B1144"/>
  <c r="C1144"/>
  <c r="A1144"/>
  <c r="R1143"/>
  <c r="S1143"/>
  <c r="Q1143"/>
  <c r="O1143"/>
  <c r="M1143"/>
  <c r="K1143"/>
  <c r="I1143"/>
  <c r="G1143"/>
  <c r="E1143"/>
  <c r="B1143"/>
  <c r="C1143"/>
  <c r="A1143"/>
  <c r="R1142"/>
  <c r="S1142"/>
  <c r="Q1142"/>
  <c r="O1142"/>
  <c r="M1142"/>
  <c r="K1142"/>
  <c r="I1142"/>
  <c r="G1142"/>
  <c r="E1142"/>
  <c r="B1142"/>
  <c r="C1142"/>
  <c r="A1142"/>
  <c r="R1141"/>
  <c r="S1141"/>
  <c r="Q1141"/>
  <c r="O1141"/>
  <c r="M1141"/>
  <c r="K1141"/>
  <c r="I1141"/>
  <c r="G1141"/>
  <c r="E1141"/>
  <c r="B1141"/>
  <c r="C1141"/>
  <c r="A1141"/>
  <c r="R1140"/>
  <c r="S1140"/>
  <c r="Q1140"/>
  <c r="O1140"/>
  <c r="M1140"/>
  <c r="K1140"/>
  <c r="I1140"/>
  <c r="G1140"/>
  <c r="E1140"/>
  <c r="B1140"/>
  <c r="C1140"/>
  <c r="A1140"/>
  <c r="R1139"/>
  <c r="S1139"/>
  <c r="Q1139"/>
  <c r="O1139"/>
  <c r="M1139"/>
  <c r="K1139"/>
  <c r="I1139"/>
  <c r="G1139"/>
  <c r="E1139"/>
  <c r="B1139"/>
  <c r="C1139"/>
  <c r="A1139"/>
  <c r="R1138"/>
  <c r="S1138"/>
  <c r="Q1138"/>
  <c r="O1138"/>
  <c r="M1138"/>
  <c r="K1138"/>
  <c r="I1138"/>
  <c r="G1138"/>
  <c r="E1138"/>
  <c r="B1138"/>
  <c r="C1138"/>
  <c r="A1138"/>
  <c r="R1137"/>
  <c r="S1137"/>
  <c r="Q1137"/>
  <c r="O1137"/>
  <c r="M1137"/>
  <c r="K1137"/>
  <c r="I1137"/>
  <c r="G1137"/>
  <c r="E1137"/>
  <c r="B1137"/>
  <c r="C1137"/>
  <c r="A1137"/>
  <c r="R1136"/>
  <c r="S1136"/>
  <c r="Q1136"/>
  <c r="O1136"/>
  <c r="M1136"/>
  <c r="K1136"/>
  <c r="I1136"/>
  <c r="G1136"/>
  <c r="E1136"/>
  <c r="B1136"/>
  <c r="C1136"/>
  <c r="A1136"/>
  <c r="R1135"/>
  <c r="S1135"/>
  <c r="Q1135"/>
  <c r="O1135"/>
  <c r="M1135"/>
  <c r="K1135"/>
  <c r="I1135"/>
  <c r="G1135"/>
  <c r="E1135"/>
  <c r="B1135"/>
  <c r="C1135"/>
  <c r="A1135"/>
  <c r="R1134"/>
  <c r="S1134"/>
  <c r="Q1134"/>
  <c r="O1134"/>
  <c r="M1134"/>
  <c r="K1134"/>
  <c r="I1134"/>
  <c r="G1134"/>
  <c r="E1134"/>
  <c r="B1134"/>
  <c r="C1134"/>
  <c r="A1134"/>
  <c r="R1133"/>
  <c r="S1133"/>
  <c r="Q1133"/>
  <c r="O1133"/>
  <c r="M1133"/>
  <c r="K1133"/>
  <c r="I1133"/>
  <c r="G1133"/>
  <c r="E1133"/>
  <c r="B1133"/>
  <c r="C1133"/>
  <c r="A1133"/>
  <c r="R1132"/>
  <c r="S1132"/>
  <c r="Q1132"/>
  <c r="O1132"/>
  <c r="M1132"/>
  <c r="K1132"/>
  <c r="I1132"/>
  <c r="G1132"/>
  <c r="E1132"/>
  <c r="B1132"/>
  <c r="C1132"/>
  <c r="A1132"/>
  <c r="R1131"/>
  <c r="S1131"/>
  <c r="Q1131"/>
  <c r="O1131"/>
  <c r="M1131"/>
  <c r="K1131"/>
  <c r="I1131"/>
  <c r="G1131"/>
  <c r="E1131"/>
  <c r="B1131"/>
  <c r="C1131"/>
  <c r="A1131"/>
  <c r="R1130"/>
  <c r="S1130"/>
  <c r="Q1130"/>
  <c r="O1130"/>
  <c r="M1130"/>
  <c r="K1130"/>
  <c r="I1130"/>
  <c r="G1130"/>
  <c r="E1130"/>
  <c r="B1130"/>
  <c r="C1130"/>
  <c r="A1130"/>
  <c r="R1129"/>
  <c r="S1129"/>
  <c r="Q1129"/>
  <c r="O1129"/>
  <c r="M1129"/>
  <c r="K1129"/>
  <c r="I1129"/>
  <c r="G1129"/>
  <c r="E1129"/>
  <c r="B1129"/>
  <c r="C1129"/>
  <c r="A1129"/>
  <c r="R1128"/>
  <c r="S1128"/>
  <c r="Q1128"/>
  <c r="O1128"/>
  <c r="M1128"/>
  <c r="K1128"/>
  <c r="I1128"/>
  <c r="G1128"/>
  <c r="E1128"/>
  <c r="B1128"/>
  <c r="C1128"/>
  <c r="A1128"/>
  <c r="R1127"/>
  <c r="S1127"/>
  <c r="Q1127"/>
  <c r="O1127"/>
  <c r="M1127"/>
  <c r="K1127"/>
  <c r="I1127"/>
  <c r="G1127"/>
  <c r="E1127"/>
  <c r="B1127"/>
  <c r="C1127"/>
  <c r="A1127"/>
  <c r="R1126"/>
  <c r="S1126"/>
  <c r="Q1126"/>
  <c r="O1126"/>
  <c r="M1126"/>
  <c r="K1126"/>
  <c r="I1126"/>
  <c r="G1126"/>
  <c r="E1126"/>
  <c r="B1126"/>
  <c r="C1126"/>
  <c r="A1126"/>
  <c r="R1125"/>
  <c r="S1125"/>
  <c r="Q1125"/>
  <c r="O1125"/>
  <c r="M1125"/>
  <c r="K1125"/>
  <c r="I1125"/>
  <c r="G1125"/>
  <c r="E1125"/>
  <c r="B1125"/>
  <c r="C1125"/>
  <c r="A1125"/>
  <c r="R1124"/>
  <c r="S1124"/>
  <c r="Q1124"/>
  <c r="O1124"/>
  <c r="M1124"/>
  <c r="K1124"/>
  <c r="I1124"/>
  <c r="G1124"/>
  <c r="E1124"/>
  <c r="B1124"/>
  <c r="C1124"/>
  <c r="A1124"/>
  <c r="R1123"/>
  <c r="S1123"/>
  <c r="Q1123"/>
  <c r="O1123"/>
  <c r="M1123"/>
  <c r="K1123"/>
  <c r="I1123"/>
  <c r="G1123"/>
  <c r="E1123"/>
  <c r="B1123"/>
  <c r="C1123"/>
  <c r="A1123"/>
  <c r="R1122"/>
  <c r="S1122"/>
  <c r="Q1122"/>
  <c r="O1122"/>
  <c r="M1122"/>
  <c r="K1122"/>
  <c r="I1122"/>
  <c r="G1122"/>
  <c r="E1122"/>
  <c r="B1122"/>
  <c r="C1122"/>
  <c r="A1122"/>
  <c r="R1121"/>
  <c r="S1121"/>
  <c r="Q1121"/>
  <c r="O1121"/>
  <c r="M1121"/>
  <c r="K1121"/>
  <c r="I1121"/>
  <c r="G1121"/>
  <c r="E1121"/>
  <c r="B1121"/>
  <c r="C1121"/>
  <c r="A1121"/>
  <c r="R1120"/>
  <c r="S1120"/>
  <c r="Q1120"/>
  <c r="O1120"/>
  <c r="M1120"/>
  <c r="K1120"/>
  <c r="I1120"/>
  <c r="G1120"/>
  <c r="E1120"/>
  <c r="B1120"/>
  <c r="C1120"/>
  <c r="A1120"/>
  <c r="R1119"/>
  <c r="S1119"/>
  <c r="Q1119"/>
  <c r="O1119"/>
  <c r="M1119"/>
  <c r="K1119"/>
  <c r="I1119"/>
  <c r="G1119"/>
  <c r="E1119"/>
  <c r="B1119"/>
  <c r="C1119"/>
  <c r="A1119"/>
  <c r="R1118"/>
  <c r="S1118"/>
  <c r="Q1118"/>
  <c r="O1118"/>
  <c r="M1118"/>
  <c r="K1118"/>
  <c r="I1118"/>
  <c r="G1118"/>
  <c r="E1118"/>
  <c r="B1118"/>
  <c r="C1118"/>
  <c r="A1118"/>
  <c r="R1117"/>
  <c r="S1117"/>
  <c r="Q1117"/>
  <c r="O1117"/>
  <c r="M1117"/>
  <c r="K1117"/>
  <c r="I1117"/>
  <c r="G1117"/>
  <c r="E1117"/>
  <c r="B1117"/>
  <c r="C1117"/>
  <c r="A1117"/>
  <c r="R1116"/>
  <c r="S1116"/>
  <c r="Q1116"/>
  <c r="O1116"/>
  <c r="M1116"/>
  <c r="K1116"/>
  <c r="I1116"/>
  <c r="G1116"/>
  <c r="E1116"/>
  <c r="B1116"/>
  <c r="C1116"/>
  <c r="A1116"/>
  <c r="R1115"/>
  <c r="S1115"/>
  <c r="Q1115"/>
  <c r="O1115"/>
  <c r="M1115"/>
  <c r="K1115"/>
  <c r="I1115"/>
  <c r="G1115"/>
  <c r="E1115"/>
  <c r="B1115"/>
  <c r="C1115"/>
  <c r="A1115"/>
  <c r="R1114"/>
  <c r="S1114"/>
  <c r="Q1114"/>
  <c r="O1114"/>
  <c r="M1114"/>
  <c r="K1114"/>
  <c r="I1114"/>
  <c r="G1114"/>
  <c r="E1114"/>
  <c r="B1114"/>
  <c r="C1114"/>
  <c r="A1114"/>
  <c r="R1113"/>
  <c r="S1113"/>
  <c r="Q1113"/>
  <c r="O1113"/>
  <c r="M1113"/>
  <c r="K1113"/>
  <c r="I1113"/>
  <c r="G1113"/>
  <c r="E1113"/>
  <c r="B1113"/>
  <c r="C1113"/>
  <c r="A1113"/>
  <c r="R1112"/>
  <c r="S1112"/>
  <c r="Q1112"/>
  <c r="O1112"/>
  <c r="M1112"/>
  <c r="K1112"/>
  <c r="I1112"/>
  <c r="G1112"/>
  <c r="E1112"/>
  <c r="B1112"/>
  <c r="C1112"/>
  <c r="A1112"/>
  <c r="R1111"/>
  <c r="S1111"/>
  <c r="Q1111"/>
  <c r="O1111"/>
  <c r="M1111"/>
  <c r="K1111"/>
  <c r="I1111"/>
  <c r="G1111"/>
  <c r="E1111"/>
  <c r="B1111"/>
  <c r="C1111"/>
  <c r="A1111"/>
  <c r="R1110"/>
  <c r="S1110"/>
  <c r="Q1110"/>
  <c r="O1110"/>
  <c r="M1110"/>
  <c r="K1110"/>
  <c r="I1110"/>
  <c r="G1110"/>
  <c r="E1110"/>
  <c r="B1110"/>
  <c r="C1110"/>
  <c r="A1110"/>
  <c r="R1109"/>
  <c r="S1109"/>
  <c r="Q1109"/>
  <c r="O1109"/>
  <c r="M1109"/>
  <c r="K1109"/>
  <c r="I1109"/>
  <c r="G1109"/>
  <c r="E1109"/>
  <c r="B1109"/>
  <c r="C1109"/>
  <c r="A1109"/>
  <c r="R1108"/>
  <c r="S1108"/>
  <c r="Q1108"/>
  <c r="O1108"/>
  <c r="M1108"/>
  <c r="K1108"/>
  <c r="I1108"/>
  <c r="G1108"/>
  <c r="E1108"/>
  <c r="B1108"/>
  <c r="C1108"/>
  <c r="A1108"/>
  <c r="R1107"/>
  <c r="S1107"/>
  <c r="Q1107"/>
  <c r="O1107"/>
  <c r="M1107"/>
  <c r="K1107"/>
  <c r="I1107"/>
  <c r="G1107"/>
  <c r="E1107"/>
  <c r="B1107"/>
  <c r="C1107"/>
  <c r="A1107"/>
  <c r="R1106"/>
  <c r="S1106"/>
  <c r="Q1106"/>
  <c r="O1106"/>
  <c r="M1106"/>
  <c r="K1106"/>
  <c r="I1106"/>
  <c r="G1106"/>
  <c r="E1106"/>
  <c r="B1106"/>
  <c r="C1106"/>
  <c r="A1106"/>
  <c r="R1105"/>
  <c r="S1105"/>
  <c r="Q1105"/>
  <c r="O1105"/>
  <c r="M1105"/>
  <c r="K1105"/>
  <c r="I1105"/>
  <c r="G1105"/>
  <c r="E1105"/>
  <c r="B1105"/>
  <c r="C1105"/>
  <c r="A1105"/>
  <c r="R1104"/>
  <c r="S1104"/>
  <c r="Q1104"/>
  <c r="O1104"/>
  <c r="M1104"/>
  <c r="K1104"/>
  <c r="I1104"/>
  <c r="G1104"/>
  <c r="E1104"/>
  <c r="B1104"/>
  <c r="C1104"/>
  <c r="A1104"/>
  <c r="R1103"/>
  <c r="S1103"/>
  <c r="Q1103"/>
  <c r="O1103"/>
  <c r="M1103"/>
  <c r="K1103"/>
  <c r="I1103"/>
  <c r="G1103"/>
  <c r="E1103"/>
  <c r="B1103"/>
  <c r="C1103"/>
  <c r="A1103"/>
  <c r="R1102"/>
  <c r="S1102"/>
  <c r="Q1102"/>
  <c r="O1102"/>
  <c r="M1102"/>
  <c r="K1102"/>
  <c r="I1102"/>
  <c r="G1102"/>
  <c r="E1102"/>
  <c r="B1102"/>
  <c r="C1102"/>
  <c r="A1102"/>
  <c r="R1101"/>
  <c r="S1101"/>
  <c r="Q1101"/>
  <c r="O1101"/>
  <c r="M1101"/>
  <c r="K1101"/>
  <c r="I1101"/>
  <c r="G1101"/>
  <c r="E1101"/>
  <c r="B1101"/>
  <c r="C1101"/>
  <c r="A1101"/>
  <c r="R1100"/>
  <c r="S1100"/>
  <c r="Q1100"/>
  <c r="O1100"/>
  <c r="M1100"/>
  <c r="K1100"/>
  <c r="I1100"/>
  <c r="G1100"/>
  <c r="E1100"/>
  <c r="B1100"/>
  <c r="C1100"/>
  <c r="A1100"/>
  <c r="R1099"/>
  <c r="S1099"/>
  <c r="Q1099"/>
  <c r="O1099"/>
  <c r="M1099"/>
  <c r="K1099"/>
  <c r="I1099"/>
  <c r="G1099"/>
  <c r="E1099"/>
  <c r="B1099"/>
  <c r="C1099"/>
  <c r="A1099"/>
  <c r="R1098"/>
  <c r="S1098"/>
  <c r="Q1098"/>
  <c r="O1098"/>
  <c r="M1098"/>
  <c r="K1098"/>
  <c r="I1098"/>
  <c r="G1098"/>
  <c r="E1098"/>
  <c r="B1098"/>
  <c r="C1098"/>
  <c r="A1098"/>
  <c r="R1097"/>
  <c r="S1097"/>
  <c r="Q1097"/>
  <c r="O1097"/>
  <c r="M1097"/>
  <c r="K1097"/>
  <c r="I1097"/>
  <c r="G1097"/>
  <c r="E1097"/>
  <c r="B1097"/>
  <c r="C1097"/>
  <c r="A1097"/>
  <c r="R1096"/>
  <c r="S1096"/>
  <c r="Q1096"/>
  <c r="O1096"/>
  <c r="M1096"/>
  <c r="K1096"/>
  <c r="I1096"/>
  <c r="G1096"/>
  <c r="E1096"/>
  <c r="B1096"/>
  <c r="C1096"/>
  <c r="A1096"/>
  <c r="R1095"/>
  <c r="S1095"/>
  <c r="Q1095"/>
  <c r="O1095"/>
  <c r="M1095"/>
  <c r="K1095"/>
  <c r="I1095"/>
  <c r="G1095"/>
  <c r="E1095"/>
  <c r="B1095"/>
  <c r="C1095"/>
  <c r="A1095"/>
  <c r="R1094"/>
  <c r="S1094"/>
  <c r="Q1094"/>
  <c r="O1094"/>
  <c r="M1094"/>
  <c r="K1094"/>
  <c r="I1094"/>
  <c r="G1094"/>
  <c r="E1094"/>
  <c r="B1094"/>
  <c r="C1094"/>
  <c r="A1094"/>
  <c r="R1093"/>
  <c r="S1093"/>
  <c r="Q1093"/>
  <c r="O1093"/>
  <c r="M1093"/>
  <c r="K1093"/>
  <c r="I1093"/>
  <c r="G1093"/>
  <c r="E1093"/>
  <c r="B1093"/>
  <c r="C1093"/>
  <c r="A1093"/>
  <c r="R1092"/>
  <c r="S1092"/>
  <c r="Q1092"/>
  <c r="O1092"/>
  <c r="M1092"/>
  <c r="K1092"/>
  <c r="I1092"/>
  <c r="G1092"/>
  <c r="E1092"/>
  <c r="B1092"/>
  <c r="C1092"/>
  <c r="A1092"/>
  <c r="R1091"/>
  <c r="S1091"/>
  <c r="Q1091"/>
  <c r="O1091"/>
  <c r="M1091"/>
  <c r="K1091"/>
  <c r="I1091"/>
  <c r="G1091"/>
  <c r="E1091"/>
  <c r="B1091"/>
  <c r="C1091"/>
  <c r="A1091"/>
  <c r="R1090"/>
  <c r="S1090"/>
  <c r="Q1090"/>
  <c r="O1090"/>
  <c r="M1090"/>
  <c r="K1090"/>
  <c r="I1090"/>
  <c r="G1090"/>
  <c r="E1090"/>
  <c r="B1090"/>
  <c r="C1090"/>
  <c r="A1090"/>
  <c r="R1089"/>
  <c r="S1089"/>
  <c r="Q1089"/>
  <c r="O1089"/>
  <c r="M1089"/>
  <c r="K1089"/>
  <c r="I1089"/>
  <c r="G1089"/>
  <c r="E1089"/>
  <c r="B1089"/>
  <c r="C1089"/>
  <c r="A1089"/>
  <c r="R1088"/>
  <c r="S1088"/>
  <c r="Q1088"/>
  <c r="O1088"/>
  <c r="M1088"/>
  <c r="K1088"/>
  <c r="I1088"/>
  <c r="G1088"/>
  <c r="E1088"/>
  <c r="B1088"/>
  <c r="C1088"/>
  <c r="A1088"/>
  <c r="R1087"/>
  <c r="S1087"/>
  <c r="Q1087"/>
  <c r="O1087"/>
  <c r="M1087"/>
  <c r="K1087"/>
  <c r="I1087"/>
  <c r="G1087"/>
  <c r="E1087"/>
  <c r="B1087"/>
  <c r="C1087"/>
  <c r="A1087"/>
  <c r="R1086"/>
  <c r="S1086"/>
  <c r="Q1086"/>
  <c r="O1086"/>
  <c r="M1086"/>
  <c r="K1086"/>
  <c r="I1086"/>
  <c r="G1086"/>
  <c r="E1086"/>
  <c r="B1086"/>
  <c r="C1086"/>
  <c r="A1086"/>
  <c r="R1085"/>
  <c r="S1085"/>
  <c r="Q1085"/>
  <c r="O1085"/>
  <c r="M1085"/>
  <c r="K1085"/>
  <c r="I1085"/>
  <c r="G1085"/>
  <c r="E1085"/>
  <c r="B1085"/>
  <c r="C1085"/>
  <c r="A1085"/>
  <c r="R1084"/>
  <c r="S1084"/>
  <c r="Q1084"/>
  <c r="O1084"/>
  <c r="M1084"/>
  <c r="K1084"/>
  <c r="I1084"/>
  <c r="G1084"/>
  <c r="E1084"/>
  <c r="B1084"/>
  <c r="C1084"/>
  <c r="A1084"/>
  <c r="R1083"/>
  <c r="S1083"/>
  <c r="Q1083"/>
  <c r="O1083"/>
  <c r="M1083"/>
  <c r="K1083"/>
  <c r="I1083"/>
  <c r="G1083"/>
  <c r="E1083"/>
  <c r="B1083"/>
  <c r="C1083"/>
  <c r="A1083"/>
  <c r="R1082"/>
  <c r="S1082"/>
  <c r="Q1082"/>
  <c r="O1082"/>
  <c r="M1082"/>
  <c r="K1082"/>
  <c r="I1082"/>
  <c r="G1082"/>
  <c r="E1082"/>
  <c r="B1082"/>
  <c r="C1082"/>
  <c r="A1082"/>
  <c r="R1081"/>
  <c r="S1081"/>
  <c r="Q1081"/>
  <c r="O1081"/>
  <c r="M1081"/>
  <c r="K1081"/>
  <c r="I1081"/>
  <c r="G1081"/>
  <c r="E1081"/>
  <c r="B1081"/>
  <c r="C1081"/>
  <c r="A1081"/>
  <c r="R1080"/>
  <c r="S1080"/>
  <c r="Q1080"/>
  <c r="O1080"/>
  <c r="M1080"/>
  <c r="K1080"/>
  <c r="I1080"/>
  <c r="G1080"/>
  <c r="E1080"/>
  <c r="B1080"/>
  <c r="C1080"/>
  <c r="A1080"/>
  <c r="R1079"/>
  <c r="S1079"/>
  <c r="Q1079"/>
  <c r="O1079"/>
  <c r="M1079"/>
  <c r="K1079"/>
  <c r="I1079"/>
  <c r="G1079"/>
  <c r="E1079"/>
  <c r="B1079"/>
  <c r="C1079"/>
  <c r="A1079"/>
  <c r="R1078"/>
  <c r="S1078"/>
  <c r="Q1078"/>
  <c r="O1078"/>
  <c r="M1078"/>
  <c r="K1078"/>
  <c r="I1078"/>
  <c r="G1078"/>
  <c r="E1078"/>
  <c r="B1078"/>
  <c r="C1078"/>
  <c r="A1078"/>
  <c r="R1077"/>
  <c r="S1077"/>
  <c r="Q1077"/>
  <c r="O1077"/>
  <c r="M1077"/>
  <c r="K1077"/>
  <c r="I1077"/>
  <c r="G1077"/>
  <c r="E1077"/>
  <c r="B1077"/>
  <c r="C1077"/>
  <c r="A1077"/>
  <c r="R1076"/>
  <c r="S1076"/>
  <c r="Q1076"/>
  <c r="O1076"/>
  <c r="M1076"/>
  <c r="K1076"/>
  <c r="I1076"/>
  <c r="G1076"/>
  <c r="E1076"/>
  <c r="B1076"/>
  <c r="C1076"/>
  <c r="A1076"/>
  <c r="R1075"/>
  <c r="S1075"/>
  <c r="Q1075"/>
  <c r="O1075"/>
  <c r="M1075"/>
  <c r="K1075"/>
  <c r="I1075"/>
  <c r="G1075"/>
  <c r="E1075"/>
  <c r="B1075"/>
  <c r="C1075"/>
  <c r="A1075"/>
  <c r="R1074"/>
  <c r="S1074"/>
  <c r="Q1074"/>
  <c r="O1074"/>
  <c r="M1074"/>
  <c r="K1074"/>
  <c r="I1074"/>
  <c r="G1074"/>
  <c r="E1074"/>
  <c r="B1074"/>
  <c r="C1074"/>
  <c r="A1074"/>
  <c r="R1073"/>
  <c r="S1073"/>
  <c r="Q1073"/>
  <c r="O1073"/>
  <c r="M1073"/>
  <c r="K1073"/>
  <c r="I1073"/>
  <c r="G1073"/>
  <c r="E1073"/>
  <c r="B1073"/>
  <c r="C1073"/>
  <c r="A1073"/>
  <c r="R1072"/>
  <c r="S1072"/>
  <c r="Q1072"/>
  <c r="O1072"/>
  <c r="M1072"/>
  <c r="K1072"/>
  <c r="I1072"/>
  <c r="G1072"/>
  <c r="E1072"/>
  <c r="B1072"/>
  <c r="C1072"/>
  <c r="A1072"/>
  <c r="R1071"/>
  <c r="S1071"/>
  <c r="Q1071"/>
  <c r="O1071"/>
  <c r="M1071"/>
  <c r="K1071"/>
  <c r="I1071"/>
  <c r="G1071"/>
  <c r="E1071"/>
  <c r="B1071"/>
  <c r="C1071"/>
  <c r="A1071"/>
  <c r="R1070"/>
  <c r="S1070"/>
  <c r="Q1070"/>
  <c r="O1070"/>
  <c r="M1070"/>
  <c r="K1070"/>
  <c r="I1070"/>
  <c r="G1070"/>
  <c r="E1070"/>
  <c r="B1070"/>
  <c r="C1070"/>
  <c r="A1070"/>
  <c r="R1069"/>
  <c r="S1069"/>
  <c r="Q1069"/>
  <c r="O1069"/>
  <c r="M1069"/>
  <c r="K1069"/>
  <c r="I1069"/>
  <c r="G1069"/>
  <c r="E1069"/>
  <c r="B1069"/>
  <c r="C1069"/>
  <c r="A1069"/>
  <c r="R1068"/>
  <c r="S1068"/>
  <c r="Q1068"/>
  <c r="O1068"/>
  <c r="M1068"/>
  <c r="K1068"/>
  <c r="I1068"/>
  <c r="G1068"/>
  <c r="E1068"/>
  <c r="B1068"/>
  <c r="C1068"/>
  <c r="A1068"/>
  <c r="R1067"/>
  <c r="S1067"/>
  <c r="Q1067"/>
  <c r="O1067"/>
  <c r="M1067"/>
  <c r="K1067"/>
  <c r="I1067"/>
  <c r="G1067"/>
  <c r="E1067"/>
  <c r="B1067"/>
  <c r="C1067"/>
  <c r="A1067"/>
  <c r="R1066"/>
  <c r="S1066"/>
  <c r="Q1066"/>
  <c r="O1066"/>
  <c r="M1066"/>
  <c r="K1066"/>
  <c r="I1066"/>
  <c r="G1066"/>
  <c r="E1066"/>
  <c r="B1066"/>
  <c r="C1066"/>
  <c r="A1066"/>
  <c r="R1065"/>
  <c r="S1065"/>
  <c r="Q1065"/>
  <c r="O1065"/>
  <c r="M1065"/>
  <c r="K1065"/>
  <c r="I1065"/>
  <c r="G1065"/>
  <c r="E1065"/>
  <c r="B1065"/>
  <c r="C1065"/>
  <c r="A1065"/>
  <c r="R1064"/>
  <c r="S1064"/>
  <c r="Q1064"/>
  <c r="O1064"/>
  <c r="M1064"/>
  <c r="K1064"/>
  <c r="I1064"/>
  <c r="G1064"/>
  <c r="E1064"/>
  <c r="B1064"/>
  <c r="C1064"/>
  <c r="A1064"/>
  <c r="R1063"/>
  <c r="S1063"/>
  <c r="Q1063"/>
  <c r="O1063"/>
  <c r="M1063"/>
  <c r="K1063"/>
  <c r="I1063"/>
  <c r="G1063"/>
  <c r="E1063"/>
  <c r="B1063"/>
  <c r="C1063"/>
  <c r="A1063"/>
  <c r="R1062"/>
  <c r="S1062"/>
  <c r="Q1062"/>
  <c r="O1062"/>
  <c r="M1062"/>
  <c r="K1062"/>
  <c r="I1062"/>
  <c r="G1062"/>
  <c r="E1062"/>
  <c r="B1062"/>
  <c r="C1062"/>
  <c r="A1062"/>
  <c r="R1061"/>
  <c r="S1061"/>
  <c r="Q1061"/>
  <c r="O1061"/>
  <c r="M1061"/>
  <c r="K1061"/>
  <c r="I1061"/>
  <c r="G1061"/>
  <c r="E1061"/>
  <c r="B1061"/>
  <c r="C1061"/>
  <c r="A1061"/>
  <c r="R1060"/>
  <c r="S1060"/>
  <c r="Q1060"/>
  <c r="O1060"/>
  <c r="M1060"/>
  <c r="K1060"/>
  <c r="I1060"/>
  <c r="G1060"/>
  <c r="E1060"/>
  <c r="B1060"/>
  <c r="C1060"/>
  <c r="A1060"/>
  <c r="R1059"/>
  <c r="S1059"/>
  <c r="Q1059"/>
  <c r="O1059"/>
  <c r="M1059"/>
  <c r="K1059"/>
  <c r="I1059"/>
  <c r="G1059"/>
  <c r="E1059"/>
  <c r="B1059"/>
  <c r="C1059"/>
  <c r="A1059"/>
  <c r="R1058"/>
  <c r="S1058"/>
  <c r="Q1058"/>
  <c r="O1058"/>
  <c r="M1058"/>
  <c r="K1058"/>
  <c r="I1058"/>
  <c r="G1058"/>
  <c r="E1058"/>
  <c r="B1058"/>
  <c r="C1058"/>
  <c r="A1058"/>
  <c r="R1057"/>
  <c r="S1057"/>
  <c r="Q1057"/>
  <c r="O1057"/>
  <c r="M1057"/>
  <c r="K1057"/>
  <c r="I1057"/>
  <c r="G1057"/>
  <c r="E1057"/>
  <c r="B1057"/>
  <c r="C1057"/>
  <c r="A1057"/>
  <c r="R1056"/>
  <c r="S1056"/>
  <c r="Q1056"/>
  <c r="O1056"/>
  <c r="M1056"/>
  <c r="K1056"/>
  <c r="I1056"/>
  <c r="G1056"/>
  <c r="E1056"/>
  <c r="B1056"/>
  <c r="C1056"/>
  <c r="A1056"/>
  <c r="R1055"/>
  <c r="S1055"/>
  <c r="Q1055"/>
  <c r="O1055"/>
  <c r="M1055"/>
  <c r="K1055"/>
  <c r="I1055"/>
  <c r="G1055"/>
  <c r="E1055"/>
  <c r="B1055"/>
  <c r="C1055"/>
  <c r="A1055"/>
  <c r="R1054"/>
  <c r="S1054"/>
  <c r="Q1054"/>
  <c r="O1054"/>
  <c r="M1054"/>
  <c r="K1054"/>
  <c r="I1054"/>
  <c r="G1054"/>
  <c r="E1054"/>
  <c r="B1054"/>
  <c r="C1054"/>
  <c r="A1054"/>
  <c r="R1053"/>
  <c r="S1053"/>
  <c r="Q1053"/>
  <c r="O1053"/>
  <c r="M1053"/>
  <c r="K1053"/>
  <c r="I1053"/>
  <c r="G1053"/>
  <c r="E1053"/>
  <c r="B1053"/>
  <c r="C1053"/>
  <c r="A1053"/>
  <c r="R1052"/>
  <c r="S1052"/>
  <c r="Q1052"/>
  <c r="O1052"/>
  <c r="M1052"/>
  <c r="K1052"/>
  <c r="I1052"/>
  <c r="G1052"/>
  <c r="E1052"/>
  <c r="B1052"/>
  <c r="C1052"/>
  <c r="A1052"/>
  <c r="R1051"/>
  <c r="S1051"/>
  <c r="Q1051"/>
  <c r="O1051"/>
  <c r="M1051"/>
  <c r="K1051"/>
  <c r="I1051"/>
  <c r="G1051"/>
  <c r="E1051"/>
  <c r="B1051"/>
  <c r="C1051"/>
  <c r="A1051"/>
  <c r="R1050"/>
  <c r="S1050"/>
  <c r="Q1050"/>
  <c r="O1050"/>
  <c r="M1050"/>
  <c r="K1050"/>
  <c r="I1050"/>
  <c r="G1050"/>
  <c r="E1050"/>
  <c r="B1050"/>
  <c r="C1050"/>
  <c r="A1050"/>
  <c r="R1049"/>
  <c r="S1049"/>
  <c r="Q1049"/>
  <c r="O1049"/>
  <c r="M1049"/>
  <c r="K1049"/>
  <c r="I1049"/>
  <c r="G1049"/>
  <c r="E1049"/>
  <c r="B1049"/>
  <c r="C1049"/>
  <c r="A1049"/>
  <c r="R1048"/>
  <c r="S1048"/>
  <c r="Q1048"/>
  <c r="O1048"/>
  <c r="M1048"/>
  <c r="K1048"/>
  <c r="I1048"/>
  <c r="G1048"/>
  <c r="E1048"/>
  <c r="B1048"/>
  <c r="C1048"/>
  <c r="A1048"/>
  <c r="R1047"/>
  <c r="S1047"/>
  <c r="Q1047"/>
  <c r="O1047"/>
  <c r="M1047"/>
  <c r="K1047"/>
  <c r="I1047"/>
  <c r="G1047"/>
  <c r="E1047"/>
  <c r="B1047"/>
  <c r="C1047"/>
  <c r="A1047"/>
  <c r="R1046"/>
  <c r="S1046"/>
  <c r="Q1046"/>
  <c r="O1046"/>
  <c r="M1046"/>
  <c r="K1046"/>
  <c r="I1046"/>
  <c r="G1046"/>
  <c r="E1046"/>
  <c r="B1046"/>
  <c r="C1046"/>
  <c r="A1046"/>
  <c r="R1045"/>
  <c r="S1045"/>
  <c r="Q1045"/>
  <c r="O1045"/>
  <c r="M1045"/>
  <c r="K1045"/>
  <c r="I1045"/>
  <c r="G1045"/>
  <c r="E1045"/>
  <c r="B1045"/>
  <c r="C1045"/>
  <c r="A1045"/>
  <c r="R1044"/>
  <c r="S1044"/>
  <c r="Q1044"/>
  <c r="O1044"/>
  <c r="M1044"/>
  <c r="K1044"/>
  <c r="I1044"/>
  <c r="G1044"/>
  <c r="E1044"/>
  <c r="B1044"/>
  <c r="C1044"/>
  <c r="A1044"/>
  <c r="R1043"/>
  <c r="S1043"/>
  <c r="Q1043"/>
  <c r="O1043"/>
  <c r="M1043"/>
  <c r="K1043"/>
  <c r="I1043"/>
  <c r="G1043"/>
  <c r="E1043"/>
  <c r="B1043"/>
  <c r="C1043"/>
  <c r="A1043"/>
  <c r="R1042"/>
  <c r="S1042"/>
  <c r="Q1042"/>
  <c r="O1042"/>
  <c r="M1042"/>
  <c r="K1042"/>
  <c r="I1042"/>
  <c r="G1042"/>
  <c r="E1042"/>
  <c r="B1042"/>
  <c r="C1042"/>
  <c r="A1042"/>
  <c r="R1041"/>
  <c r="S1041"/>
  <c r="Q1041"/>
  <c r="O1041"/>
  <c r="M1041"/>
  <c r="K1041"/>
  <c r="I1041"/>
  <c r="G1041"/>
  <c r="E1041"/>
  <c r="B1041"/>
  <c r="C1041"/>
  <c r="A1041"/>
  <c r="R1040"/>
  <c r="S1040"/>
  <c r="Q1040"/>
  <c r="O1040"/>
  <c r="M1040"/>
  <c r="K1040"/>
  <c r="I1040"/>
  <c r="G1040"/>
  <c r="E1040"/>
  <c r="B1040"/>
  <c r="C1040"/>
  <c r="A1040"/>
  <c r="R1039"/>
  <c r="S1039"/>
  <c r="Q1039"/>
  <c r="O1039"/>
  <c r="M1039"/>
  <c r="K1039"/>
  <c r="I1039"/>
  <c r="G1039"/>
  <c r="E1039"/>
  <c r="B1039"/>
  <c r="C1039"/>
  <c r="A1039"/>
  <c r="R1038"/>
  <c r="S1038"/>
  <c r="Q1038"/>
  <c r="O1038"/>
  <c r="M1038"/>
  <c r="K1038"/>
  <c r="I1038"/>
  <c r="G1038"/>
  <c r="E1038"/>
  <c r="B1038"/>
  <c r="C1038"/>
  <c r="A1038"/>
  <c r="R1037"/>
  <c r="S1037"/>
  <c r="Q1037"/>
  <c r="O1037"/>
  <c r="M1037"/>
  <c r="K1037"/>
  <c r="I1037"/>
  <c r="G1037"/>
  <c r="E1037"/>
  <c r="B1037"/>
  <c r="C1037"/>
  <c r="A1037"/>
  <c r="R1036"/>
  <c r="S1036"/>
  <c r="Q1036"/>
  <c r="O1036"/>
  <c r="M1036"/>
  <c r="K1036"/>
  <c r="I1036"/>
  <c r="G1036"/>
  <c r="E1036"/>
  <c r="B1036"/>
  <c r="C1036"/>
  <c r="A1036"/>
  <c r="R1035"/>
  <c r="S1035"/>
  <c r="Q1035"/>
  <c r="O1035"/>
  <c r="M1035"/>
  <c r="K1035"/>
  <c r="I1035"/>
  <c r="G1035"/>
  <c r="E1035"/>
  <c r="B1035"/>
  <c r="C1035"/>
  <c r="A1035"/>
  <c r="R1034"/>
  <c r="S1034"/>
  <c r="Q1034"/>
  <c r="O1034"/>
  <c r="M1034"/>
  <c r="K1034"/>
  <c r="I1034"/>
  <c r="G1034"/>
  <c r="E1034"/>
  <c r="B1034"/>
  <c r="C1034"/>
  <c r="A1034"/>
  <c r="R1033"/>
  <c r="S1033"/>
  <c r="Q1033"/>
  <c r="O1033"/>
  <c r="M1033"/>
  <c r="K1033"/>
  <c r="I1033"/>
  <c r="G1033"/>
  <c r="E1033"/>
  <c r="B1033"/>
  <c r="C1033"/>
  <c r="A1033"/>
  <c r="R1032"/>
  <c r="S1032"/>
  <c r="Q1032"/>
  <c r="O1032"/>
  <c r="M1032"/>
  <c r="K1032"/>
  <c r="I1032"/>
  <c r="G1032"/>
  <c r="E1032"/>
  <c r="B1032"/>
  <c r="C1032"/>
  <c r="A1032"/>
  <c r="R1031"/>
  <c r="S1031"/>
  <c r="Q1031"/>
  <c r="O1031"/>
  <c r="M1031"/>
  <c r="K1031"/>
  <c r="I1031"/>
  <c r="G1031"/>
  <c r="E1031"/>
  <c r="B1031"/>
  <c r="C1031"/>
  <c r="A1031"/>
  <c r="R1030"/>
  <c r="S1030"/>
  <c r="Q1030"/>
  <c r="O1030"/>
  <c r="M1030"/>
  <c r="K1030"/>
  <c r="I1030"/>
  <c r="G1030"/>
  <c r="E1030"/>
  <c r="B1030"/>
  <c r="C1030"/>
  <c r="A1030"/>
  <c r="R1029"/>
  <c r="S1029"/>
  <c r="Q1029"/>
  <c r="O1029"/>
  <c r="M1029"/>
  <c r="K1029"/>
  <c r="I1029"/>
  <c r="G1029"/>
  <c r="E1029"/>
  <c r="B1029"/>
  <c r="C1029"/>
  <c r="A1029"/>
  <c r="R1028"/>
  <c r="S1028"/>
  <c r="Q1028"/>
  <c r="O1028"/>
  <c r="M1028"/>
  <c r="K1028"/>
  <c r="I1028"/>
  <c r="G1028"/>
  <c r="E1028"/>
  <c r="B1028"/>
  <c r="C1028"/>
  <c r="A1028"/>
  <c r="R1027"/>
  <c r="S1027"/>
  <c r="Q1027"/>
  <c r="O1027"/>
  <c r="M1027"/>
  <c r="K1027"/>
  <c r="I1027"/>
  <c r="G1027"/>
  <c r="E1027"/>
  <c r="B1027"/>
  <c r="C1027"/>
  <c r="A1027"/>
  <c r="R1026"/>
  <c r="S1026"/>
  <c r="Q1026"/>
  <c r="O1026"/>
  <c r="M1026"/>
  <c r="K1026"/>
  <c r="I1026"/>
  <c r="G1026"/>
  <c r="E1026"/>
  <c r="B1026"/>
  <c r="C1026"/>
  <c r="A1026"/>
  <c r="R1025"/>
  <c r="S1025"/>
  <c r="Q1025"/>
  <c r="O1025"/>
  <c r="M1025"/>
  <c r="K1025"/>
  <c r="I1025"/>
  <c r="G1025"/>
  <c r="E1025"/>
  <c r="B1025"/>
  <c r="C1025"/>
  <c r="A1025"/>
  <c r="R1024"/>
  <c r="S1024"/>
  <c r="Q1024"/>
  <c r="O1024"/>
  <c r="M1024"/>
  <c r="K1024"/>
  <c r="I1024"/>
  <c r="G1024"/>
  <c r="E1024"/>
  <c r="B1024"/>
  <c r="C1024"/>
  <c r="A1024"/>
  <c r="R1023"/>
  <c r="S1023"/>
  <c r="Q1023"/>
  <c r="O1023"/>
  <c r="M1023"/>
  <c r="K1023"/>
  <c r="I1023"/>
  <c r="G1023"/>
  <c r="E1023"/>
  <c r="B1023"/>
  <c r="C1023"/>
  <c r="A1023"/>
  <c r="R1022"/>
  <c r="S1022"/>
  <c r="Q1022"/>
  <c r="O1022"/>
  <c r="M1022"/>
  <c r="K1022"/>
  <c r="I1022"/>
  <c r="G1022"/>
  <c r="E1022"/>
  <c r="B1022"/>
  <c r="C1022"/>
  <c r="A1022"/>
  <c r="R1021"/>
  <c r="S1021"/>
  <c r="Q1021"/>
  <c r="O1021"/>
  <c r="M1021"/>
  <c r="K1021"/>
  <c r="I1021"/>
  <c r="G1021"/>
  <c r="E1021"/>
  <c r="B1021"/>
  <c r="C1021"/>
  <c r="A1021"/>
  <c r="R1020"/>
  <c r="S1020"/>
  <c r="Q1020"/>
  <c r="O1020"/>
  <c r="M1020"/>
  <c r="K1020"/>
  <c r="I1020"/>
  <c r="G1020"/>
  <c r="E1020"/>
  <c r="B1020"/>
  <c r="C1020"/>
  <c r="A1020"/>
  <c r="R1019"/>
  <c r="S1019"/>
  <c r="Q1019"/>
  <c r="O1019"/>
  <c r="M1019"/>
  <c r="K1019"/>
  <c r="I1019"/>
  <c r="G1019"/>
  <c r="E1019"/>
  <c r="B1019"/>
  <c r="C1019"/>
  <c r="A1019"/>
  <c r="R1018"/>
  <c r="S1018"/>
  <c r="Q1018"/>
  <c r="O1018"/>
  <c r="M1018"/>
  <c r="K1018"/>
  <c r="I1018"/>
  <c r="G1018"/>
  <c r="E1018"/>
  <c r="B1018"/>
  <c r="C1018"/>
  <c r="A1018"/>
  <c r="R1017"/>
  <c r="S1017"/>
  <c r="Q1017"/>
  <c r="O1017"/>
  <c r="M1017"/>
  <c r="K1017"/>
  <c r="I1017"/>
  <c r="G1017"/>
  <c r="E1017"/>
  <c r="B1017"/>
  <c r="C1017"/>
  <c r="A1017"/>
  <c r="R1016"/>
  <c r="S1016"/>
  <c r="Q1016"/>
  <c r="O1016"/>
  <c r="M1016"/>
  <c r="K1016"/>
  <c r="I1016"/>
  <c r="G1016"/>
  <c r="E1016"/>
  <c r="B1016"/>
  <c r="C1016"/>
  <c r="A1016"/>
  <c r="R1015"/>
  <c r="S1015"/>
  <c r="Q1015"/>
  <c r="O1015"/>
  <c r="M1015"/>
  <c r="K1015"/>
  <c r="I1015"/>
  <c r="G1015"/>
  <c r="E1015"/>
  <c r="B1015"/>
  <c r="C1015"/>
  <c r="A1015"/>
  <c r="R1014"/>
  <c r="S1014"/>
  <c r="Q1014"/>
  <c r="O1014"/>
  <c r="M1014"/>
  <c r="K1014"/>
  <c r="I1014"/>
  <c r="G1014"/>
  <c r="E1014"/>
  <c r="B1014"/>
  <c r="C1014"/>
  <c r="A1014"/>
  <c r="R1013"/>
  <c r="S1013"/>
  <c r="Q1013"/>
  <c r="O1013"/>
  <c r="M1013"/>
  <c r="K1013"/>
  <c r="I1013"/>
  <c r="G1013"/>
  <c r="E1013"/>
  <c r="B1013"/>
  <c r="C1013"/>
  <c r="A1013"/>
  <c r="R1012"/>
  <c r="S1012"/>
  <c r="Q1012"/>
  <c r="O1012"/>
  <c r="M1012"/>
  <c r="K1012"/>
  <c r="I1012"/>
  <c r="G1012"/>
  <c r="E1012"/>
  <c r="B1012"/>
  <c r="C1012"/>
  <c r="A1012"/>
  <c r="R1011"/>
  <c r="S1011"/>
  <c r="Q1011"/>
  <c r="O1011"/>
  <c r="M1011"/>
  <c r="K1011"/>
  <c r="I1011"/>
  <c r="G1011"/>
  <c r="E1011"/>
  <c r="B1011"/>
  <c r="C1011"/>
  <c r="A1011"/>
  <c r="R1010"/>
  <c r="S1010"/>
  <c r="Q1010"/>
  <c r="O1010"/>
  <c r="M1010"/>
  <c r="K1010"/>
  <c r="I1010"/>
  <c r="G1010"/>
  <c r="E1010"/>
  <c r="B1010"/>
  <c r="C1010"/>
  <c r="A1010"/>
  <c r="R1009"/>
  <c r="S1009"/>
  <c r="Q1009"/>
  <c r="O1009"/>
  <c r="M1009"/>
  <c r="K1009"/>
  <c r="I1009"/>
  <c r="G1009"/>
  <c r="E1009"/>
  <c r="B1009"/>
  <c r="C1009"/>
  <c r="A1009"/>
  <c r="R1008"/>
  <c r="S1008"/>
  <c r="Q1008"/>
  <c r="O1008"/>
  <c r="M1008"/>
  <c r="K1008"/>
  <c r="I1008"/>
  <c r="G1008"/>
  <c r="E1008"/>
  <c r="B1008"/>
  <c r="C1008"/>
  <c r="A1008"/>
  <c r="R1007"/>
  <c r="S1007"/>
  <c r="Q1007"/>
  <c r="O1007"/>
  <c r="M1007"/>
  <c r="K1007"/>
  <c r="I1007"/>
  <c r="G1007"/>
  <c r="E1007"/>
  <c r="B1007"/>
  <c r="C1007"/>
  <c r="A1007"/>
  <c r="R1006"/>
  <c r="S1006"/>
  <c r="Q1006"/>
  <c r="O1006"/>
  <c r="M1006"/>
  <c r="K1006"/>
  <c r="I1006"/>
  <c r="G1006"/>
  <c r="E1006"/>
  <c r="B1006"/>
  <c r="C1006"/>
  <c r="A1006"/>
  <c r="R1005"/>
  <c r="S1005"/>
  <c r="Q1005"/>
  <c r="O1005"/>
  <c r="M1005"/>
  <c r="K1005"/>
  <c r="I1005"/>
  <c r="G1005"/>
  <c r="E1005"/>
  <c r="B1005"/>
  <c r="C1005"/>
  <c r="A1005"/>
  <c r="R1004"/>
  <c r="S1004"/>
  <c r="Q1004"/>
  <c r="O1004"/>
  <c r="M1004"/>
  <c r="K1004"/>
  <c r="I1004"/>
  <c r="G1004"/>
  <c r="E1004"/>
  <c r="B1004"/>
  <c r="C1004"/>
  <c r="A1004"/>
  <c r="R1003"/>
  <c r="S1003"/>
  <c r="Q1003"/>
  <c r="O1003"/>
  <c r="M1003"/>
  <c r="K1003"/>
  <c r="I1003"/>
  <c r="G1003"/>
  <c r="E1003"/>
  <c r="B1003"/>
  <c r="C1003"/>
  <c r="A1003"/>
  <c r="R1002"/>
  <c r="S1002"/>
  <c r="Q1002"/>
  <c r="O1002"/>
  <c r="M1002"/>
  <c r="K1002"/>
  <c r="I1002"/>
  <c r="G1002"/>
  <c r="E1002"/>
  <c r="B1002"/>
  <c r="C1002"/>
  <c r="A1002"/>
  <c r="R1001"/>
  <c r="S1001"/>
  <c r="Q1001"/>
  <c r="O1001"/>
  <c r="M1001"/>
  <c r="K1001"/>
  <c r="I1001"/>
  <c r="G1001"/>
  <c r="E1001"/>
  <c r="B1001"/>
  <c r="C1001"/>
  <c r="A1001"/>
  <c r="R1000"/>
  <c r="S1000"/>
  <c r="Q1000"/>
  <c r="O1000"/>
  <c r="M1000"/>
  <c r="K1000"/>
  <c r="I1000"/>
  <c r="G1000"/>
  <c r="E1000"/>
  <c r="B1000"/>
  <c r="C1000"/>
  <c r="A1000"/>
  <c r="R999"/>
  <c r="S999"/>
  <c r="Q999"/>
  <c r="O999"/>
  <c r="M999"/>
  <c r="K999"/>
  <c r="I999"/>
  <c r="G999"/>
  <c r="E999"/>
  <c r="B999"/>
  <c r="C999"/>
  <c r="A999"/>
  <c r="R998"/>
  <c r="S998"/>
  <c r="Q998"/>
  <c r="O998"/>
  <c r="M998"/>
  <c r="K998"/>
  <c r="I998"/>
  <c r="G998"/>
  <c r="E998"/>
  <c r="B998"/>
  <c r="C998"/>
  <c r="A998"/>
  <c r="R997"/>
  <c r="S997"/>
  <c r="Q997"/>
  <c r="O997"/>
  <c r="M997"/>
  <c r="K997"/>
  <c r="I997"/>
  <c r="G997"/>
  <c r="E997"/>
  <c r="B997"/>
  <c r="C997"/>
  <c r="A997"/>
  <c r="R996"/>
  <c r="S996"/>
  <c r="Q996"/>
  <c r="O996"/>
  <c r="M996"/>
  <c r="K996"/>
  <c r="I996"/>
  <c r="G996"/>
  <c r="E996"/>
  <c r="B996"/>
  <c r="C996"/>
  <c r="A996"/>
  <c r="R995"/>
  <c r="S995"/>
  <c r="Q995"/>
  <c r="O995"/>
  <c r="M995"/>
  <c r="K995"/>
  <c r="I995"/>
  <c r="G995"/>
  <c r="E995"/>
  <c r="B995"/>
  <c r="C995"/>
  <c r="A995"/>
  <c r="R994"/>
  <c r="S994"/>
  <c r="Q994"/>
  <c r="O994"/>
  <c r="M994"/>
  <c r="K994"/>
  <c r="I994"/>
  <c r="G994"/>
  <c r="E994"/>
  <c r="B994"/>
  <c r="C994"/>
  <c r="A994"/>
  <c r="R993"/>
  <c r="S993"/>
  <c r="Q993"/>
  <c r="O993"/>
  <c r="M993"/>
  <c r="K993"/>
  <c r="I993"/>
  <c r="G993"/>
  <c r="E993"/>
  <c r="B993"/>
  <c r="C993"/>
  <c r="A993"/>
  <c r="R992"/>
  <c r="S992"/>
  <c r="Q992"/>
  <c r="O992"/>
  <c r="M992"/>
  <c r="K992"/>
  <c r="I992"/>
  <c r="G992"/>
  <c r="E992"/>
  <c r="B992"/>
  <c r="C992"/>
  <c r="A992"/>
  <c r="R991"/>
  <c r="S991"/>
  <c r="Q991"/>
  <c r="O991"/>
  <c r="M991"/>
  <c r="K991"/>
  <c r="I991"/>
  <c r="G991"/>
  <c r="E991"/>
  <c r="B991"/>
  <c r="C991"/>
  <c r="A991"/>
  <c r="R990"/>
  <c r="S990"/>
  <c r="Q990"/>
  <c r="O990"/>
  <c r="M990"/>
  <c r="K990"/>
  <c r="I990"/>
  <c r="G990"/>
  <c r="E990"/>
  <c r="B990"/>
  <c r="C990"/>
  <c r="A990"/>
  <c r="R989"/>
  <c r="S989"/>
  <c r="Q989"/>
  <c r="O989"/>
  <c r="M989"/>
  <c r="K989"/>
  <c r="I989"/>
  <c r="G989"/>
  <c r="E989"/>
  <c r="B989"/>
  <c r="C989"/>
  <c r="A989"/>
  <c r="R988"/>
  <c r="S988"/>
  <c r="Q988"/>
  <c r="O988"/>
  <c r="M988"/>
  <c r="K988"/>
  <c r="I988"/>
  <c r="G988"/>
  <c r="E988"/>
  <c r="B988"/>
  <c r="C988"/>
  <c r="A988"/>
  <c r="R987"/>
  <c r="S987"/>
  <c r="Q987"/>
  <c r="O987"/>
  <c r="M987"/>
  <c r="K987"/>
  <c r="I987"/>
  <c r="G987"/>
  <c r="E987"/>
  <c r="B987"/>
  <c r="C987"/>
  <c r="A987"/>
  <c r="R986"/>
  <c r="S986"/>
  <c r="Q986"/>
  <c r="O986"/>
  <c r="M986"/>
  <c r="K986"/>
  <c r="I986"/>
  <c r="G986"/>
  <c r="E986"/>
  <c r="B986"/>
  <c r="C986"/>
  <c r="A986"/>
  <c r="R985"/>
  <c r="S985"/>
  <c r="Q985"/>
  <c r="O985"/>
  <c r="M985"/>
  <c r="K985"/>
  <c r="I985"/>
  <c r="G985"/>
  <c r="E985"/>
  <c r="B985"/>
  <c r="C985"/>
  <c r="A985"/>
  <c r="R984"/>
  <c r="S984"/>
  <c r="Q984"/>
  <c r="O984"/>
  <c r="M984"/>
  <c r="K984"/>
  <c r="I984"/>
  <c r="G984"/>
  <c r="E984"/>
  <c r="B984"/>
  <c r="C984"/>
  <c r="A984"/>
  <c r="R983"/>
  <c r="S983"/>
  <c r="Q983"/>
  <c r="O983"/>
  <c r="M983"/>
  <c r="K983"/>
  <c r="I983"/>
  <c r="G983"/>
  <c r="E983"/>
  <c r="B983"/>
  <c r="C983"/>
  <c r="A983"/>
  <c r="R982"/>
  <c r="S982"/>
  <c r="Q982"/>
  <c r="O982"/>
  <c r="M982"/>
  <c r="K982"/>
  <c r="I982"/>
  <c r="G982"/>
  <c r="E982"/>
  <c r="B982"/>
  <c r="C982"/>
  <c r="A982"/>
  <c r="R981"/>
  <c r="S981"/>
  <c r="Q981"/>
  <c r="O981"/>
  <c r="M981"/>
  <c r="K981"/>
  <c r="I981"/>
  <c r="G981"/>
  <c r="E981"/>
  <c r="B981"/>
  <c r="C981"/>
  <c r="A981"/>
  <c r="R980"/>
  <c r="S980"/>
  <c r="Q980"/>
  <c r="O980"/>
  <c r="M980"/>
  <c r="K980"/>
  <c r="I980"/>
  <c r="G980"/>
  <c r="E980"/>
  <c r="B980"/>
  <c r="C980"/>
  <c r="A980"/>
  <c r="R979"/>
  <c r="S979"/>
  <c r="Q979"/>
  <c r="O979"/>
  <c r="M979"/>
  <c r="K979"/>
  <c r="I979"/>
  <c r="G979"/>
  <c r="E979"/>
  <c r="B979"/>
  <c r="C979"/>
  <c r="A979"/>
  <c r="R978"/>
  <c r="S978"/>
  <c r="Q978"/>
  <c r="O978"/>
  <c r="M978"/>
  <c r="K978"/>
  <c r="I978"/>
  <c r="G978"/>
  <c r="E978"/>
  <c r="B978"/>
  <c r="C978"/>
  <c r="A978"/>
  <c r="R977"/>
  <c r="S977"/>
  <c r="Q977"/>
  <c r="O977"/>
  <c r="M977"/>
  <c r="K977"/>
  <c r="I977"/>
  <c r="G977"/>
  <c r="E977"/>
  <c r="B977"/>
  <c r="C977"/>
  <c r="A977"/>
  <c r="R976"/>
  <c r="S976"/>
  <c r="Q976"/>
  <c r="O976"/>
  <c r="M976"/>
  <c r="K976"/>
  <c r="I976"/>
  <c r="G976"/>
  <c r="E976"/>
  <c r="B976"/>
  <c r="C976"/>
  <c r="A976"/>
  <c r="R975"/>
  <c r="S975"/>
  <c r="Q975"/>
  <c r="O975"/>
  <c r="M975"/>
  <c r="K975"/>
  <c r="I975"/>
  <c r="G975"/>
  <c r="E975"/>
  <c r="B975"/>
  <c r="C975"/>
  <c r="A975"/>
  <c r="R974"/>
  <c r="S974"/>
  <c r="Q974"/>
  <c r="O974"/>
  <c r="M974"/>
  <c r="K974"/>
  <c r="I974"/>
  <c r="G974"/>
  <c r="E974"/>
  <c r="B974"/>
  <c r="C974"/>
  <c r="A974"/>
  <c r="R973"/>
  <c r="S973"/>
  <c r="Q973"/>
  <c r="O973"/>
  <c r="M973"/>
  <c r="K973"/>
  <c r="I973"/>
  <c r="G973"/>
  <c r="E973"/>
  <c r="B973"/>
  <c r="C973"/>
  <c r="A973"/>
  <c r="R972"/>
  <c r="S972"/>
  <c r="Q972"/>
  <c r="O972"/>
  <c r="M972"/>
  <c r="K972"/>
  <c r="I972"/>
  <c r="G972"/>
  <c r="E972"/>
  <c r="B972"/>
  <c r="C972"/>
  <c r="A972"/>
  <c r="R971"/>
  <c r="S971"/>
  <c r="Q971"/>
  <c r="O971"/>
  <c r="M971"/>
  <c r="K971"/>
  <c r="I971"/>
  <c r="G971"/>
  <c r="E971"/>
  <c r="B971"/>
  <c r="C971"/>
  <c r="A971"/>
  <c r="R970"/>
  <c r="S970"/>
  <c r="Q970"/>
  <c r="O970"/>
  <c r="M970"/>
  <c r="K970"/>
  <c r="I970"/>
  <c r="G970"/>
  <c r="E970"/>
  <c r="B970"/>
  <c r="C970"/>
  <c r="A970"/>
  <c r="R969"/>
  <c r="S969"/>
  <c r="Q969"/>
  <c r="O969"/>
  <c r="M969"/>
  <c r="K969"/>
  <c r="I969"/>
  <c r="G969"/>
  <c r="E969"/>
  <c r="B969"/>
  <c r="C969"/>
  <c r="A969"/>
  <c r="R968"/>
  <c r="S968"/>
  <c r="Q968"/>
  <c r="O968"/>
  <c r="M968"/>
  <c r="K968"/>
  <c r="I968"/>
  <c r="G968"/>
  <c r="E968"/>
  <c r="B968"/>
  <c r="C968"/>
  <c r="A968"/>
  <c r="R967"/>
  <c r="S967"/>
  <c r="Q967"/>
  <c r="O967"/>
  <c r="M967"/>
  <c r="K967"/>
  <c r="I967"/>
  <c r="G967"/>
  <c r="E967"/>
  <c r="B967"/>
  <c r="C967"/>
  <c r="A967"/>
  <c r="R966"/>
  <c r="S966"/>
  <c r="Q966"/>
  <c r="O966"/>
  <c r="M966"/>
  <c r="K966"/>
  <c r="I966"/>
  <c r="G966"/>
  <c r="E966"/>
  <c r="B966"/>
  <c r="C966"/>
  <c r="A966"/>
  <c r="R965"/>
  <c r="S965"/>
  <c r="Q965"/>
  <c r="O965"/>
  <c r="M965"/>
  <c r="K965"/>
  <c r="I965"/>
  <c r="G965"/>
  <c r="E965"/>
  <c r="B965"/>
  <c r="C965"/>
  <c r="A965"/>
  <c r="R964"/>
  <c r="S964"/>
  <c r="Q964"/>
  <c r="O964"/>
  <c r="M964"/>
  <c r="K964"/>
  <c r="I964"/>
  <c r="G964"/>
  <c r="E964"/>
  <c r="B964"/>
  <c r="C964"/>
  <c r="A964"/>
  <c r="R963"/>
  <c r="S963"/>
  <c r="Q963"/>
  <c r="O963"/>
  <c r="M963"/>
  <c r="K963"/>
  <c r="I963"/>
  <c r="G963"/>
  <c r="E963"/>
  <c r="B963"/>
  <c r="C963"/>
  <c r="A963"/>
  <c r="R962"/>
  <c r="S962"/>
  <c r="Q962"/>
  <c r="O962"/>
  <c r="M962"/>
  <c r="K962"/>
  <c r="I962"/>
  <c r="G962"/>
  <c r="E962"/>
  <c r="B962"/>
  <c r="C962"/>
  <c r="A962"/>
  <c r="R961"/>
  <c r="S961"/>
  <c r="Q961"/>
  <c r="O961"/>
  <c r="M961"/>
  <c r="K961"/>
  <c r="I961"/>
  <c r="G961"/>
  <c r="E961"/>
  <c r="B961"/>
  <c r="C961"/>
  <c r="A961"/>
  <c r="R960"/>
  <c r="S960"/>
  <c r="Q960"/>
  <c r="O960"/>
  <c r="M960"/>
  <c r="K960"/>
  <c r="I960"/>
  <c r="G960"/>
  <c r="E960"/>
  <c r="B960"/>
  <c r="C960"/>
  <c r="A960"/>
  <c r="R959"/>
  <c r="S959"/>
  <c r="Q959"/>
  <c r="O959"/>
  <c r="M959"/>
  <c r="K959"/>
  <c r="I959"/>
  <c r="G959"/>
  <c r="E959"/>
  <c r="B959"/>
  <c r="C959"/>
  <c r="A959"/>
  <c r="R958"/>
  <c r="S958"/>
  <c r="Q958"/>
  <c r="O958"/>
  <c r="M958"/>
  <c r="K958"/>
  <c r="I958"/>
  <c r="G958"/>
  <c r="E958"/>
  <c r="B958"/>
  <c r="C958"/>
  <c r="A958"/>
  <c r="R957"/>
  <c r="S957"/>
  <c r="Q957"/>
  <c r="O957"/>
  <c r="M957"/>
  <c r="K957"/>
  <c r="I957"/>
  <c r="G957"/>
  <c r="E957"/>
  <c r="B957"/>
  <c r="C957"/>
  <c r="A957"/>
  <c r="R956"/>
  <c r="S956"/>
  <c r="Q956"/>
  <c r="O956"/>
  <c r="M956"/>
  <c r="K956"/>
  <c r="I956"/>
  <c r="G956"/>
  <c r="E956"/>
  <c r="B956"/>
  <c r="C956"/>
  <c r="A956"/>
  <c r="R955"/>
  <c r="S955"/>
  <c r="Q955"/>
  <c r="O955"/>
  <c r="M955"/>
  <c r="K955"/>
  <c r="I955"/>
  <c r="G955"/>
  <c r="E955"/>
  <c r="B955"/>
  <c r="C955"/>
  <c r="A955"/>
  <c r="R954"/>
  <c r="S954"/>
  <c r="Q954"/>
  <c r="O954"/>
  <c r="M954"/>
  <c r="K954"/>
  <c r="I954"/>
  <c r="G954"/>
  <c r="E954"/>
  <c r="B954"/>
  <c r="C954"/>
  <c r="A954"/>
  <c r="R953"/>
  <c r="S953"/>
  <c r="Q953"/>
  <c r="O953"/>
  <c r="M953"/>
  <c r="K953"/>
  <c r="I953"/>
  <c r="G953"/>
  <c r="E953"/>
  <c r="B953"/>
  <c r="C953"/>
  <c r="A953"/>
  <c r="R952"/>
  <c r="S952"/>
  <c r="Q952"/>
  <c r="O952"/>
  <c r="M952"/>
  <c r="K952"/>
  <c r="I952"/>
  <c r="G952"/>
  <c r="E952"/>
  <c r="B952"/>
  <c r="C952"/>
  <c r="A952"/>
  <c r="R951"/>
  <c r="S951"/>
  <c r="Q951"/>
  <c r="O951"/>
  <c r="M951"/>
  <c r="K951"/>
  <c r="I951"/>
  <c r="G951"/>
  <c r="E951"/>
  <c r="B951"/>
  <c r="C951"/>
  <c r="A951"/>
  <c r="R950"/>
  <c r="S950"/>
  <c r="Q950"/>
  <c r="O950"/>
  <c r="M950"/>
  <c r="K950"/>
  <c r="I950"/>
  <c r="G950"/>
  <c r="E950"/>
  <c r="B950"/>
  <c r="C950"/>
  <c r="A950"/>
  <c r="R949"/>
  <c r="S949"/>
  <c r="Q949"/>
  <c r="O949"/>
  <c r="M949"/>
  <c r="K949"/>
  <c r="I949"/>
  <c r="G949"/>
  <c r="E949"/>
  <c r="B949"/>
  <c r="C949"/>
  <c r="A949"/>
  <c r="R948"/>
  <c r="S948"/>
  <c r="Q948"/>
  <c r="O948"/>
  <c r="M948"/>
  <c r="K948"/>
  <c r="I948"/>
  <c r="G948"/>
  <c r="E948"/>
  <c r="B948"/>
  <c r="C948"/>
  <c r="A948"/>
  <c r="R947"/>
  <c r="S947"/>
  <c r="Q947"/>
  <c r="O947"/>
  <c r="M947"/>
  <c r="K947"/>
  <c r="I947"/>
  <c r="G947"/>
  <c r="E947"/>
  <c r="B947"/>
  <c r="C947"/>
  <c r="A947"/>
  <c r="R946"/>
  <c r="S946"/>
  <c r="Q946"/>
  <c r="O946"/>
  <c r="M946"/>
  <c r="K946"/>
  <c r="I946"/>
  <c r="G946"/>
  <c r="E946"/>
  <c r="B946"/>
  <c r="C946"/>
  <c r="A946"/>
  <c r="R945"/>
  <c r="S945"/>
  <c r="Q945"/>
  <c r="O945"/>
  <c r="M945"/>
  <c r="K945"/>
  <c r="I945"/>
  <c r="G945"/>
  <c r="E945"/>
  <c r="B945"/>
  <c r="C945"/>
  <c r="A945"/>
  <c r="R944"/>
  <c r="S944"/>
  <c r="Q944"/>
  <c r="O944"/>
  <c r="M944"/>
  <c r="K944"/>
  <c r="I944"/>
  <c r="G944"/>
  <c r="E944"/>
  <c r="B944"/>
  <c r="C944"/>
  <c r="A944"/>
  <c r="R943"/>
  <c r="S943"/>
  <c r="Q943"/>
  <c r="O943"/>
  <c r="M943"/>
  <c r="K943"/>
  <c r="I943"/>
  <c r="G943"/>
  <c r="E943"/>
  <c r="B943"/>
  <c r="C943"/>
  <c r="A943"/>
  <c r="R942"/>
  <c r="S942"/>
  <c r="Q942"/>
  <c r="O942"/>
  <c r="M942"/>
  <c r="K942"/>
  <c r="I942"/>
  <c r="G942"/>
  <c r="E942"/>
  <c r="B942"/>
  <c r="C942"/>
  <c r="A942"/>
  <c r="R941"/>
  <c r="S941"/>
  <c r="Q941"/>
  <c r="O941"/>
  <c r="M941"/>
  <c r="K941"/>
  <c r="I941"/>
  <c r="G941"/>
  <c r="E941"/>
  <c r="B941"/>
  <c r="C941"/>
  <c r="A941"/>
  <c r="R940"/>
  <c r="S940"/>
  <c r="Q940"/>
  <c r="O940"/>
  <c r="M940"/>
  <c r="K940"/>
  <c r="I940"/>
  <c r="G940"/>
  <c r="E940"/>
  <c r="B940"/>
  <c r="C940"/>
  <c r="A940"/>
  <c r="R939"/>
  <c r="S939"/>
  <c r="Q939"/>
  <c r="O939"/>
  <c r="M939"/>
  <c r="K939"/>
  <c r="I939"/>
  <c r="G939"/>
  <c r="E939"/>
  <c r="B939"/>
  <c r="C939"/>
  <c r="A939"/>
  <c r="R938"/>
  <c r="S938"/>
  <c r="Q938"/>
  <c r="O938"/>
  <c r="M938"/>
  <c r="K938"/>
  <c r="I938"/>
  <c r="G938"/>
  <c r="E938"/>
  <c r="B938"/>
  <c r="C938"/>
  <c r="A938"/>
  <c r="R937"/>
  <c r="S937"/>
  <c r="Q937"/>
  <c r="O937"/>
  <c r="M937"/>
  <c r="K937"/>
  <c r="I937"/>
  <c r="G937"/>
  <c r="E937"/>
  <c r="B937"/>
  <c r="C937"/>
  <c r="A937"/>
  <c r="R936"/>
  <c r="S936"/>
  <c r="Q936"/>
  <c r="O936"/>
  <c r="M936"/>
  <c r="K936"/>
  <c r="I936"/>
  <c r="G936"/>
  <c r="E936"/>
  <c r="B936"/>
  <c r="C936"/>
  <c r="A936"/>
  <c r="R935"/>
  <c r="S935"/>
  <c r="Q935"/>
  <c r="O935"/>
  <c r="M935"/>
  <c r="K935"/>
  <c r="I935"/>
  <c r="G935"/>
  <c r="E935"/>
  <c r="B935"/>
  <c r="C935"/>
  <c r="A935"/>
  <c r="R934"/>
  <c r="S934"/>
  <c r="Q934"/>
  <c r="O934"/>
  <c r="M934"/>
  <c r="K934"/>
  <c r="I934"/>
  <c r="G934"/>
  <c r="E934"/>
  <c r="B934"/>
  <c r="C934"/>
  <c r="A934"/>
  <c r="R933"/>
  <c r="S933"/>
  <c r="Q933"/>
  <c r="O933"/>
  <c r="M933"/>
  <c r="K933"/>
  <c r="I933"/>
  <c r="G933"/>
  <c r="E933"/>
  <c r="B933"/>
  <c r="C933"/>
  <c r="A933"/>
  <c r="R932"/>
  <c r="S932"/>
  <c r="Q932"/>
  <c r="O932"/>
  <c r="M932"/>
  <c r="K932"/>
  <c r="I932"/>
  <c r="G932"/>
  <c r="E932"/>
  <c r="B932"/>
  <c r="C932"/>
  <c r="A932"/>
  <c r="R931"/>
  <c r="S931"/>
  <c r="Q931"/>
  <c r="O931"/>
  <c r="M931"/>
  <c r="K931"/>
  <c r="I931"/>
  <c r="G931"/>
  <c r="E931"/>
  <c r="B931"/>
  <c r="C931"/>
  <c r="A931"/>
  <c r="R930"/>
  <c r="S930"/>
  <c r="Q930"/>
  <c r="O930"/>
  <c r="M930"/>
  <c r="K930"/>
  <c r="I930"/>
  <c r="G930"/>
  <c r="E930"/>
  <c r="B930"/>
  <c r="C930"/>
  <c r="A930"/>
  <c r="R929"/>
  <c r="S929"/>
  <c r="Q929"/>
  <c r="O929"/>
  <c r="M929"/>
  <c r="K929"/>
  <c r="I929"/>
  <c r="G929"/>
  <c r="E929"/>
  <c r="B929"/>
  <c r="C929"/>
  <c r="A929"/>
  <c r="R928"/>
  <c r="S928"/>
  <c r="Q928"/>
  <c r="O928"/>
  <c r="M928"/>
  <c r="K928"/>
  <c r="I928"/>
  <c r="G928"/>
  <c r="E928"/>
  <c r="B928"/>
  <c r="C928"/>
  <c r="A928"/>
  <c r="R927"/>
  <c r="S927"/>
  <c r="Q927"/>
  <c r="O927"/>
  <c r="M927"/>
  <c r="K927"/>
  <c r="I927"/>
  <c r="G927"/>
  <c r="E927"/>
  <c r="B927"/>
  <c r="C927"/>
  <c r="A927"/>
  <c r="R926"/>
  <c r="S926"/>
  <c r="Q926"/>
  <c r="O926"/>
  <c r="M926"/>
  <c r="K926"/>
  <c r="I926"/>
  <c r="G926"/>
  <c r="E926"/>
  <c r="B926"/>
  <c r="C926"/>
  <c r="A926"/>
  <c r="R925"/>
  <c r="S925"/>
  <c r="Q925"/>
  <c r="O925"/>
  <c r="M925"/>
  <c r="K925"/>
  <c r="I925"/>
  <c r="G925"/>
  <c r="E925"/>
  <c r="B925"/>
  <c r="C925"/>
  <c r="A925"/>
  <c r="R924"/>
  <c r="S924"/>
  <c r="Q924"/>
  <c r="O924"/>
  <c r="M924"/>
  <c r="K924"/>
  <c r="I924"/>
  <c r="G924"/>
  <c r="E924"/>
  <c r="B924"/>
  <c r="C924"/>
  <c r="A924"/>
  <c r="R923"/>
  <c r="S923"/>
  <c r="Q923"/>
  <c r="O923"/>
  <c r="M923"/>
  <c r="K923"/>
  <c r="I923"/>
  <c r="G923"/>
  <c r="E923"/>
  <c r="B923"/>
  <c r="C923"/>
  <c r="A923"/>
  <c r="R922"/>
  <c r="S922"/>
  <c r="Q922"/>
  <c r="O922"/>
  <c r="M922"/>
  <c r="K922"/>
  <c r="I922"/>
  <c r="G922"/>
  <c r="E922"/>
  <c r="B922"/>
  <c r="C922"/>
  <c r="A922"/>
  <c r="R921"/>
  <c r="S921"/>
  <c r="Q921"/>
  <c r="O921"/>
  <c r="M921"/>
  <c r="K921"/>
  <c r="I921"/>
  <c r="G921"/>
  <c r="E921"/>
  <c r="B921"/>
  <c r="C921"/>
  <c r="A921"/>
  <c r="R920"/>
  <c r="S920"/>
  <c r="Q920"/>
  <c r="O920"/>
  <c r="M920"/>
  <c r="K920"/>
  <c r="I920"/>
  <c r="G920"/>
  <c r="E920"/>
  <c r="B920"/>
  <c r="C920"/>
  <c r="A920"/>
  <c r="R919"/>
  <c r="S919"/>
  <c r="Q919"/>
  <c r="O919"/>
  <c r="M919"/>
  <c r="K919"/>
  <c r="I919"/>
  <c r="G919"/>
  <c r="E919"/>
  <c r="B919"/>
  <c r="C919"/>
  <c r="A919"/>
  <c r="R918"/>
  <c r="S918"/>
  <c r="Q918"/>
  <c r="O918"/>
  <c r="M918"/>
  <c r="K918"/>
  <c r="I918"/>
  <c r="G918"/>
  <c r="E918"/>
  <c r="B918"/>
  <c r="C918"/>
  <c r="A918"/>
  <c r="R917"/>
  <c r="S917"/>
  <c r="Q917"/>
  <c r="O917"/>
  <c r="M917"/>
  <c r="K917"/>
  <c r="I917"/>
  <c r="G917"/>
  <c r="E917"/>
  <c r="B917"/>
  <c r="C917"/>
  <c r="A917"/>
  <c r="R916"/>
  <c r="S916"/>
  <c r="Q916"/>
  <c r="O916"/>
  <c r="M916"/>
  <c r="K916"/>
  <c r="I916"/>
  <c r="G916"/>
  <c r="E916"/>
  <c r="B916"/>
  <c r="C916"/>
  <c r="A916"/>
  <c r="R915"/>
  <c r="S915"/>
  <c r="Q915"/>
  <c r="O915"/>
  <c r="M915"/>
  <c r="K915"/>
  <c r="I915"/>
  <c r="G915"/>
  <c r="E915"/>
  <c r="B915"/>
  <c r="C915"/>
  <c r="A915"/>
  <c r="R914"/>
  <c r="S914"/>
  <c r="Q914"/>
  <c r="O914"/>
  <c r="M914"/>
  <c r="K914"/>
  <c r="I914"/>
  <c r="G914"/>
  <c r="E914"/>
  <c r="B914"/>
  <c r="C914"/>
  <c r="A914"/>
  <c r="R913"/>
  <c r="S913"/>
  <c r="Q913"/>
  <c r="O913"/>
  <c r="M913"/>
  <c r="K913"/>
  <c r="I913"/>
  <c r="G913"/>
  <c r="E913"/>
  <c r="B913"/>
  <c r="C913"/>
  <c r="A913"/>
  <c r="R912"/>
  <c r="S912"/>
  <c r="Q912"/>
  <c r="O912"/>
  <c r="M912"/>
  <c r="K912"/>
  <c r="I912"/>
  <c r="G912"/>
  <c r="E912"/>
  <c r="B912"/>
  <c r="C912"/>
  <c r="A912"/>
  <c r="R911"/>
  <c r="S911"/>
  <c r="Q911"/>
  <c r="O911"/>
  <c r="M911"/>
  <c r="K911"/>
  <c r="I911"/>
  <c r="G911"/>
  <c r="E911"/>
  <c r="B911"/>
  <c r="C911"/>
  <c r="A911"/>
  <c r="R910"/>
  <c r="S910"/>
  <c r="Q910"/>
  <c r="O910"/>
  <c r="M910"/>
  <c r="K910"/>
  <c r="I910"/>
  <c r="G910"/>
  <c r="E910"/>
  <c r="B910"/>
  <c r="C910"/>
  <c r="A910"/>
  <c r="R909"/>
  <c r="S909"/>
  <c r="Q909"/>
  <c r="O909"/>
  <c r="M909"/>
  <c r="K909"/>
  <c r="I909"/>
  <c r="G909"/>
  <c r="E909"/>
  <c r="B909"/>
  <c r="C909"/>
  <c r="A909"/>
  <c r="R908"/>
  <c r="S908"/>
  <c r="Q908"/>
  <c r="O908"/>
  <c r="M908"/>
  <c r="K908"/>
  <c r="I908"/>
  <c r="G908"/>
  <c r="E908"/>
  <c r="B908"/>
  <c r="C908"/>
  <c r="A908"/>
  <c r="R907"/>
  <c r="S907"/>
  <c r="Q907"/>
  <c r="O907"/>
  <c r="M907"/>
  <c r="K907"/>
  <c r="I907"/>
  <c r="G907"/>
  <c r="E907"/>
  <c r="B907"/>
  <c r="C907"/>
  <c r="A907"/>
  <c r="R906"/>
  <c r="S906"/>
  <c r="Q906"/>
  <c r="O906"/>
  <c r="M906"/>
  <c r="K906"/>
  <c r="I906"/>
  <c r="G906"/>
  <c r="E906"/>
  <c r="B906"/>
  <c r="C906"/>
  <c r="A906"/>
  <c r="R905"/>
  <c r="S905"/>
  <c r="Q905"/>
  <c r="O905"/>
  <c r="M905"/>
  <c r="K905"/>
  <c r="I905"/>
  <c r="G905"/>
  <c r="E905"/>
  <c r="B905"/>
  <c r="C905"/>
  <c r="A905"/>
  <c r="R904"/>
  <c r="S904"/>
  <c r="Q904"/>
  <c r="O904"/>
  <c r="M904"/>
  <c r="K904"/>
  <c r="I904"/>
  <c r="G904"/>
  <c r="E904"/>
  <c r="B904"/>
  <c r="C904"/>
  <c r="A904"/>
  <c r="R903"/>
  <c r="S903"/>
  <c r="Q903"/>
  <c r="O903"/>
  <c r="M903"/>
  <c r="K903"/>
  <c r="I903"/>
  <c r="G903"/>
  <c r="E903"/>
  <c r="B903"/>
  <c r="C903"/>
  <c r="A903"/>
  <c r="R902"/>
  <c r="S902"/>
  <c r="Q902"/>
  <c r="O902"/>
  <c r="M902"/>
  <c r="K902"/>
  <c r="I902"/>
  <c r="G902"/>
  <c r="E902"/>
  <c r="B902"/>
  <c r="C902"/>
  <c r="A902"/>
  <c r="R901"/>
  <c r="S901"/>
  <c r="Q901"/>
  <c r="O901"/>
  <c r="M901"/>
  <c r="K901"/>
  <c r="I901"/>
  <c r="G901"/>
  <c r="E901"/>
  <c r="B901"/>
  <c r="C901"/>
  <c r="A901"/>
  <c r="R900"/>
  <c r="S900"/>
  <c r="Q900"/>
  <c r="O900"/>
  <c r="M900"/>
  <c r="K900"/>
  <c r="I900"/>
  <c r="G900"/>
  <c r="E900"/>
  <c r="B900"/>
  <c r="C900"/>
  <c r="A900"/>
  <c r="R899"/>
  <c r="S899"/>
  <c r="Q899"/>
  <c r="O899"/>
  <c r="M899"/>
  <c r="K899"/>
  <c r="I899"/>
  <c r="G899"/>
  <c r="E899"/>
  <c r="B899"/>
  <c r="C899"/>
  <c r="A899"/>
  <c r="R898"/>
  <c r="S898"/>
  <c r="Q898"/>
  <c r="O898"/>
  <c r="M898"/>
  <c r="K898"/>
  <c r="I898"/>
  <c r="G898"/>
  <c r="E898"/>
  <c r="B898"/>
  <c r="C898"/>
  <c r="A898"/>
  <c r="R897"/>
  <c r="S897"/>
  <c r="Q897"/>
  <c r="O897"/>
  <c r="M897"/>
  <c r="K897"/>
  <c r="I897"/>
  <c r="G897"/>
  <c r="E897"/>
  <c r="B897"/>
  <c r="C897"/>
  <c r="A897"/>
  <c r="R896"/>
  <c r="S896"/>
  <c r="Q896"/>
  <c r="O896"/>
  <c r="M896"/>
  <c r="K896"/>
  <c r="I896"/>
  <c r="G896"/>
  <c r="E896"/>
  <c r="B896"/>
  <c r="C896"/>
  <c r="A896"/>
  <c r="R895"/>
  <c r="S895"/>
  <c r="Q895"/>
  <c r="O895"/>
  <c r="M895"/>
  <c r="K895"/>
  <c r="I895"/>
  <c r="G895"/>
  <c r="E895"/>
  <c r="B895"/>
  <c r="C895"/>
  <c r="A895"/>
  <c r="R894"/>
  <c r="S894"/>
  <c r="Q894"/>
  <c r="O894"/>
  <c r="M894"/>
  <c r="K894"/>
  <c r="I894"/>
  <c r="G894"/>
  <c r="E894"/>
  <c r="B894"/>
  <c r="C894"/>
  <c r="A894"/>
  <c r="R893"/>
  <c r="S893"/>
  <c r="Q893"/>
  <c r="O893"/>
  <c r="M893"/>
  <c r="K893"/>
  <c r="I893"/>
  <c r="G893"/>
  <c r="E893"/>
  <c r="B893"/>
  <c r="C893"/>
  <c r="A893"/>
  <c r="R892"/>
  <c r="S892"/>
  <c r="Q892"/>
  <c r="O892"/>
  <c r="M892"/>
  <c r="K892"/>
  <c r="I892"/>
  <c r="G892"/>
  <c r="E892"/>
  <c r="B892"/>
  <c r="C892"/>
  <c r="A892"/>
  <c r="R891"/>
  <c r="S891"/>
  <c r="Q891"/>
  <c r="O891"/>
  <c r="M891"/>
  <c r="K891"/>
  <c r="I891"/>
  <c r="G891"/>
  <c r="E891"/>
  <c r="B891"/>
  <c r="C891"/>
  <c r="A891"/>
  <c r="R890"/>
  <c r="S890"/>
  <c r="Q890"/>
  <c r="O890"/>
  <c r="M890"/>
  <c r="K890"/>
  <c r="I890"/>
  <c r="G890"/>
  <c r="E890"/>
  <c r="B890"/>
  <c r="C890"/>
  <c r="A890"/>
  <c r="R889"/>
  <c r="S889"/>
  <c r="Q889"/>
  <c r="O889"/>
  <c r="M889"/>
  <c r="K889"/>
  <c r="I889"/>
  <c r="G889"/>
  <c r="E889"/>
  <c r="B889"/>
  <c r="C889"/>
  <c r="A889"/>
  <c r="R888"/>
  <c r="S888"/>
  <c r="Q888"/>
  <c r="O888"/>
  <c r="M888"/>
  <c r="K888"/>
  <c r="I888"/>
  <c r="G888"/>
  <c r="E888"/>
  <c r="B888"/>
  <c r="C888"/>
  <c r="A888"/>
  <c r="R887"/>
  <c r="S887"/>
  <c r="Q887"/>
  <c r="O887"/>
  <c r="M887"/>
  <c r="K887"/>
  <c r="I887"/>
  <c r="G887"/>
  <c r="E887"/>
  <c r="B887"/>
  <c r="C887"/>
  <c r="A887"/>
  <c r="R886"/>
  <c r="S886"/>
  <c r="Q886"/>
  <c r="O886"/>
  <c r="M886"/>
  <c r="K886"/>
  <c r="I886"/>
  <c r="G886"/>
  <c r="E886"/>
  <c r="B886"/>
  <c r="C886"/>
  <c r="A886"/>
  <c r="R885"/>
  <c r="S885"/>
  <c r="Q885"/>
  <c r="O885"/>
  <c r="M885"/>
  <c r="K885"/>
  <c r="I885"/>
  <c r="G885"/>
  <c r="E885"/>
  <c r="B885"/>
  <c r="C885"/>
  <c r="A885"/>
  <c r="R884"/>
  <c r="S884"/>
  <c r="Q884"/>
  <c r="O884"/>
  <c r="M884"/>
  <c r="K884"/>
  <c r="I884"/>
  <c r="G884"/>
  <c r="E884"/>
  <c r="B884"/>
  <c r="C884"/>
  <c r="A884"/>
  <c r="R883"/>
  <c r="S883"/>
  <c r="Q883"/>
  <c r="O883"/>
  <c r="M883"/>
  <c r="K883"/>
  <c r="I883"/>
  <c r="G883"/>
  <c r="E883"/>
  <c r="B883"/>
  <c r="C883"/>
  <c r="A883"/>
  <c r="R882"/>
  <c r="S882"/>
  <c r="Q882"/>
  <c r="O882"/>
  <c r="M882"/>
  <c r="K882"/>
  <c r="I882"/>
  <c r="G882"/>
  <c r="E882"/>
  <c r="B882"/>
  <c r="C882"/>
  <c r="A882"/>
  <c r="R881"/>
  <c r="S881"/>
  <c r="Q881"/>
  <c r="O881"/>
  <c r="M881"/>
  <c r="K881"/>
  <c r="I881"/>
  <c r="G881"/>
  <c r="E881"/>
  <c r="B881"/>
  <c r="C881"/>
  <c r="A881"/>
  <c r="R880"/>
  <c r="S880"/>
  <c r="Q880"/>
  <c r="O880"/>
  <c r="M880"/>
  <c r="K880"/>
  <c r="I880"/>
  <c r="G880"/>
  <c r="E880"/>
  <c r="B880"/>
  <c r="C880"/>
  <c r="A880"/>
  <c r="R879"/>
  <c r="S879"/>
  <c r="Q879"/>
  <c r="O879"/>
  <c r="M879"/>
  <c r="K879"/>
  <c r="I879"/>
  <c r="G879"/>
  <c r="E879"/>
  <c r="B879"/>
  <c r="C879"/>
  <c r="A879"/>
  <c r="R878"/>
  <c r="S878"/>
  <c r="Q878"/>
  <c r="O878"/>
  <c r="M878"/>
  <c r="K878"/>
  <c r="I878"/>
  <c r="G878"/>
  <c r="E878"/>
  <c r="B878"/>
  <c r="C878"/>
  <c r="A878"/>
  <c r="R877"/>
  <c r="S877"/>
  <c r="Q877"/>
  <c r="O877"/>
  <c r="M877"/>
  <c r="K877"/>
  <c r="I877"/>
  <c r="G877"/>
  <c r="E877"/>
  <c r="B877"/>
  <c r="C877"/>
  <c r="A877"/>
  <c r="R876"/>
  <c r="S876"/>
  <c r="Q876"/>
  <c r="O876"/>
  <c r="M876"/>
  <c r="K876"/>
  <c r="I876"/>
  <c r="G876"/>
  <c r="E876"/>
  <c r="B876"/>
  <c r="C876"/>
  <c r="A876"/>
  <c r="R875"/>
  <c r="S875"/>
  <c r="Q875"/>
  <c r="O875"/>
  <c r="M875"/>
  <c r="K875"/>
  <c r="I875"/>
  <c r="G875"/>
  <c r="E875"/>
  <c r="B875"/>
  <c r="C875"/>
  <c r="A875"/>
  <c r="R874"/>
  <c r="S874"/>
  <c r="Q874"/>
  <c r="O874"/>
  <c r="M874"/>
  <c r="K874"/>
  <c r="I874"/>
  <c r="G874"/>
  <c r="E874"/>
  <c r="B874"/>
  <c r="C874"/>
  <c r="A874"/>
  <c r="R873"/>
  <c r="S873"/>
  <c r="Q873"/>
  <c r="O873"/>
  <c r="M873"/>
  <c r="K873"/>
  <c r="I873"/>
  <c r="G873"/>
  <c r="E873"/>
  <c r="B873"/>
  <c r="C873"/>
  <c r="A873"/>
  <c r="R872"/>
  <c r="S872"/>
  <c r="Q872"/>
  <c r="O872"/>
  <c r="M872"/>
  <c r="K872"/>
  <c r="I872"/>
  <c r="G872"/>
  <c r="E872"/>
  <c r="B872"/>
  <c r="C872"/>
  <c r="A872"/>
  <c r="R871"/>
  <c r="S871"/>
  <c r="Q871"/>
  <c r="O871"/>
  <c r="M871"/>
  <c r="K871"/>
  <c r="I871"/>
  <c r="G871"/>
  <c r="E871"/>
  <c r="B871"/>
  <c r="C871"/>
  <c r="A871"/>
  <c r="R870"/>
  <c r="S870"/>
  <c r="Q870"/>
  <c r="O870"/>
  <c r="M870"/>
  <c r="K870"/>
  <c r="I870"/>
  <c r="G870"/>
  <c r="E870"/>
  <c r="B870"/>
  <c r="C870"/>
  <c r="A870"/>
  <c r="R869"/>
  <c r="S869"/>
  <c r="Q869"/>
  <c r="O869"/>
  <c r="M869"/>
  <c r="K869"/>
  <c r="I869"/>
  <c r="G869"/>
  <c r="E869"/>
  <c r="B869"/>
  <c r="C869"/>
  <c r="A869"/>
  <c r="R868"/>
  <c r="S868"/>
  <c r="Q868"/>
  <c r="O868"/>
  <c r="M868"/>
  <c r="K868"/>
  <c r="I868"/>
  <c r="G868"/>
  <c r="E868"/>
  <c r="B868"/>
  <c r="C868"/>
  <c r="A868"/>
  <c r="R867"/>
  <c r="S867"/>
  <c r="Q867"/>
  <c r="O867"/>
  <c r="M867"/>
  <c r="K867"/>
  <c r="I867"/>
  <c r="G867"/>
  <c r="E867"/>
  <c r="B867"/>
  <c r="C867"/>
  <c r="A867"/>
  <c r="R866"/>
  <c r="S866"/>
  <c r="Q866"/>
  <c r="O866"/>
  <c r="M866"/>
  <c r="K866"/>
  <c r="I866"/>
  <c r="G866"/>
  <c r="E866"/>
  <c r="B866"/>
  <c r="C866"/>
  <c r="A866"/>
  <c r="R865"/>
  <c r="S865"/>
  <c r="Q865"/>
  <c r="O865"/>
  <c r="M865"/>
  <c r="K865"/>
  <c r="I865"/>
  <c r="G865"/>
  <c r="E865"/>
  <c r="B865"/>
  <c r="C865"/>
  <c r="A865"/>
  <c r="R864"/>
  <c r="S864"/>
  <c r="Q864"/>
  <c r="O864"/>
  <c r="M864"/>
  <c r="K864"/>
  <c r="I864"/>
  <c r="G864"/>
  <c r="E864"/>
  <c r="B864"/>
  <c r="C864"/>
  <c r="A864"/>
  <c r="R863"/>
  <c r="S863"/>
  <c r="Q863"/>
  <c r="O863"/>
  <c r="M863"/>
  <c r="K863"/>
  <c r="I863"/>
  <c r="G863"/>
  <c r="E863"/>
  <c r="B863"/>
  <c r="C863"/>
  <c r="A863"/>
  <c r="R862"/>
  <c r="S862"/>
  <c r="Q862"/>
  <c r="O862"/>
  <c r="M862"/>
  <c r="K862"/>
  <c r="I862"/>
  <c r="G862"/>
  <c r="E862"/>
  <c r="B862"/>
  <c r="C862"/>
  <c r="A862"/>
  <c r="R861"/>
  <c r="S861"/>
  <c r="Q861"/>
  <c r="O861"/>
  <c r="M861"/>
  <c r="K861"/>
  <c r="I861"/>
  <c r="G861"/>
  <c r="E861"/>
  <c r="B861"/>
  <c r="C861"/>
  <c r="A861"/>
  <c r="R860"/>
  <c r="S860"/>
  <c r="Q860"/>
  <c r="O860"/>
  <c r="M860"/>
  <c r="K860"/>
  <c r="I860"/>
  <c r="G860"/>
  <c r="E860"/>
  <c r="B860"/>
  <c r="C860"/>
  <c r="A860"/>
  <c r="R859"/>
  <c r="S859"/>
  <c r="Q859"/>
  <c r="O859"/>
  <c r="M859"/>
  <c r="K859"/>
  <c r="I859"/>
  <c r="G859"/>
  <c r="E859"/>
  <c r="B859"/>
  <c r="C859"/>
  <c r="A859"/>
  <c r="R858"/>
  <c r="S858"/>
  <c r="Q858"/>
  <c r="O858"/>
  <c r="M858"/>
  <c r="K858"/>
  <c r="I858"/>
  <c r="G858"/>
  <c r="E858"/>
  <c r="B858"/>
  <c r="C858"/>
  <c r="A858"/>
  <c r="R857"/>
  <c r="S857"/>
  <c r="Q857"/>
  <c r="O857"/>
  <c r="M857"/>
  <c r="K857"/>
  <c r="I857"/>
  <c r="G857"/>
  <c r="E857"/>
  <c r="B857"/>
  <c r="C857"/>
  <c r="A857"/>
  <c r="R856"/>
  <c r="S856"/>
  <c r="Q856"/>
  <c r="O856"/>
  <c r="M856"/>
  <c r="K856"/>
  <c r="I856"/>
  <c r="G856"/>
  <c r="E856"/>
  <c r="B856"/>
  <c r="C856"/>
  <c r="A856"/>
  <c r="R855"/>
  <c r="S855"/>
  <c r="Q855"/>
  <c r="O855"/>
  <c r="M855"/>
  <c r="K855"/>
  <c r="I855"/>
  <c r="G855"/>
  <c r="E855"/>
  <c r="B855"/>
  <c r="C855"/>
  <c r="A855"/>
  <c r="R854"/>
  <c r="S854"/>
  <c r="Q854"/>
  <c r="O854"/>
  <c r="M854"/>
  <c r="K854"/>
  <c r="I854"/>
  <c r="G854"/>
  <c r="E854"/>
  <c r="B854"/>
  <c r="C854"/>
  <c r="A854"/>
  <c r="R853"/>
  <c r="S853"/>
  <c r="Q853"/>
  <c r="O853"/>
  <c r="M853"/>
  <c r="K853"/>
  <c r="I853"/>
  <c r="G853"/>
  <c r="E853"/>
  <c r="B853"/>
  <c r="C853"/>
  <c r="A853"/>
  <c r="R852"/>
  <c r="S852"/>
  <c r="Q852"/>
  <c r="O852"/>
  <c r="M852"/>
  <c r="K852"/>
  <c r="I852"/>
  <c r="G852"/>
  <c r="E852"/>
  <c r="B852"/>
  <c r="C852"/>
  <c r="A852"/>
  <c r="R851"/>
  <c r="S851"/>
  <c r="Q851"/>
  <c r="O851"/>
  <c r="M851"/>
  <c r="K851"/>
  <c r="I851"/>
  <c r="G851"/>
  <c r="E851"/>
  <c r="B851"/>
  <c r="C851"/>
  <c r="A851"/>
  <c r="R850"/>
  <c r="S850"/>
  <c r="Q850"/>
  <c r="O850"/>
  <c r="M850"/>
  <c r="K850"/>
  <c r="I850"/>
  <c r="G850"/>
  <c r="E850"/>
  <c r="B850"/>
  <c r="C850"/>
  <c r="A850"/>
  <c r="R849"/>
  <c r="S849"/>
  <c r="Q849"/>
  <c r="O849"/>
  <c r="M849"/>
  <c r="K849"/>
  <c r="I849"/>
  <c r="G849"/>
  <c r="E849"/>
  <c r="B849"/>
  <c r="C849"/>
  <c r="A849"/>
  <c r="R848"/>
  <c r="S848"/>
  <c r="Q848"/>
  <c r="O848"/>
  <c r="M848"/>
  <c r="K848"/>
  <c r="I848"/>
  <c r="G848"/>
  <c r="E848"/>
  <c r="B848"/>
  <c r="C848"/>
  <c r="A848"/>
  <c r="R847"/>
  <c r="S847"/>
  <c r="Q847"/>
  <c r="O847"/>
  <c r="M847"/>
  <c r="K847"/>
  <c r="I847"/>
  <c r="G847"/>
  <c r="E847"/>
  <c r="B847"/>
  <c r="C847"/>
  <c r="A847"/>
  <c r="R846"/>
  <c r="S846"/>
  <c r="Q846"/>
  <c r="O846"/>
  <c r="M846"/>
  <c r="K846"/>
  <c r="I846"/>
  <c r="G846"/>
  <c r="E846"/>
  <c r="B846"/>
  <c r="C846"/>
  <c r="A846"/>
  <c r="R845"/>
  <c r="S845"/>
  <c r="Q845"/>
  <c r="O845"/>
  <c r="M845"/>
  <c r="K845"/>
  <c r="I845"/>
  <c r="G845"/>
  <c r="E845"/>
  <c r="B845"/>
  <c r="C845"/>
  <c r="A845"/>
  <c r="R844"/>
  <c r="S844"/>
  <c r="Q844"/>
  <c r="O844"/>
  <c r="M844"/>
  <c r="K844"/>
  <c r="I844"/>
  <c r="G844"/>
  <c r="E844"/>
  <c r="B844"/>
  <c r="C844"/>
  <c r="A844"/>
  <c r="R843"/>
  <c r="S843"/>
  <c r="Q843"/>
  <c r="O843"/>
  <c r="M843"/>
  <c r="K843"/>
  <c r="I843"/>
  <c r="G843"/>
  <c r="E843"/>
  <c r="B843"/>
  <c r="C843"/>
  <c r="A843"/>
  <c r="R842"/>
  <c r="S842"/>
  <c r="Q842"/>
  <c r="O842"/>
  <c r="M842"/>
  <c r="K842"/>
  <c r="I842"/>
  <c r="G842"/>
  <c r="E842"/>
  <c r="B842"/>
  <c r="C842"/>
  <c r="A842"/>
  <c r="R841"/>
  <c r="S841"/>
  <c r="Q841"/>
  <c r="O841"/>
  <c r="M841"/>
  <c r="K841"/>
  <c r="I841"/>
  <c r="G841"/>
  <c r="E841"/>
  <c r="B841"/>
  <c r="C841"/>
  <c r="A841"/>
  <c r="R840"/>
  <c r="S840"/>
  <c r="Q840"/>
  <c r="O840"/>
  <c r="M840"/>
  <c r="K840"/>
  <c r="I840"/>
  <c r="G840"/>
  <c r="E840"/>
  <c r="B840"/>
  <c r="C840"/>
  <c r="A840"/>
  <c r="R839"/>
  <c r="S839"/>
  <c r="Q839"/>
  <c r="O839"/>
  <c r="M839"/>
  <c r="K839"/>
  <c r="I839"/>
  <c r="G839"/>
  <c r="E839"/>
  <c r="B839"/>
  <c r="C839"/>
  <c r="A839"/>
  <c r="R838"/>
  <c r="S838"/>
  <c r="Q838"/>
  <c r="O838"/>
  <c r="M838"/>
  <c r="K838"/>
  <c r="I838"/>
  <c r="G838"/>
  <c r="E838"/>
  <c r="B838"/>
  <c r="C838"/>
  <c r="A838"/>
  <c r="R837"/>
  <c r="S837"/>
  <c r="Q837"/>
  <c r="O837"/>
  <c r="M837"/>
  <c r="K837"/>
  <c r="I837"/>
  <c r="G837"/>
  <c r="E837"/>
  <c r="B837"/>
  <c r="C837"/>
  <c r="A837"/>
  <c r="R836"/>
  <c r="S836"/>
  <c r="Q836"/>
  <c r="O836"/>
  <c r="M836"/>
  <c r="K836"/>
  <c r="I836"/>
  <c r="G836"/>
  <c r="E836"/>
  <c r="B836"/>
  <c r="C836"/>
  <c r="A836"/>
  <c r="R835"/>
  <c r="S835"/>
  <c r="Q835"/>
  <c r="O835"/>
  <c r="M835"/>
  <c r="K835"/>
  <c r="I835"/>
  <c r="G835"/>
  <c r="E835"/>
  <c r="B835"/>
  <c r="C835"/>
  <c r="A835"/>
  <c r="R834"/>
  <c r="S834"/>
  <c r="Q834"/>
  <c r="O834"/>
  <c r="M834"/>
  <c r="K834"/>
  <c r="I834"/>
  <c r="G834"/>
  <c r="E834"/>
  <c r="B834"/>
  <c r="C834"/>
  <c r="A834"/>
  <c r="R833"/>
  <c r="S833"/>
  <c r="Q833"/>
  <c r="O833"/>
  <c r="M833"/>
  <c r="K833"/>
  <c r="I833"/>
  <c r="G833"/>
  <c r="E833"/>
  <c r="B833"/>
  <c r="C833"/>
  <c r="A833"/>
  <c r="R832"/>
  <c r="S832"/>
  <c r="Q832"/>
  <c r="O832"/>
  <c r="M832"/>
  <c r="K832"/>
  <c r="I832"/>
  <c r="G832"/>
  <c r="E832"/>
  <c r="B832"/>
  <c r="C832"/>
  <c r="A832"/>
  <c r="R831"/>
  <c r="S831"/>
  <c r="Q831"/>
  <c r="O831"/>
  <c r="M831"/>
  <c r="K831"/>
  <c r="I831"/>
  <c r="G831"/>
  <c r="E831"/>
  <c r="B831"/>
  <c r="C831"/>
  <c r="A831"/>
  <c r="R830"/>
  <c r="S830"/>
  <c r="Q830"/>
  <c r="O830"/>
  <c r="M830"/>
  <c r="K830"/>
  <c r="I830"/>
  <c r="G830"/>
  <c r="E830"/>
  <c r="B830"/>
  <c r="C830"/>
  <c r="A830"/>
  <c r="R829"/>
  <c r="S829"/>
  <c r="Q829"/>
  <c r="O829"/>
  <c r="M829"/>
  <c r="K829"/>
  <c r="I829"/>
  <c r="G829"/>
  <c r="E829"/>
  <c r="B829"/>
  <c r="C829"/>
  <c r="A829"/>
  <c r="R828"/>
  <c r="S828"/>
  <c r="Q828"/>
  <c r="O828"/>
  <c r="M828"/>
  <c r="K828"/>
  <c r="I828"/>
  <c r="G828"/>
  <c r="E828"/>
  <c r="B828"/>
  <c r="C828"/>
  <c r="A828"/>
  <c r="R827"/>
  <c r="S827"/>
  <c r="Q827"/>
  <c r="O827"/>
  <c r="M827"/>
  <c r="K827"/>
  <c r="I827"/>
  <c r="G827"/>
  <c r="E827"/>
  <c r="B827"/>
  <c r="C827"/>
  <c r="A827"/>
  <c r="R826"/>
  <c r="S826"/>
  <c r="Q826"/>
  <c r="O826"/>
  <c r="M826"/>
  <c r="K826"/>
  <c r="I826"/>
  <c r="G826"/>
  <c r="E826"/>
  <c r="B826"/>
  <c r="C826"/>
  <c r="A826"/>
  <c r="R825"/>
  <c r="S825"/>
  <c r="Q825"/>
  <c r="O825"/>
  <c r="M825"/>
  <c r="K825"/>
  <c r="I825"/>
  <c r="G825"/>
  <c r="E825"/>
  <c r="B825"/>
  <c r="C825"/>
  <c r="A825"/>
  <c r="R824"/>
  <c r="S824"/>
  <c r="Q824"/>
  <c r="O824"/>
  <c r="M824"/>
  <c r="K824"/>
  <c r="I824"/>
  <c r="G824"/>
  <c r="E824"/>
  <c r="B824"/>
  <c r="C824"/>
  <c r="A824"/>
  <c r="R823"/>
  <c r="S823"/>
  <c r="Q823"/>
  <c r="O823"/>
  <c r="M823"/>
  <c r="K823"/>
  <c r="I823"/>
  <c r="G823"/>
  <c r="E823"/>
  <c r="B823"/>
  <c r="C823"/>
  <c r="A823"/>
  <c r="R822"/>
  <c r="S822"/>
  <c r="Q822"/>
  <c r="O822"/>
  <c r="M822"/>
  <c r="K822"/>
  <c r="I822"/>
  <c r="G822"/>
  <c r="E822"/>
  <c r="B822"/>
  <c r="C822"/>
  <c r="A822"/>
  <c r="R821"/>
  <c r="S821"/>
  <c r="Q821"/>
  <c r="O821"/>
  <c r="M821"/>
  <c r="K821"/>
  <c r="I821"/>
  <c r="G821"/>
  <c r="E821"/>
  <c r="B821"/>
  <c r="C821"/>
  <c r="A821"/>
  <c r="R820"/>
  <c r="S820"/>
  <c r="Q820"/>
  <c r="O820"/>
  <c r="M820"/>
  <c r="K820"/>
  <c r="I820"/>
  <c r="G820"/>
  <c r="E820"/>
  <c r="B820"/>
  <c r="C820"/>
  <c r="A820"/>
  <c r="R819"/>
  <c r="S819"/>
  <c r="Q819"/>
  <c r="O819"/>
  <c r="M819"/>
  <c r="K819"/>
  <c r="I819"/>
  <c r="G819"/>
  <c r="E819"/>
  <c r="B819"/>
  <c r="C819"/>
  <c r="A819"/>
  <c r="R818"/>
  <c r="S818"/>
  <c r="Q818"/>
  <c r="O818"/>
  <c r="M818"/>
  <c r="K818"/>
  <c r="I818"/>
  <c r="G818"/>
  <c r="E818"/>
  <c r="B818"/>
  <c r="C818"/>
  <c r="A818"/>
  <c r="R817"/>
  <c r="S817"/>
  <c r="Q817"/>
  <c r="O817"/>
  <c r="M817"/>
  <c r="K817"/>
  <c r="I817"/>
  <c r="G817"/>
  <c r="E817"/>
  <c r="B817"/>
  <c r="C817"/>
  <c r="A817"/>
  <c r="R816"/>
  <c r="S816"/>
  <c r="Q816"/>
  <c r="O816"/>
  <c r="M816"/>
  <c r="K816"/>
  <c r="I816"/>
  <c r="G816"/>
  <c r="E816"/>
  <c r="B816"/>
  <c r="C816"/>
  <c r="A816"/>
  <c r="R815"/>
  <c r="S815"/>
  <c r="Q815"/>
  <c r="O815"/>
  <c r="M815"/>
  <c r="K815"/>
  <c r="I815"/>
  <c r="G815"/>
  <c r="E815"/>
  <c r="B815"/>
  <c r="C815"/>
  <c r="A815"/>
  <c r="R814"/>
  <c r="S814"/>
  <c r="Q814"/>
  <c r="O814"/>
  <c r="M814"/>
  <c r="K814"/>
  <c r="I814"/>
  <c r="G814"/>
  <c r="E814"/>
  <c r="B814"/>
  <c r="C814"/>
  <c r="A814"/>
  <c r="R813"/>
  <c r="S813"/>
  <c r="Q813"/>
  <c r="O813"/>
  <c r="M813"/>
  <c r="K813"/>
  <c r="I813"/>
  <c r="G813"/>
  <c r="E813"/>
  <c r="B813"/>
  <c r="C813"/>
  <c r="A813"/>
  <c r="R812"/>
  <c r="S812"/>
  <c r="Q812"/>
  <c r="O812"/>
  <c r="M812"/>
  <c r="K812"/>
  <c r="I812"/>
  <c r="G812"/>
  <c r="E812"/>
  <c r="B812"/>
  <c r="C812"/>
  <c r="A812"/>
  <c r="R811"/>
  <c r="S811"/>
  <c r="Q811"/>
  <c r="O811"/>
  <c r="M811"/>
  <c r="K811"/>
  <c r="I811"/>
  <c r="G811"/>
  <c r="E811"/>
  <c r="B811"/>
  <c r="C811"/>
  <c r="A811"/>
  <c r="R810"/>
  <c r="S810"/>
  <c r="Q810"/>
  <c r="O810"/>
  <c r="M810"/>
  <c r="K810"/>
  <c r="I810"/>
  <c r="G810"/>
  <c r="E810"/>
  <c r="B810"/>
  <c r="C810"/>
  <c r="A810"/>
  <c r="R809"/>
  <c r="S809"/>
  <c r="Q809"/>
  <c r="O809"/>
  <c r="M809"/>
  <c r="K809"/>
  <c r="I809"/>
  <c r="G809"/>
  <c r="E809"/>
  <c r="B809"/>
  <c r="C809"/>
  <c r="A809"/>
  <c r="R808"/>
  <c r="S808"/>
  <c r="Q808"/>
  <c r="O808"/>
  <c r="M808"/>
  <c r="K808"/>
  <c r="I808"/>
  <c r="G808"/>
  <c r="E808"/>
  <c r="B808"/>
  <c r="C808"/>
  <c r="A808"/>
  <c r="R807"/>
  <c r="S807"/>
  <c r="Q807"/>
  <c r="O807"/>
  <c r="M807"/>
  <c r="K807"/>
  <c r="I807"/>
  <c r="G807"/>
  <c r="E807"/>
  <c r="B807"/>
  <c r="C807"/>
  <c r="A807"/>
  <c r="R806"/>
  <c r="S806"/>
  <c r="Q806"/>
  <c r="O806"/>
  <c r="M806"/>
  <c r="K806"/>
  <c r="I806"/>
  <c r="G806"/>
  <c r="E806"/>
  <c r="B806"/>
  <c r="C806"/>
  <c r="A806"/>
  <c r="R805"/>
  <c r="S805"/>
  <c r="Q805"/>
  <c r="O805"/>
  <c r="M805"/>
  <c r="K805"/>
  <c r="I805"/>
  <c r="G805"/>
  <c r="E805"/>
  <c r="B805"/>
  <c r="C805"/>
  <c r="A805"/>
  <c r="R804"/>
  <c r="S804"/>
  <c r="Q804"/>
  <c r="O804"/>
  <c r="M804"/>
  <c r="K804"/>
  <c r="I804"/>
  <c r="G804"/>
  <c r="E804"/>
  <c r="B804"/>
  <c r="C804"/>
  <c r="A804"/>
  <c r="R803"/>
  <c r="S803"/>
  <c r="Q803"/>
  <c r="O803"/>
  <c r="M803"/>
  <c r="K803"/>
  <c r="I803"/>
  <c r="G803"/>
  <c r="E803"/>
  <c r="B803"/>
  <c r="C803"/>
  <c r="A803"/>
  <c r="R802"/>
  <c r="S802"/>
  <c r="Q802"/>
  <c r="O802"/>
  <c r="M802"/>
  <c r="K802"/>
  <c r="I802"/>
  <c r="G802"/>
  <c r="E802"/>
  <c r="B802"/>
  <c r="C802"/>
  <c r="A802"/>
  <c r="R801"/>
  <c r="S801"/>
  <c r="Q801"/>
  <c r="O801"/>
  <c r="M801"/>
  <c r="K801"/>
  <c r="I801"/>
  <c r="G801"/>
  <c r="E801"/>
  <c r="B801"/>
  <c r="C801"/>
  <c r="A801"/>
  <c r="R800"/>
  <c r="S800"/>
  <c r="Q800"/>
  <c r="O800"/>
  <c r="M800"/>
  <c r="K800"/>
  <c r="I800"/>
  <c r="G800"/>
  <c r="E800"/>
  <c r="B800"/>
  <c r="C800"/>
  <c r="A800"/>
  <c r="R799"/>
  <c r="S799"/>
  <c r="Q799"/>
  <c r="O799"/>
  <c r="M799"/>
  <c r="K799"/>
  <c r="I799"/>
  <c r="G799"/>
  <c r="E799"/>
  <c r="B799"/>
  <c r="C799"/>
  <c r="A799"/>
  <c r="R798"/>
  <c r="S798"/>
  <c r="Q798"/>
  <c r="O798"/>
  <c r="M798"/>
  <c r="K798"/>
  <c r="I798"/>
  <c r="G798"/>
  <c r="E798"/>
  <c r="B798"/>
  <c r="C798"/>
  <c r="A798"/>
  <c r="R797"/>
  <c r="S797"/>
  <c r="Q797"/>
  <c r="O797"/>
  <c r="M797"/>
  <c r="K797"/>
  <c r="I797"/>
  <c r="G797"/>
  <c r="E797"/>
  <c r="B797"/>
  <c r="C797"/>
  <c r="A797"/>
  <c r="R796"/>
  <c r="S796"/>
  <c r="Q796"/>
  <c r="O796"/>
  <c r="M796"/>
  <c r="K796"/>
  <c r="I796"/>
  <c r="G796"/>
  <c r="E796"/>
  <c r="B796"/>
  <c r="C796"/>
  <c r="A796"/>
  <c r="R795"/>
  <c r="S795"/>
  <c r="Q795"/>
  <c r="O795"/>
  <c r="M795"/>
  <c r="K795"/>
  <c r="I795"/>
  <c r="G795"/>
  <c r="E795"/>
  <c r="B795"/>
  <c r="C795"/>
  <c r="A795"/>
  <c r="R794"/>
  <c r="S794"/>
  <c r="Q794"/>
  <c r="O794"/>
  <c r="M794"/>
  <c r="K794"/>
  <c r="I794"/>
  <c r="G794"/>
  <c r="E794"/>
  <c r="B794"/>
  <c r="C794"/>
  <c r="A794"/>
  <c r="R793"/>
  <c r="S793"/>
  <c r="Q793"/>
  <c r="O793"/>
  <c r="M793"/>
  <c r="K793"/>
  <c r="I793"/>
  <c r="G793"/>
  <c r="E793"/>
  <c r="B793"/>
  <c r="C793"/>
  <c r="A793"/>
  <c r="R792"/>
  <c r="S792"/>
  <c r="Q792"/>
  <c r="O792"/>
  <c r="M792"/>
  <c r="K792"/>
  <c r="I792"/>
  <c r="G792"/>
  <c r="E792"/>
  <c r="B792"/>
  <c r="C792"/>
  <c r="A792"/>
  <c r="R791"/>
  <c r="S791"/>
  <c r="Q791"/>
  <c r="O791"/>
  <c r="M791"/>
  <c r="K791"/>
  <c r="I791"/>
  <c r="G791"/>
  <c r="E791"/>
  <c r="B791"/>
  <c r="C791"/>
  <c r="A791"/>
  <c r="R790"/>
  <c r="S790"/>
  <c r="Q790"/>
  <c r="O790"/>
  <c r="M790"/>
  <c r="K790"/>
  <c r="I790"/>
  <c r="G790"/>
  <c r="E790"/>
  <c r="B790"/>
  <c r="C790"/>
  <c r="A790"/>
  <c r="R789"/>
  <c r="S789"/>
  <c r="Q789"/>
  <c r="O789"/>
  <c r="M789"/>
  <c r="K789"/>
  <c r="I789"/>
  <c r="G789"/>
  <c r="E789"/>
  <c r="B789"/>
  <c r="C789"/>
  <c r="A789"/>
  <c r="R788"/>
  <c r="S788"/>
  <c r="Q788"/>
  <c r="O788"/>
  <c r="M788"/>
  <c r="K788"/>
  <c r="I788"/>
  <c r="G788"/>
  <c r="E788"/>
  <c r="B788"/>
  <c r="C788"/>
  <c r="A788"/>
  <c r="R787"/>
  <c r="S787"/>
  <c r="Q787"/>
  <c r="O787"/>
  <c r="M787"/>
  <c r="K787"/>
  <c r="I787"/>
  <c r="G787"/>
  <c r="E787"/>
  <c r="B787"/>
  <c r="C787"/>
  <c r="A787"/>
  <c r="R786"/>
  <c r="S786"/>
  <c r="Q786"/>
  <c r="O786"/>
  <c r="M786"/>
  <c r="K786"/>
  <c r="I786"/>
  <c r="G786"/>
  <c r="E786"/>
  <c r="B786"/>
  <c r="C786"/>
  <c r="A786"/>
  <c r="R785"/>
  <c r="S785"/>
  <c r="Q785"/>
  <c r="O785"/>
  <c r="M785"/>
  <c r="K785"/>
  <c r="I785"/>
  <c r="G785"/>
  <c r="E785"/>
  <c r="B785"/>
  <c r="C785"/>
  <c r="A785"/>
  <c r="R784"/>
  <c r="S784"/>
  <c r="Q784"/>
  <c r="O784"/>
  <c r="M784"/>
  <c r="K784"/>
  <c r="I784"/>
  <c r="G784"/>
  <c r="E784"/>
  <c r="B784"/>
  <c r="C784"/>
  <c r="A784"/>
  <c r="R783"/>
  <c r="S783"/>
  <c r="Q783"/>
  <c r="O783"/>
  <c r="M783"/>
  <c r="K783"/>
  <c r="I783"/>
  <c r="G783"/>
  <c r="E783"/>
  <c r="B783"/>
  <c r="C783"/>
  <c r="A783"/>
  <c r="R782"/>
  <c r="S782"/>
  <c r="Q782"/>
  <c r="O782"/>
  <c r="M782"/>
  <c r="K782"/>
  <c r="I782"/>
  <c r="G782"/>
  <c r="E782"/>
  <c r="B782"/>
  <c r="C782"/>
  <c r="A782"/>
  <c r="R781"/>
  <c r="S781"/>
  <c r="Q781"/>
  <c r="O781"/>
  <c r="M781"/>
  <c r="K781"/>
  <c r="I781"/>
  <c r="G781"/>
  <c r="E781"/>
  <c r="B781"/>
  <c r="C781"/>
  <c r="A781"/>
  <c r="R780"/>
  <c r="S780"/>
  <c r="Q780"/>
  <c r="O780"/>
  <c r="M780"/>
  <c r="K780"/>
  <c r="I780"/>
  <c r="G780"/>
  <c r="E780"/>
  <c r="B780"/>
  <c r="C780"/>
  <c r="A780"/>
  <c r="R779"/>
  <c r="S779"/>
  <c r="Q779"/>
  <c r="O779"/>
  <c r="M779"/>
  <c r="K779"/>
  <c r="I779"/>
  <c r="G779"/>
  <c r="E779"/>
  <c r="B779"/>
  <c r="C779"/>
  <c r="A779"/>
  <c r="R778"/>
  <c r="S778"/>
  <c r="Q778"/>
  <c r="O778"/>
  <c r="M778"/>
  <c r="K778"/>
  <c r="I778"/>
  <c r="G778"/>
  <c r="E778"/>
  <c r="B778"/>
  <c r="C778"/>
  <c r="A778"/>
  <c r="R777"/>
  <c r="S777"/>
  <c r="Q777"/>
  <c r="O777"/>
  <c r="M777"/>
  <c r="K777"/>
  <c r="I777"/>
  <c r="G777"/>
  <c r="E777"/>
  <c r="B777"/>
  <c r="C777"/>
  <c r="A777"/>
  <c r="R776"/>
  <c r="S776"/>
  <c r="Q776"/>
  <c r="O776"/>
  <c r="M776"/>
  <c r="K776"/>
  <c r="I776"/>
  <c r="G776"/>
  <c r="E776"/>
  <c r="B776"/>
  <c r="C776"/>
  <c r="A776"/>
  <c r="R775"/>
  <c r="S775"/>
  <c r="Q775"/>
  <c r="O775"/>
  <c r="M775"/>
  <c r="K775"/>
  <c r="I775"/>
  <c r="G775"/>
  <c r="E775"/>
  <c r="B775"/>
  <c r="C775"/>
  <c r="A775"/>
  <c r="R774"/>
  <c r="S774"/>
  <c r="Q774"/>
  <c r="O774"/>
  <c r="M774"/>
  <c r="K774"/>
  <c r="I774"/>
  <c r="G774"/>
  <c r="E774"/>
  <c r="B774"/>
  <c r="C774"/>
  <c r="A774"/>
  <c r="R773"/>
  <c r="S773"/>
  <c r="Q773"/>
  <c r="O773"/>
  <c r="M773"/>
  <c r="K773"/>
  <c r="I773"/>
  <c r="G773"/>
  <c r="E773"/>
  <c r="B773"/>
  <c r="C773"/>
  <c r="A773"/>
  <c r="R772"/>
  <c r="S772"/>
  <c r="Q772"/>
  <c r="O772"/>
  <c r="M772"/>
  <c r="K772"/>
  <c r="I772"/>
  <c r="G772"/>
  <c r="E772"/>
  <c r="B772"/>
  <c r="C772"/>
  <c r="A772"/>
  <c r="R771"/>
  <c r="S771"/>
  <c r="Q771"/>
  <c r="O771"/>
  <c r="M771"/>
  <c r="K771"/>
  <c r="I771"/>
  <c r="G771"/>
  <c r="E771"/>
  <c r="B771"/>
  <c r="C771"/>
  <c r="A771"/>
  <c r="R770"/>
  <c r="S770"/>
  <c r="Q770"/>
  <c r="O770"/>
  <c r="M770"/>
  <c r="K770"/>
  <c r="I770"/>
  <c r="G770"/>
  <c r="E770"/>
  <c r="B770"/>
  <c r="C770"/>
  <c r="A770"/>
  <c r="R769"/>
  <c r="S769"/>
  <c r="Q769"/>
  <c r="O769"/>
  <c r="M769"/>
  <c r="K769"/>
  <c r="I769"/>
  <c r="G769"/>
  <c r="E769"/>
  <c r="B769"/>
  <c r="C769"/>
  <c r="A769"/>
  <c r="R768"/>
  <c r="S768"/>
  <c r="Q768"/>
  <c r="O768"/>
  <c r="M768"/>
  <c r="K768"/>
  <c r="I768"/>
  <c r="G768"/>
  <c r="E768"/>
  <c r="B768"/>
  <c r="C768"/>
  <c r="A768"/>
  <c r="R767"/>
  <c r="S767"/>
  <c r="Q767"/>
  <c r="O767"/>
  <c r="M767"/>
  <c r="K767"/>
  <c r="I767"/>
  <c r="G767"/>
  <c r="E767"/>
  <c r="B767"/>
  <c r="C767"/>
  <c r="A767"/>
  <c r="R766"/>
  <c r="S766"/>
  <c r="Q766"/>
  <c r="O766"/>
  <c r="M766"/>
  <c r="K766"/>
  <c r="I766"/>
  <c r="G766"/>
  <c r="E766"/>
  <c r="B766"/>
  <c r="C766"/>
  <c r="A766"/>
  <c r="R765"/>
  <c r="S765"/>
  <c r="Q765"/>
  <c r="O765"/>
  <c r="M765"/>
  <c r="K765"/>
  <c r="I765"/>
  <c r="G765"/>
  <c r="E765"/>
  <c r="B765"/>
  <c r="C765"/>
  <c r="A765"/>
  <c r="R764"/>
  <c r="S764"/>
  <c r="Q764"/>
  <c r="O764"/>
  <c r="M764"/>
  <c r="K764"/>
  <c r="I764"/>
  <c r="G764"/>
  <c r="E764"/>
  <c r="B764"/>
  <c r="C764"/>
  <c r="A764"/>
  <c r="R763"/>
  <c r="S763"/>
  <c r="Q763"/>
  <c r="O763"/>
  <c r="M763"/>
  <c r="K763"/>
  <c r="I763"/>
  <c r="G763"/>
  <c r="E763"/>
  <c r="B763"/>
  <c r="C763"/>
  <c r="A763"/>
  <c r="R762"/>
  <c r="S762"/>
  <c r="Q762"/>
  <c r="O762"/>
  <c r="M762"/>
  <c r="K762"/>
  <c r="I762"/>
  <c r="G762"/>
  <c r="E762"/>
  <c r="B762"/>
  <c r="C762"/>
  <c r="A762"/>
  <c r="R761"/>
  <c r="S761"/>
  <c r="Q761"/>
  <c r="O761"/>
  <c r="M761"/>
  <c r="K761"/>
  <c r="I761"/>
  <c r="G761"/>
  <c r="E761"/>
  <c r="B761"/>
  <c r="C761"/>
  <c r="A761"/>
  <c r="R760"/>
  <c r="S760"/>
  <c r="Q760"/>
  <c r="O760"/>
  <c r="M760"/>
  <c r="K760"/>
  <c r="I760"/>
  <c r="G760"/>
  <c r="E760"/>
  <c r="B760"/>
  <c r="C760"/>
  <c r="A760"/>
  <c r="R759"/>
  <c r="S759"/>
  <c r="Q759"/>
  <c r="O759"/>
  <c r="M759"/>
  <c r="K759"/>
  <c r="I759"/>
  <c r="G759"/>
  <c r="E759"/>
  <c r="B759"/>
  <c r="C759"/>
  <c r="A759"/>
  <c r="R758"/>
  <c r="S758"/>
  <c r="Q758"/>
  <c r="O758"/>
  <c r="M758"/>
  <c r="K758"/>
  <c r="I758"/>
  <c r="G758"/>
  <c r="E758"/>
  <c r="B758"/>
  <c r="C758"/>
  <c r="A758"/>
  <c r="R757"/>
  <c r="S757"/>
  <c r="Q757"/>
  <c r="O757"/>
  <c r="M757"/>
  <c r="K757"/>
  <c r="I757"/>
  <c r="G757"/>
  <c r="E757"/>
  <c r="B757"/>
  <c r="C757"/>
  <c r="A757"/>
  <c r="R756"/>
  <c r="S756"/>
  <c r="Q756"/>
  <c r="O756"/>
  <c r="M756"/>
  <c r="K756"/>
  <c r="I756"/>
  <c r="G756"/>
  <c r="E756"/>
  <c r="B756"/>
  <c r="C756"/>
  <c r="A756"/>
  <c r="R755"/>
  <c r="S755"/>
  <c r="Q755"/>
  <c r="O755"/>
  <c r="M755"/>
  <c r="K755"/>
  <c r="I755"/>
  <c r="G755"/>
  <c r="E755"/>
  <c r="B755"/>
  <c r="C755"/>
  <c r="A755"/>
  <c r="R754"/>
  <c r="S754"/>
  <c r="Q754"/>
  <c r="O754"/>
  <c r="M754"/>
  <c r="K754"/>
  <c r="I754"/>
  <c r="G754"/>
  <c r="E754"/>
  <c r="B754"/>
  <c r="C754"/>
  <c r="A754"/>
  <c r="R753"/>
  <c r="S753"/>
  <c r="Q753"/>
  <c r="O753"/>
  <c r="M753"/>
  <c r="K753"/>
  <c r="I753"/>
  <c r="G753"/>
  <c r="E753"/>
  <c r="B753"/>
  <c r="C753"/>
  <c r="A753"/>
  <c r="R752"/>
  <c r="S752"/>
  <c r="Q752"/>
  <c r="O752"/>
  <c r="M752"/>
  <c r="K752"/>
  <c r="I752"/>
  <c r="G752"/>
  <c r="E752"/>
  <c r="B752"/>
  <c r="C752"/>
  <c r="A752"/>
  <c r="R751"/>
  <c r="S751"/>
  <c r="Q751"/>
  <c r="O751"/>
  <c r="M751"/>
  <c r="K751"/>
  <c r="I751"/>
  <c r="G751"/>
  <c r="E751"/>
  <c r="B751"/>
  <c r="C751"/>
  <c r="A751"/>
  <c r="R750"/>
  <c r="S750"/>
  <c r="Q750"/>
  <c r="O750"/>
  <c r="M750"/>
  <c r="K750"/>
  <c r="I750"/>
  <c r="G750"/>
  <c r="E750"/>
  <c r="B750"/>
  <c r="C750"/>
  <c r="A750"/>
  <c r="R749"/>
  <c r="S749"/>
  <c r="Q749"/>
  <c r="O749"/>
  <c r="M749"/>
  <c r="K749"/>
  <c r="I749"/>
  <c r="G749"/>
  <c r="E749"/>
  <c r="B749"/>
  <c r="C749"/>
  <c r="A749"/>
  <c r="R748"/>
  <c r="S748"/>
  <c r="Q748"/>
  <c r="O748"/>
  <c r="M748"/>
  <c r="K748"/>
  <c r="I748"/>
  <c r="G748"/>
  <c r="E748"/>
  <c r="B748"/>
  <c r="C748"/>
  <c r="A748"/>
  <c r="R747"/>
  <c r="S747"/>
  <c r="Q747"/>
  <c r="O747"/>
  <c r="M747"/>
  <c r="K747"/>
  <c r="I747"/>
  <c r="G747"/>
  <c r="E747"/>
  <c r="B747"/>
  <c r="C747"/>
  <c r="A747"/>
  <c r="R746"/>
  <c r="S746"/>
  <c r="Q746"/>
  <c r="O746"/>
  <c r="M746"/>
  <c r="K746"/>
  <c r="I746"/>
  <c r="G746"/>
  <c r="E746"/>
  <c r="B746"/>
  <c r="C746"/>
  <c r="A746"/>
  <c r="R745"/>
  <c r="S745"/>
  <c r="Q745"/>
  <c r="O745"/>
  <c r="M745"/>
  <c r="K745"/>
  <c r="I745"/>
  <c r="G745"/>
  <c r="E745"/>
  <c r="B745"/>
  <c r="C745"/>
  <c r="A745"/>
  <c r="R744"/>
  <c r="S744"/>
  <c r="Q744"/>
  <c r="O744"/>
  <c r="M744"/>
  <c r="K744"/>
  <c r="I744"/>
  <c r="G744"/>
  <c r="E744"/>
  <c r="B744"/>
  <c r="C744"/>
  <c r="A744"/>
  <c r="R743"/>
  <c r="S743"/>
  <c r="Q743"/>
  <c r="O743"/>
  <c r="M743"/>
  <c r="K743"/>
  <c r="I743"/>
  <c r="G743"/>
  <c r="E743"/>
  <c r="B743"/>
  <c r="C743"/>
  <c r="A743"/>
  <c r="R742"/>
  <c r="S742"/>
  <c r="Q742"/>
  <c r="O742"/>
  <c r="M742"/>
  <c r="K742"/>
  <c r="I742"/>
  <c r="G742"/>
  <c r="E742"/>
  <c r="B742"/>
  <c r="C742"/>
  <c r="A742"/>
  <c r="R741"/>
  <c r="S741"/>
  <c r="Q741"/>
  <c r="O741"/>
  <c r="M741"/>
  <c r="K741"/>
  <c r="I741"/>
  <c r="G741"/>
  <c r="E741"/>
  <c r="B741"/>
  <c r="C741"/>
  <c r="A741"/>
  <c r="R740"/>
  <c r="S740"/>
  <c r="Q740"/>
  <c r="O740"/>
  <c r="M740"/>
  <c r="K740"/>
  <c r="I740"/>
  <c r="G740"/>
  <c r="E740"/>
  <c r="B740"/>
  <c r="C740"/>
  <c r="A740"/>
  <c r="R739"/>
  <c r="S739"/>
  <c r="Q739"/>
  <c r="O739"/>
  <c r="M739"/>
  <c r="K739"/>
  <c r="I739"/>
  <c r="G739"/>
  <c r="E739"/>
  <c r="B739"/>
  <c r="C739"/>
  <c r="A739"/>
  <c r="R738"/>
  <c r="S738"/>
  <c r="Q738"/>
  <c r="O738"/>
  <c r="M738"/>
  <c r="K738"/>
  <c r="I738"/>
  <c r="G738"/>
  <c r="E738"/>
  <c r="B738"/>
  <c r="C738"/>
  <c r="A738"/>
  <c r="R737"/>
  <c r="S737"/>
  <c r="Q737"/>
  <c r="O737"/>
  <c r="M737"/>
  <c r="K737"/>
  <c r="I737"/>
  <c r="G737"/>
  <c r="E737"/>
  <c r="B737"/>
  <c r="C737"/>
  <c r="A737"/>
  <c r="R736"/>
  <c r="S736"/>
  <c r="Q736"/>
  <c r="O736"/>
  <c r="M736"/>
  <c r="K736"/>
  <c r="I736"/>
  <c r="G736"/>
  <c r="E736"/>
  <c r="B736"/>
  <c r="C736"/>
  <c r="A736"/>
  <c r="R735"/>
  <c r="S735"/>
  <c r="Q735"/>
  <c r="O735"/>
  <c r="M735"/>
  <c r="K735"/>
  <c r="I735"/>
  <c r="G735"/>
  <c r="E735"/>
  <c r="B735"/>
  <c r="C735"/>
  <c r="A735"/>
  <c r="R734"/>
  <c r="S734"/>
  <c r="Q734"/>
  <c r="O734"/>
  <c r="M734"/>
  <c r="K734"/>
  <c r="I734"/>
  <c r="G734"/>
  <c r="E734"/>
  <c r="B734"/>
  <c r="C734"/>
  <c r="A734"/>
  <c r="R733"/>
  <c r="S733"/>
  <c r="Q733"/>
  <c r="O733"/>
  <c r="M733"/>
  <c r="K733"/>
  <c r="I733"/>
  <c r="G733"/>
  <c r="E733"/>
  <c r="B733"/>
  <c r="C733"/>
  <c r="A733"/>
  <c r="R732"/>
  <c r="S732"/>
  <c r="Q732"/>
  <c r="O732"/>
  <c r="M732"/>
  <c r="K732"/>
  <c r="I732"/>
  <c r="G732"/>
  <c r="E732"/>
  <c r="B732"/>
  <c r="C732"/>
  <c r="A732"/>
  <c r="R731"/>
  <c r="S731"/>
  <c r="Q731"/>
  <c r="O731"/>
  <c r="M731"/>
  <c r="K731"/>
  <c r="I731"/>
  <c r="G731"/>
  <c r="E731"/>
  <c r="B731"/>
  <c r="C731"/>
  <c r="A731"/>
  <c r="R730"/>
  <c r="S730"/>
  <c r="Q730"/>
  <c r="O730"/>
  <c r="M730"/>
  <c r="K730"/>
  <c r="I730"/>
  <c r="G730"/>
  <c r="E730"/>
  <c r="B730"/>
  <c r="C730"/>
  <c r="A730"/>
  <c r="R729"/>
  <c r="S729"/>
  <c r="Q729"/>
  <c r="O729"/>
  <c r="M729"/>
  <c r="K729"/>
  <c r="I729"/>
  <c r="G729"/>
  <c r="E729"/>
  <c r="B729"/>
  <c r="C729"/>
  <c r="A729"/>
  <c r="R728"/>
  <c r="S728"/>
  <c r="Q728"/>
  <c r="O728"/>
  <c r="M728"/>
  <c r="K728"/>
  <c r="I728"/>
  <c r="G728"/>
  <c r="E728"/>
  <c r="B728"/>
  <c r="C728"/>
  <c r="A728"/>
  <c r="R727"/>
  <c r="S727"/>
  <c r="Q727"/>
  <c r="O727"/>
  <c r="M727"/>
  <c r="K727"/>
  <c r="I727"/>
  <c r="G727"/>
  <c r="E727"/>
  <c r="B727"/>
  <c r="C727"/>
  <c r="A727"/>
  <c r="R726"/>
  <c r="S726"/>
  <c r="Q726"/>
  <c r="O726"/>
  <c r="M726"/>
  <c r="K726"/>
  <c r="I726"/>
  <c r="G726"/>
  <c r="E726"/>
  <c r="B726"/>
  <c r="C726"/>
  <c r="A726"/>
  <c r="R725"/>
  <c r="S725"/>
  <c r="Q725"/>
  <c r="O725"/>
  <c r="M725"/>
  <c r="K725"/>
  <c r="I725"/>
  <c r="G725"/>
  <c r="E725"/>
  <c r="B725"/>
  <c r="C725"/>
  <c r="A725"/>
  <c r="R724"/>
  <c r="S724"/>
  <c r="Q724"/>
  <c r="O724"/>
  <c r="M724"/>
  <c r="K724"/>
  <c r="I724"/>
  <c r="G724"/>
  <c r="E724"/>
  <c r="B724"/>
  <c r="C724"/>
  <c r="A724"/>
  <c r="R723"/>
  <c r="S723"/>
  <c r="Q723"/>
  <c r="O723"/>
  <c r="M723"/>
  <c r="K723"/>
  <c r="I723"/>
  <c r="G723"/>
  <c r="E723"/>
  <c r="B723"/>
  <c r="C723"/>
  <c r="A723"/>
  <c r="R722"/>
  <c r="S722"/>
  <c r="Q722"/>
  <c r="O722"/>
  <c r="M722"/>
  <c r="K722"/>
  <c r="I722"/>
  <c r="G722"/>
  <c r="E722"/>
  <c r="B722"/>
  <c r="C722"/>
  <c r="A722"/>
  <c r="R721"/>
  <c r="S721"/>
  <c r="Q721"/>
  <c r="O721"/>
  <c r="M721"/>
  <c r="K721"/>
  <c r="I721"/>
  <c r="G721"/>
  <c r="E721"/>
  <c r="B721"/>
  <c r="C721"/>
  <c r="A721"/>
  <c r="R720"/>
  <c r="S720"/>
  <c r="Q720"/>
  <c r="O720"/>
  <c r="M720"/>
  <c r="K720"/>
  <c r="I720"/>
  <c r="G720"/>
  <c r="E720"/>
  <c r="B720"/>
  <c r="C720"/>
  <c r="A720"/>
  <c r="R719"/>
  <c r="S719"/>
  <c r="Q719"/>
  <c r="O719"/>
  <c r="M719"/>
  <c r="K719"/>
  <c r="I719"/>
  <c r="G719"/>
  <c r="E719"/>
  <c r="B719"/>
  <c r="C719"/>
  <c r="A719"/>
  <c r="R718"/>
  <c r="S718"/>
  <c r="Q718"/>
  <c r="O718"/>
  <c r="M718"/>
  <c r="K718"/>
  <c r="I718"/>
  <c r="G718"/>
  <c r="E718"/>
  <c r="B718"/>
  <c r="C718"/>
  <c r="A718"/>
  <c r="R717"/>
  <c r="S717"/>
  <c r="Q717"/>
  <c r="O717"/>
  <c r="M717"/>
  <c r="K717"/>
  <c r="I717"/>
  <c r="G717"/>
  <c r="E717"/>
  <c r="B717"/>
  <c r="C717"/>
  <c r="A717"/>
  <c r="R716"/>
  <c r="S716"/>
  <c r="Q716"/>
  <c r="O716"/>
  <c r="M716"/>
  <c r="K716"/>
  <c r="I716"/>
  <c r="G716"/>
  <c r="E716"/>
  <c r="B716"/>
  <c r="C716"/>
  <c r="A716"/>
  <c r="R715"/>
  <c r="S715"/>
  <c r="Q715"/>
  <c r="O715"/>
  <c r="M715"/>
  <c r="K715"/>
  <c r="I715"/>
  <c r="G715"/>
  <c r="E715"/>
  <c r="B715"/>
  <c r="C715"/>
  <c r="A715"/>
  <c r="R714"/>
  <c r="S714"/>
  <c r="Q714"/>
  <c r="O714"/>
  <c r="M714"/>
  <c r="K714"/>
  <c r="I714"/>
  <c r="G714"/>
  <c r="E714"/>
  <c r="B714"/>
  <c r="C714"/>
  <c r="A714"/>
  <c r="R713"/>
  <c r="S713"/>
  <c r="Q713"/>
  <c r="O713"/>
  <c r="M713"/>
  <c r="K713"/>
  <c r="I713"/>
  <c r="G713"/>
  <c r="E713"/>
  <c r="B713"/>
  <c r="C713"/>
  <c r="A713"/>
  <c r="R712"/>
  <c r="S712"/>
  <c r="Q712"/>
  <c r="O712"/>
  <c r="M712"/>
  <c r="K712"/>
  <c r="I712"/>
  <c r="G712"/>
  <c r="E712"/>
  <c r="B712"/>
  <c r="C712"/>
  <c r="A712"/>
  <c r="R711"/>
  <c r="S711"/>
  <c r="Q711"/>
  <c r="O711"/>
  <c r="M711"/>
  <c r="K711"/>
  <c r="I711"/>
  <c r="G711"/>
  <c r="E711"/>
  <c r="B711"/>
  <c r="C711"/>
  <c r="A711"/>
  <c r="R710"/>
  <c r="S710"/>
  <c r="Q710"/>
  <c r="O710"/>
  <c r="M710"/>
  <c r="K710"/>
  <c r="I710"/>
  <c r="G710"/>
  <c r="E710"/>
  <c r="B710"/>
  <c r="C710"/>
  <c r="A710"/>
  <c r="R709"/>
  <c r="S709"/>
  <c r="Q709"/>
  <c r="O709"/>
  <c r="M709"/>
  <c r="K709"/>
  <c r="I709"/>
  <c r="G709"/>
  <c r="E709"/>
  <c r="B709"/>
  <c r="C709"/>
  <c r="A709"/>
  <c r="R708"/>
  <c r="S708"/>
  <c r="Q708"/>
  <c r="O708"/>
  <c r="M708"/>
  <c r="K708"/>
  <c r="I708"/>
  <c r="G708"/>
  <c r="E708"/>
  <c r="B708"/>
  <c r="C708"/>
  <c r="A708"/>
  <c r="R707"/>
  <c r="S707"/>
  <c r="Q707"/>
  <c r="O707"/>
  <c r="M707"/>
  <c r="K707"/>
  <c r="I707"/>
  <c r="G707"/>
  <c r="E707"/>
  <c r="B707"/>
  <c r="C707"/>
  <c r="A707"/>
  <c r="R706"/>
  <c r="S706"/>
  <c r="Q706"/>
  <c r="O706"/>
  <c r="M706"/>
  <c r="K706"/>
  <c r="I706"/>
  <c r="G706"/>
  <c r="E706"/>
  <c r="B706"/>
  <c r="C706"/>
  <c r="A706"/>
  <c r="R705"/>
  <c r="S705"/>
  <c r="Q705"/>
  <c r="O705"/>
  <c r="M705"/>
  <c r="K705"/>
  <c r="I705"/>
  <c r="G705"/>
  <c r="E705"/>
  <c r="B705"/>
  <c r="C705"/>
  <c r="A705"/>
  <c r="R704"/>
  <c r="S704"/>
  <c r="Q704"/>
  <c r="O704"/>
  <c r="M704"/>
  <c r="K704"/>
  <c r="I704"/>
  <c r="G704"/>
  <c r="E704"/>
  <c r="B704"/>
  <c r="C704"/>
  <c r="A704"/>
  <c r="R703"/>
  <c r="S703"/>
  <c r="Q703"/>
  <c r="O703"/>
  <c r="M703"/>
  <c r="K703"/>
  <c r="I703"/>
  <c r="G703"/>
  <c r="E703"/>
  <c r="B703"/>
  <c r="C703"/>
  <c r="A703"/>
  <c r="R702"/>
  <c r="S702"/>
  <c r="Q702"/>
  <c r="O702"/>
  <c r="M702"/>
  <c r="K702"/>
  <c r="I702"/>
  <c r="G702"/>
  <c r="E702"/>
  <c r="B702"/>
  <c r="C702"/>
  <c r="A702"/>
  <c r="R701"/>
  <c r="S701"/>
  <c r="Q701"/>
  <c r="O701"/>
  <c r="M701"/>
  <c r="K701"/>
  <c r="I701"/>
  <c r="G701"/>
  <c r="E701"/>
  <c r="B701"/>
  <c r="C701"/>
  <c r="A701"/>
  <c r="R700"/>
  <c r="S700"/>
  <c r="Q700"/>
  <c r="O700"/>
  <c r="M700"/>
  <c r="K700"/>
  <c r="I700"/>
  <c r="G700"/>
  <c r="E700"/>
  <c r="B700"/>
  <c r="C700"/>
  <c r="A700"/>
  <c r="R699"/>
  <c r="S699"/>
  <c r="Q699"/>
  <c r="O699"/>
  <c r="M699"/>
  <c r="K699"/>
  <c r="I699"/>
  <c r="G699"/>
  <c r="E699"/>
  <c r="B699"/>
  <c r="C699"/>
  <c r="A699"/>
  <c r="R698"/>
  <c r="S698"/>
  <c r="Q698"/>
  <c r="O698"/>
  <c r="M698"/>
  <c r="K698"/>
  <c r="I698"/>
  <c r="G698"/>
  <c r="E698"/>
  <c r="B698"/>
  <c r="C698"/>
  <c r="A698"/>
  <c r="R697"/>
  <c r="S697"/>
  <c r="Q697"/>
  <c r="O697"/>
  <c r="M697"/>
  <c r="K697"/>
  <c r="I697"/>
  <c r="G697"/>
  <c r="E697"/>
  <c r="B697"/>
  <c r="C697"/>
  <c r="A697"/>
  <c r="R696"/>
  <c r="S696"/>
  <c r="Q696"/>
  <c r="O696"/>
  <c r="M696"/>
  <c r="K696"/>
  <c r="I696"/>
  <c r="G696"/>
  <c r="E696"/>
  <c r="B696"/>
  <c r="C696"/>
  <c r="A696"/>
  <c r="R695"/>
  <c r="S695"/>
  <c r="Q695"/>
  <c r="O695"/>
  <c r="M695"/>
  <c r="K695"/>
  <c r="I695"/>
  <c r="G695"/>
  <c r="E695"/>
  <c r="B695"/>
  <c r="C695"/>
  <c r="A695"/>
  <c r="R694"/>
  <c r="S694"/>
  <c r="Q694"/>
  <c r="O694"/>
  <c r="M694"/>
  <c r="K694"/>
  <c r="I694"/>
  <c r="G694"/>
  <c r="E694"/>
  <c r="B694"/>
  <c r="C694"/>
  <c r="A694"/>
  <c r="R693"/>
  <c r="S693"/>
  <c r="Q693"/>
  <c r="O693"/>
  <c r="M693"/>
  <c r="K693"/>
  <c r="I693"/>
  <c r="G693"/>
  <c r="E693"/>
  <c r="B693"/>
  <c r="C693"/>
  <c r="A693"/>
  <c r="R692"/>
  <c r="S692"/>
  <c r="Q692"/>
  <c r="O692"/>
  <c r="M692"/>
  <c r="K692"/>
  <c r="I692"/>
  <c r="G692"/>
  <c r="E692"/>
  <c r="B692"/>
  <c r="C692"/>
  <c r="A692"/>
  <c r="R691"/>
  <c r="S691"/>
  <c r="Q691"/>
  <c r="O691"/>
  <c r="M691"/>
  <c r="K691"/>
  <c r="I691"/>
  <c r="G691"/>
  <c r="E691"/>
  <c r="B691"/>
  <c r="C691"/>
  <c r="A691"/>
  <c r="R690"/>
  <c r="S690"/>
  <c r="Q690"/>
  <c r="O690"/>
  <c r="M690"/>
  <c r="K690"/>
  <c r="I690"/>
  <c r="G690"/>
  <c r="E690"/>
  <c r="B690"/>
  <c r="C690"/>
  <c r="A690"/>
  <c r="R689"/>
  <c r="S689"/>
  <c r="Q689"/>
  <c r="O689"/>
  <c r="M689"/>
  <c r="K689"/>
  <c r="I689"/>
  <c r="G689"/>
  <c r="E689"/>
  <c r="B689"/>
  <c r="C689"/>
  <c r="A689"/>
  <c r="R688"/>
  <c r="S688"/>
  <c r="Q688"/>
  <c r="O688"/>
  <c r="M688"/>
  <c r="K688"/>
  <c r="I688"/>
  <c r="G688"/>
  <c r="E688"/>
  <c r="B688"/>
  <c r="C688"/>
  <c r="A688"/>
  <c r="R687"/>
  <c r="S687"/>
  <c r="Q687"/>
  <c r="O687"/>
  <c r="M687"/>
  <c r="K687"/>
  <c r="I687"/>
  <c r="G687"/>
  <c r="E687"/>
  <c r="B687"/>
  <c r="C687"/>
  <c r="A687"/>
  <c r="R686"/>
  <c r="S686"/>
  <c r="Q686"/>
  <c r="O686"/>
  <c r="M686"/>
  <c r="K686"/>
  <c r="I686"/>
  <c r="G686"/>
  <c r="E686"/>
  <c r="B686"/>
  <c r="C686"/>
  <c r="A686"/>
  <c r="R685"/>
  <c r="S685"/>
  <c r="Q685"/>
  <c r="O685"/>
  <c r="M685"/>
  <c r="K685"/>
  <c r="I685"/>
  <c r="G685"/>
  <c r="E685"/>
  <c r="B685"/>
  <c r="C685"/>
  <c r="A685"/>
  <c r="R684"/>
  <c r="S684"/>
  <c r="Q684"/>
  <c r="O684"/>
  <c r="M684"/>
  <c r="K684"/>
  <c r="I684"/>
  <c r="G684"/>
  <c r="E684"/>
  <c r="B684"/>
  <c r="C684"/>
  <c r="A684"/>
  <c r="R683"/>
  <c r="S683"/>
  <c r="Q683"/>
  <c r="O683"/>
  <c r="M683"/>
  <c r="K683"/>
  <c r="I683"/>
  <c r="G683"/>
  <c r="E683"/>
  <c r="B683"/>
  <c r="C683"/>
  <c r="A683"/>
  <c r="R682"/>
  <c r="S682"/>
  <c r="Q682"/>
  <c r="O682"/>
  <c r="M682"/>
  <c r="K682"/>
  <c r="I682"/>
  <c r="G682"/>
  <c r="E682"/>
  <c r="B682"/>
  <c r="C682"/>
  <c r="A682"/>
  <c r="R681"/>
  <c r="S681"/>
  <c r="Q681"/>
  <c r="O681"/>
  <c r="M681"/>
  <c r="K681"/>
  <c r="I681"/>
  <c r="G681"/>
  <c r="E681"/>
  <c r="B681"/>
  <c r="C681"/>
  <c r="A681"/>
  <c r="R680"/>
  <c r="S680"/>
  <c r="Q680"/>
  <c r="O680"/>
  <c r="M680"/>
  <c r="K680"/>
  <c r="I680"/>
  <c r="G680"/>
  <c r="E680"/>
  <c r="B680"/>
  <c r="C680"/>
  <c r="A680"/>
  <c r="R679"/>
  <c r="S679"/>
  <c r="Q679"/>
  <c r="O679"/>
  <c r="M679"/>
  <c r="K679"/>
  <c r="I679"/>
  <c r="G679"/>
  <c r="E679"/>
  <c r="B679"/>
  <c r="C679"/>
  <c r="A679"/>
  <c r="R678"/>
  <c r="S678"/>
  <c r="Q678"/>
  <c r="O678"/>
  <c r="M678"/>
  <c r="K678"/>
  <c r="I678"/>
  <c r="G678"/>
  <c r="E678"/>
  <c r="B678"/>
  <c r="C678"/>
  <c r="A678"/>
  <c r="R677"/>
  <c r="S677"/>
  <c r="Q677"/>
  <c r="O677"/>
  <c r="M677"/>
  <c r="K677"/>
  <c r="I677"/>
  <c r="G677"/>
  <c r="E677"/>
  <c r="B677"/>
  <c r="C677"/>
  <c r="A677"/>
  <c r="R676"/>
  <c r="S676"/>
  <c r="Q676"/>
  <c r="O676"/>
  <c r="M676"/>
  <c r="K676"/>
  <c r="I676"/>
  <c r="G676"/>
  <c r="E676"/>
  <c r="B676"/>
  <c r="C676"/>
  <c r="A676"/>
  <c r="R675"/>
  <c r="S675"/>
  <c r="Q675"/>
  <c r="O675"/>
  <c r="M675"/>
  <c r="K675"/>
  <c r="I675"/>
  <c r="G675"/>
  <c r="E675"/>
  <c r="B675"/>
  <c r="C675"/>
  <c r="A675"/>
  <c r="R674"/>
  <c r="S674"/>
  <c r="Q674"/>
  <c r="O674"/>
  <c r="M674"/>
  <c r="K674"/>
  <c r="I674"/>
  <c r="G674"/>
  <c r="E674"/>
  <c r="B674"/>
  <c r="C674"/>
  <c r="A674"/>
  <c r="R673"/>
  <c r="S673"/>
  <c r="Q673"/>
  <c r="O673"/>
  <c r="M673"/>
  <c r="K673"/>
  <c r="I673"/>
  <c r="G673"/>
  <c r="E673"/>
  <c r="B673"/>
  <c r="C673"/>
  <c r="A673"/>
  <c r="R672"/>
  <c r="S672"/>
  <c r="Q672"/>
  <c r="O672"/>
  <c r="M672"/>
  <c r="K672"/>
  <c r="I672"/>
  <c r="G672"/>
  <c r="E672"/>
  <c r="B672"/>
  <c r="C672"/>
  <c r="A672"/>
  <c r="R671"/>
  <c r="S671"/>
  <c r="Q671"/>
  <c r="O671"/>
  <c r="M671"/>
  <c r="K671"/>
  <c r="I671"/>
  <c r="G671"/>
  <c r="E671"/>
  <c r="B671"/>
  <c r="C671"/>
  <c r="A671"/>
  <c r="R670"/>
  <c r="S670"/>
  <c r="Q670"/>
  <c r="O670"/>
  <c r="M670"/>
  <c r="K670"/>
  <c r="I670"/>
  <c r="G670"/>
  <c r="E670"/>
  <c r="B670"/>
  <c r="C670"/>
  <c r="A670"/>
  <c r="R669"/>
  <c r="S669"/>
  <c r="Q669"/>
  <c r="O669"/>
  <c r="M669"/>
  <c r="K669"/>
  <c r="I669"/>
  <c r="G669"/>
  <c r="E669"/>
  <c r="B669"/>
  <c r="C669"/>
  <c r="A669"/>
  <c r="R668"/>
  <c r="S668"/>
  <c r="Q668"/>
  <c r="O668"/>
  <c r="M668"/>
  <c r="K668"/>
  <c r="I668"/>
  <c r="G668"/>
  <c r="E668"/>
  <c r="B668"/>
  <c r="C668"/>
  <c r="A668"/>
  <c r="R667"/>
  <c r="S667"/>
  <c r="Q667"/>
  <c r="O667"/>
  <c r="M667"/>
  <c r="K667"/>
  <c r="I667"/>
  <c r="G667"/>
  <c r="E667"/>
  <c r="B667"/>
  <c r="C667"/>
  <c r="A667"/>
  <c r="R666"/>
  <c r="S666"/>
  <c r="Q666"/>
  <c r="O666"/>
  <c r="M666"/>
  <c r="K666"/>
  <c r="I666"/>
  <c r="G666"/>
  <c r="E666"/>
  <c r="B666"/>
  <c r="C666"/>
  <c r="A666"/>
  <c r="R665"/>
  <c r="S665"/>
  <c r="Q665"/>
  <c r="O665"/>
  <c r="M665"/>
  <c r="K665"/>
  <c r="I665"/>
  <c r="G665"/>
  <c r="E665"/>
  <c r="B665"/>
  <c r="C665"/>
  <c r="A665"/>
  <c r="R664"/>
  <c r="S664"/>
  <c r="Q664"/>
  <c r="O664"/>
  <c r="M664"/>
  <c r="K664"/>
  <c r="I664"/>
  <c r="G664"/>
  <c r="E664"/>
  <c r="B664"/>
  <c r="C664"/>
  <c r="A664"/>
  <c r="R663"/>
  <c r="S663"/>
  <c r="Q663"/>
  <c r="O663"/>
  <c r="M663"/>
  <c r="K663"/>
  <c r="I663"/>
  <c r="G663"/>
  <c r="E663"/>
  <c r="B663"/>
  <c r="C663"/>
  <c r="A663"/>
  <c r="R662"/>
  <c r="S662"/>
  <c r="Q662"/>
  <c r="O662"/>
  <c r="M662"/>
  <c r="K662"/>
  <c r="I662"/>
  <c r="G662"/>
  <c r="E662"/>
  <c r="B662"/>
  <c r="C662"/>
  <c r="A662"/>
  <c r="R661"/>
  <c r="S661"/>
  <c r="Q661"/>
  <c r="O661"/>
  <c r="M661"/>
  <c r="K661"/>
  <c r="I661"/>
  <c r="G661"/>
  <c r="E661"/>
  <c r="B661"/>
  <c r="C661"/>
  <c r="A661"/>
  <c r="R660"/>
  <c r="S660"/>
  <c r="Q660"/>
  <c r="O660"/>
  <c r="M660"/>
  <c r="K660"/>
  <c r="I660"/>
  <c r="G660"/>
  <c r="E660"/>
  <c r="B660"/>
  <c r="C660"/>
  <c r="A660"/>
  <c r="R659"/>
  <c r="S659"/>
  <c r="Q659"/>
  <c r="O659"/>
  <c r="M659"/>
  <c r="K659"/>
  <c r="I659"/>
  <c r="G659"/>
  <c r="E659"/>
  <c r="B659"/>
  <c r="C659"/>
  <c r="A659"/>
  <c r="R658"/>
  <c r="S658"/>
  <c r="Q658"/>
  <c r="O658"/>
  <c r="M658"/>
  <c r="K658"/>
  <c r="I658"/>
  <c r="G658"/>
  <c r="E658"/>
  <c r="B658"/>
  <c r="C658"/>
  <c r="A658"/>
  <c r="R657"/>
  <c r="S657"/>
  <c r="Q657"/>
  <c r="O657"/>
  <c r="M657"/>
  <c r="K657"/>
  <c r="I657"/>
  <c r="G657"/>
  <c r="E657"/>
  <c r="B657"/>
  <c r="C657"/>
  <c r="A657"/>
  <c r="R656"/>
  <c r="S656"/>
  <c r="Q656"/>
  <c r="O656"/>
  <c r="M656"/>
  <c r="K656"/>
  <c r="I656"/>
  <c r="G656"/>
  <c r="E656"/>
  <c r="B656"/>
  <c r="C656"/>
  <c r="A656"/>
  <c r="R655"/>
  <c r="S655"/>
  <c r="Q655"/>
  <c r="O655"/>
  <c r="M655"/>
  <c r="K655"/>
  <c r="I655"/>
  <c r="G655"/>
  <c r="E655"/>
  <c r="B655"/>
  <c r="C655"/>
  <c r="A655"/>
  <c r="R654"/>
  <c r="S654"/>
  <c r="Q654"/>
  <c r="O654"/>
  <c r="M654"/>
  <c r="K654"/>
  <c r="I654"/>
  <c r="G654"/>
  <c r="E654"/>
  <c r="B654"/>
  <c r="C654"/>
  <c r="A654"/>
  <c r="R653"/>
  <c r="S653"/>
  <c r="Q653"/>
  <c r="O653"/>
  <c r="M653"/>
  <c r="K653"/>
  <c r="I653"/>
  <c r="G653"/>
  <c r="E653"/>
  <c r="B653"/>
  <c r="C653"/>
  <c r="A653"/>
  <c r="R652"/>
  <c r="S652"/>
  <c r="Q652"/>
  <c r="O652"/>
  <c r="M652"/>
  <c r="K652"/>
  <c r="I652"/>
  <c r="G652"/>
  <c r="E652"/>
  <c r="B652"/>
  <c r="C652"/>
  <c r="A652"/>
  <c r="R651"/>
  <c r="S651"/>
  <c r="Q651"/>
  <c r="O651"/>
  <c r="M651"/>
  <c r="K651"/>
  <c r="I651"/>
  <c r="G651"/>
  <c r="E651"/>
  <c r="B651"/>
  <c r="C651"/>
  <c r="A651"/>
  <c r="R650"/>
  <c r="S650"/>
  <c r="Q650"/>
  <c r="O650"/>
  <c r="M650"/>
  <c r="K650"/>
  <c r="I650"/>
  <c r="G650"/>
  <c r="E650"/>
  <c r="B650"/>
  <c r="C650"/>
  <c r="A650"/>
  <c r="R649"/>
  <c r="S649"/>
  <c r="Q649"/>
  <c r="O649"/>
  <c r="M649"/>
  <c r="K649"/>
  <c r="I649"/>
  <c r="G649"/>
  <c r="E649"/>
  <c r="B649"/>
  <c r="C649"/>
  <c r="A649"/>
  <c r="R648"/>
  <c r="S648"/>
  <c r="Q648"/>
  <c r="O648"/>
  <c r="M648"/>
  <c r="K648"/>
  <c r="I648"/>
  <c r="G648"/>
  <c r="E648"/>
  <c r="B648"/>
  <c r="C648"/>
  <c r="A648"/>
  <c r="R647"/>
  <c r="S647"/>
  <c r="Q647"/>
  <c r="O647"/>
  <c r="M647"/>
  <c r="K647"/>
  <c r="I647"/>
  <c r="G647"/>
  <c r="E647"/>
  <c r="B647"/>
  <c r="C647"/>
  <c r="A647"/>
  <c r="R646"/>
  <c r="S646"/>
  <c r="Q646"/>
  <c r="O646"/>
  <c r="M646"/>
  <c r="K646"/>
  <c r="I646"/>
  <c r="G646"/>
  <c r="E646"/>
  <c r="B646"/>
  <c r="C646"/>
  <c r="A646"/>
  <c r="R645"/>
  <c r="S645"/>
  <c r="Q645"/>
  <c r="O645"/>
  <c r="M645"/>
  <c r="K645"/>
  <c r="I645"/>
  <c r="G645"/>
  <c r="E645"/>
  <c r="B645"/>
  <c r="C645"/>
  <c r="A645"/>
  <c r="R644"/>
  <c r="S644"/>
  <c r="Q644"/>
  <c r="O644"/>
  <c r="M644"/>
  <c r="K644"/>
  <c r="I644"/>
  <c r="G644"/>
  <c r="E644"/>
  <c r="B644"/>
  <c r="C644"/>
  <c r="A644"/>
  <c r="R643"/>
  <c r="S643"/>
  <c r="Q643"/>
  <c r="O643"/>
  <c r="M643"/>
  <c r="K643"/>
  <c r="I643"/>
  <c r="G643"/>
  <c r="E643"/>
  <c r="B643"/>
  <c r="C643"/>
  <c r="A643"/>
  <c r="R642"/>
  <c r="S642"/>
  <c r="Q642"/>
  <c r="O642"/>
  <c r="M642"/>
  <c r="K642"/>
  <c r="I642"/>
  <c r="G642"/>
  <c r="E642"/>
  <c r="B642"/>
  <c r="C642"/>
  <c r="A642"/>
  <c r="R641"/>
  <c r="S641"/>
  <c r="Q641"/>
  <c r="O641"/>
  <c r="M641"/>
  <c r="K641"/>
  <c r="I641"/>
  <c r="G641"/>
  <c r="E641"/>
  <c r="B641"/>
  <c r="C641"/>
  <c r="A641"/>
  <c r="R640"/>
  <c r="S640"/>
  <c r="Q640"/>
  <c r="O640"/>
  <c r="M640"/>
  <c r="K640"/>
  <c r="I640"/>
  <c r="G640"/>
  <c r="E640"/>
  <c r="B640"/>
  <c r="C640"/>
  <c r="A640"/>
  <c r="R639"/>
  <c r="S639"/>
  <c r="Q639"/>
  <c r="O639"/>
  <c r="M639"/>
  <c r="K639"/>
  <c r="I639"/>
  <c r="G639"/>
  <c r="E639"/>
  <c r="B639"/>
  <c r="C639"/>
  <c r="A639"/>
  <c r="R638"/>
  <c r="S638"/>
  <c r="Q638"/>
  <c r="O638"/>
  <c r="M638"/>
  <c r="K638"/>
  <c r="I638"/>
  <c r="G638"/>
  <c r="E638"/>
  <c r="B638"/>
  <c r="C638"/>
  <c r="A638"/>
  <c r="R637"/>
  <c r="S637"/>
  <c r="Q637"/>
  <c r="O637"/>
  <c r="M637"/>
  <c r="K637"/>
  <c r="I637"/>
  <c r="G637"/>
  <c r="E637"/>
  <c r="B637"/>
  <c r="C637"/>
  <c r="A637"/>
  <c r="R636"/>
  <c r="S636"/>
  <c r="Q636"/>
  <c r="O636"/>
  <c r="M636"/>
  <c r="K636"/>
  <c r="I636"/>
  <c r="G636"/>
  <c r="E636"/>
  <c r="B636"/>
  <c r="C636"/>
  <c r="A636"/>
  <c r="R635"/>
  <c r="S635"/>
  <c r="Q635"/>
  <c r="O635"/>
  <c r="M635"/>
  <c r="K635"/>
  <c r="I635"/>
  <c r="G635"/>
  <c r="E635"/>
  <c r="B635"/>
  <c r="C635"/>
  <c r="A635"/>
  <c r="R634"/>
  <c r="S634"/>
  <c r="Q634"/>
  <c r="O634"/>
  <c r="M634"/>
  <c r="K634"/>
  <c r="I634"/>
  <c r="G634"/>
  <c r="E634"/>
  <c r="B634"/>
  <c r="C634"/>
  <c r="A634"/>
  <c r="R633"/>
  <c r="S633"/>
  <c r="Q633"/>
  <c r="O633"/>
  <c r="M633"/>
  <c r="K633"/>
  <c r="I633"/>
  <c r="G633"/>
  <c r="E633"/>
  <c r="B633"/>
  <c r="C633"/>
  <c r="A633"/>
  <c r="R632"/>
  <c r="S632"/>
  <c r="Q632"/>
  <c r="O632"/>
  <c r="M632"/>
  <c r="K632"/>
  <c r="I632"/>
  <c r="G632"/>
  <c r="E632"/>
  <c r="B632"/>
  <c r="C632"/>
  <c r="A632"/>
  <c r="R631"/>
  <c r="S631"/>
  <c r="Q631"/>
  <c r="O631"/>
  <c r="M631"/>
  <c r="K631"/>
  <c r="I631"/>
  <c r="G631"/>
  <c r="E631"/>
  <c r="B631"/>
  <c r="C631"/>
  <c r="A631"/>
  <c r="R630"/>
  <c r="S630"/>
  <c r="Q630"/>
  <c r="O630"/>
  <c r="M630"/>
  <c r="K630"/>
  <c r="I630"/>
  <c r="G630"/>
  <c r="E630"/>
  <c r="B630"/>
  <c r="C630"/>
  <c r="A630"/>
  <c r="R629"/>
  <c r="S629"/>
  <c r="Q629"/>
  <c r="O629"/>
  <c r="M629"/>
  <c r="K629"/>
  <c r="I629"/>
  <c r="G629"/>
  <c r="E629"/>
  <c r="B629"/>
  <c r="C629"/>
  <c r="A629"/>
  <c r="R628"/>
  <c r="S628"/>
  <c r="Q628"/>
  <c r="O628"/>
  <c r="M628"/>
  <c r="K628"/>
  <c r="I628"/>
  <c r="G628"/>
  <c r="E628"/>
  <c r="B628"/>
  <c r="C628"/>
  <c r="A628"/>
  <c r="R627"/>
  <c r="S627"/>
  <c r="Q627"/>
  <c r="O627"/>
  <c r="M627"/>
  <c r="K627"/>
  <c r="I627"/>
  <c r="G627"/>
  <c r="E627"/>
  <c r="B627"/>
  <c r="C627"/>
  <c r="A627"/>
  <c r="R626"/>
  <c r="S626"/>
  <c r="Q626"/>
  <c r="O626"/>
  <c r="M626"/>
  <c r="K626"/>
  <c r="I626"/>
  <c r="G626"/>
  <c r="E626"/>
  <c r="B626"/>
  <c r="C626"/>
  <c r="A626"/>
  <c r="R625"/>
  <c r="S625"/>
  <c r="Q625"/>
  <c r="O625"/>
  <c r="M625"/>
  <c r="K625"/>
  <c r="I625"/>
  <c r="G625"/>
  <c r="E625"/>
  <c r="B625"/>
  <c r="C625"/>
  <c r="A625"/>
  <c r="R624"/>
  <c r="S624"/>
  <c r="Q624"/>
  <c r="O624"/>
  <c r="M624"/>
  <c r="K624"/>
  <c r="I624"/>
  <c r="G624"/>
  <c r="E624"/>
  <c r="B624"/>
  <c r="C624"/>
  <c r="A624"/>
  <c r="R623"/>
  <c r="S623"/>
  <c r="Q623"/>
  <c r="O623"/>
  <c r="M623"/>
  <c r="K623"/>
  <c r="I623"/>
  <c r="G623"/>
  <c r="E623"/>
  <c r="B623"/>
  <c r="C623"/>
  <c r="A623"/>
  <c r="R622"/>
  <c r="S622"/>
  <c r="Q622"/>
  <c r="O622"/>
  <c r="M622"/>
  <c r="K622"/>
  <c r="I622"/>
  <c r="G622"/>
  <c r="E622"/>
  <c r="B622"/>
  <c r="C622"/>
  <c r="A622"/>
  <c r="R621"/>
  <c r="S621"/>
  <c r="Q621"/>
  <c r="O621"/>
  <c r="M621"/>
  <c r="K621"/>
  <c r="I621"/>
  <c r="G621"/>
  <c r="E621"/>
  <c r="B621"/>
  <c r="C621"/>
  <c r="A621"/>
  <c r="R620"/>
  <c r="S620"/>
  <c r="Q620"/>
  <c r="O620"/>
  <c r="M620"/>
  <c r="K620"/>
  <c r="I620"/>
  <c r="G620"/>
  <c r="E620"/>
  <c r="B620"/>
  <c r="C620"/>
  <c r="A620"/>
  <c r="R619"/>
  <c r="S619"/>
  <c r="Q619"/>
  <c r="O619"/>
  <c r="M619"/>
  <c r="K619"/>
  <c r="I619"/>
  <c r="G619"/>
  <c r="E619"/>
  <c r="B619"/>
  <c r="C619"/>
  <c r="A619"/>
  <c r="R618"/>
  <c r="S618"/>
  <c r="Q618"/>
  <c r="O618"/>
  <c r="M618"/>
  <c r="K618"/>
  <c r="I618"/>
  <c r="G618"/>
  <c r="E618"/>
  <c r="B618"/>
  <c r="C618"/>
  <c r="A618"/>
  <c r="R617"/>
  <c r="S617"/>
  <c r="Q617"/>
  <c r="O617"/>
  <c r="M617"/>
  <c r="K617"/>
  <c r="I617"/>
  <c r="G617"/>
  <c r="E617"/>
  <c r="B617"/>
  <c r="C617"/>
  <c r="A617"/>
  <c r="R616"/>
  <c r="S616"/>
  <c r="Q616"/>
  <c r="O616"/>
  <c r="M616"/>
  <c r="K616"/>
  <c r="I616"/>
  <c r="G616"/>
  <c r="E616"/>
  <c r="B616"/>
  <c r="C616"/>
  <c r="A616"/>
  <c r="R615"/>
  <c r="S615"/>
  <c r="Q615"/>
  <c r="O615"/>
  <c r="M615"/>
  <c r="K615"/>
  <c r="I615"/>
  <c r="G615"/>
  <c r="E615"/>
  <c r="B615"/>
  <c r="C615"/>
  <c r="A615"/>
  <c r="R614"/>
  <c r="S614"/>
  <c r="Q614"/>
  <c r="O614"/>
  <c r="M614"/>
  <c r="K614"/>
  <c r="I614"/>
  <c r="G614"/>
  <c r="E614"/>
  <c r="B614"/>
  <c r="C614"/>
  <c r="A614"/>
  <c r="R613"/>
  <c r="S613"/>
  <c r="Q613"/>
  <c r="O613"/>
  <c r="M613"/>
  <c r="K613"/>
  <c r="I613"/>
  <c r="G613"/>
  <c r="E613"/>
  <c r="B613"/>
  <c r="C613"/>
  <c r="A613"/>
  <c r="R612"/>
  <c r="S612"/>
  <c r="Q612"/>
  <c r="O612"/>
  <c r="M612"/>
  <c r="K612"/>
  <c r="I612"/>
  <c r="G612"/>
  <c r="E612"/>
  <c r="B612"/>
  <c r="C612"/>
  <c r="A612"/>
  <c r="R611"/>
  <c r="S611"/>
  <c r="Q611"/>
  <c r="O611"/>
  <c r="M611"/>
  <c r="K611"/>
  <c r="I611"/>
  <c r="G611"/>
  <c r="E611"/>
  <c r="B611"/>
  <c r="C611"/>
  <c r="A611"/>
  <c r="R610"/>
  <c r="S610"/>
  <c r="Q610"/>
  <c r="O610"/>
  <c r="M610"/>
  <c r="K610"/>
  <c r="I610"/>
  <c r="G610"/>
  <c r="E610"/>
  <c r="B610"/>
  <c r="C610"/>
  <c r="A610"/>
  <c r="R609"/>
  <c r="S609"/>
  <c r="Q609"/>
  <c r="O609"/>
  <c r="M609"/>
  <c r="K609"/>
  <c r="I609"/>
  <c r="G609"/>
  <c r="E609"/>
  <c r="B609"/>
  <c r="C609"/>
  <c r="A609"/>
  <c r="R608"/>
  <c r="S608"/>
  <c r="Q608"/>
  <c r="O608"/>
  <c r="M608"/>
  <c r="K608"/>
  <c r="I608"/>
  <c r="G608"/>
  <c r="E608"/>
  <c r="B608"/>
  <c r="C608"/>
  <c r="A608"/>
  <c r="R607"/>
  <c r="S607"/>
  <c r="Q607"/>
  <c r="O607"/>
  <c r="M607"/>
  <c r="K607"/>
  <c r="I607"/>
  <c r="G607"/>
  <c r="E607"/>
  <c r="B607"/>
  <c r="C607"/>
  <c r="A607"/>
  <c r="R606"/>
  <c r="S606"/>
  <c r="Q606"/>
  <c r="O606"/>
  <c r="M606"/>
  <c r="K606"/>
  <c r="I606"/>
  <c r="G606"/>
  <c r="E606"/>
  <c r="B606"/>
  <c r="C606"/>
  <c r="A606"/>
  <c r="R605"/>
  <c r="S605"/>
  <c r="Q605"/>
  <c r="O605"/>
  <c r="M605"/>
  <c r="K605"/>
  <c r="I605"/>
  <c r="G605"/>
  <c r="E605"/>
  <c r="B605"/>
  <c r="C605"/>
  <c r="A605"/>
  <c r="R604"/>
  <c r="S604"/>
  <c r="Q604"/>
  <c r="O604"/>
  <c r="M604"/>
  <c r="K604"/>
  <c r="I604"/>
  <c r="G604"/>
  <c r="E604"/>
  <c r="B604"/>
  <c r="C604"/>
  <c r="A604"/>
  <c r="R603"/>
  <c r="S603"/>
  <c r="Q603"/>
  <c r="O603"/>
  <c r="M603"/>
  <c r="K603"/>
  <c r="I603"/>
  <c r="G603"/>
  <c r="E603"/>
  <c r="B603"/>
  <c r="C603"/>
  <c r="A603"/>
  <c r="R602"/>
  <c r="S602"/>
  <c r="Q602"/>
  <c r="O602"/>
  <c r="M602"/>
  <c r="K602"/>
  <c r="I602"/>
  <c r="G602"/>
  <c r="E602"/>
  <c r="B602"/>
  <c r="C602"/>
  <c r="A602"/>
  <c r="R601"/>
  <c r="S601"/>
  <c r="Q601"/>
  <c r="O601"/>
  <c r="M601"/>
  <c r="K601"/>
  <c r="I601"/>
  <c r="G601"/>
  <c r="E601"/>
  <c r="B601"/>
  <c r="C601"/>
  <c r="A601"/>
  <c r="R600"/>
  <c r="S600"/>
  <c r="Q600"/>
  <c r="O600"/>
  <c r="M600"/>
  <c r="K600"/>
  <c r="I600"/>
  <c r="G600"/>
  <c r="E600"/>
  <c r="B600"/>
  <c r="C600"/>
  <c r="A600"/>
  <c r="R599"/>
  <c r="S599"/>
  <c r="Q599"/>
  <c r="O599"/>
  <c r="M599"/>
  <c r="K599"/>
  <c r="I599"/>
  <c r="G599"/>
  <c r="E599"/>
  <c r="B599"/>
  <c r="C599"/>
  <c r="A599"/>
  <c r="R598"/>
  <c r="S598"/>
  <c r="Q598"/>
  <c r="O598"/>
  <c r="M598"/>
  <c r="K598"/>
  <c r="I598"/>
  <c r="G598"/>
  <c r="E598"/>
  <c r="B598"/>
  <c r="C598"/>
  <c r="A598"/>
  <c r="R597"/>
  <c r="S597"/>
  <c r="Q597"/>
  <c r="O597"/>
  <c r="M597"/>
  <c r="K597"/>
  <c r="I597"/>
  <c r="G597"/>
  <c r="E597"/>
  <c r="B597"/>
  <c r="C597"/>
  <c r="A597"/>
  <c r="R596"/>
  <c r="S596"/>
  <c r="Q596"/>
  <c r="O596"/>
  <c r="M596"/>
  <c r="K596"/>
  <c r="I596"/>
  <c r="G596"/>
  <c r="E596"/>
  <c r="B596"/>
  <c r="C596"/>
  <c r="A596"/>
  <c r="R595"/>
  <c r="S595"/>
  <c r="Q595"/>
  <c r="O595"/>
  <c r="M595"/>
  <c r="K595"/>
  <c r="I595"/>
  <c r="G595"/>
  <c r="E595"/>
  <c r="B595"/>
  <c r="C595"/>
  <c r="A595"/>
  <c r="R594"/>
  <c r="S594"/>
  <c r="Q594"/>
  <c r="O594"/>
  <c r="M594"/>
  <c r="K594"/>
  <c r="I594"/>
  <c r="G594"/>
  <c r="E594"/>
  <c r="B594"/>
  <c r="C594"/>
  <c r="A594"/>
  <c r="R593"/>
  <c r="S593"/>
  <c r="Q593"/>
  <c r="O593"/>
  <c r="M593"/>
  <c r="K593"/>
  <c r="I593"/>
  <c r="G593"/>
  <c r="E593"/>
  <c r="B593"/>
  <c r="C593"/>
  <c r="A593"/>
  <c r="R592"/>
  <c r="S592"/>
  <c r="Q592"/>
  <c r="O592"/>
  <c r="M592"/>
  <c r="K592"/>
  <c r="I592"/>
  <c r="G592"/>
  <c r="E592"/>
  <c r="B592"/>
  <c r="C592"/>
  <c r="A592"/>
  <c r="R591"/>
  <c r="S591"/>
  <c r="Q591"/>
  <c r="O591"/>
  <c r="M591"/>
  <c r="K591"/>
  <c r="I591"/>
  <c r="G591"/>
  <c r="E591"/>
  <c r="B591"/>
  <c r="C591"/>
  <c r="A591"/>
  <c r="R590"/>
  <c r="S590"/>
  <c r="Q590"/>
  <c r="O590"/>
  <c r="M590"/>
  <c r="K590"/>
  <c r="I590"/>
  <c r="G590"/>
  <c r="E590"/>
  <c r="B590"/>
  <c r="C590"/>
  <c r="A590"/>
  <c r="R589"/>
  <c r="S589"/>
  <c r="Q589"/>
  <c r="O589"/>
  <c r="M589"/>
  <c r="K589"/>
  <c r="I589"/>
  <c r="G589"/>
  <c r="E589"/>
  <c r="B589"/>
  <c r="C589"/>
  <c r="A589"/>
  <c r="R588"/>
  <c r="S588"/>
  <c r="Q588"/>
  <c r="O588"/>
  <c r="M588"/>
  <c r="K588"/>
  <c r="I588"/>
  <c r="G588"/>
  <c r="E588"/>
  <c r="B588"/>
  <c r="C588"/>
  <c r="A588"/>
  <c r="R587"/>
  <c r="S587"/>
  <c r="Q587"/>
  <c r="O587"/>
  <c r="M587"/>
  <c r="K587"/>
  <c r="I587"/>
  <c r="G587"/>
  <c r="E587"/>
  <c r="B587"/>
  <c r="C587"/>
  <c r="A587"/>
  <c r="R586"/>
  <c r="S586"/>
  <c r="Q586"/>
  <c r="O586"/>
  <c r="M586"/>
  <c r="K586"/>
  <c r="I586"/>
  <c r="G586"/>
  <c r="E586"/>
  <c r="B586"/>
  <c r="C586"/>
  <c r="A586"/>
  <c r="R585"/>
  <c r="S585"/>
  <c r="Q585"/>
  <c r="O585"/>
  <c r="M585"/>
  <c r="K585"/>
  <c r="I585"/>
  <c r="G585"/>
  <c r="E585"/>
  <c r="B585"/>
  <c r="C585"/>
  <c r="A585"/>
  <c r="R584"/>
  <c r="S584"/>
  <c r="Q584"/>
  <c r="O584"/>
  <c r="M584"/>
  <c r="K584"/>
  <c r="I584"/>
  <c r="G584"/>
  <c r="E584"/>
  <c r="B584"/>
  <c r="C584"/>
  <c r="A584"/>
  <c r="R583"/>
  <c r="S583"/>
  <c r="Q583"/>
  <c r="O583"/>
  <c r="M583"/>
  <c r="K583"/>
  <c r="I583"/>
  <c r="G583"/>
  <c r="E583"/>
  <c r="B583"/>
  <c r="C583"/>
  <c r="A583"/>
  <c r="R582"/>
  <c r="S582"/>
  <c r="Q582"/>
  <c r="O582"/>
  <c r="M582"/>
  <c r="K582"/>
  <c r="I582"/>
  <c r="G582"/>
  <c r="E582"/>
  <c r="B582"/>
  <c r="C582"/>
  <c r="A582"/>
  <c r="R581"/>
  <c r="S581"/>
  <c r="Q581"/>
  <c r="O581"/>
  <c r="M581"/>
  <c r="K581"/>
  <c r="I581"/>
  <c r="G581"/>
  <c r="E581"/>
  <c r="B581"/>
  <c r="C581"/>
  <c r="A581"/>
  <c r="R580"/>
  <c r="S580"/>
  <c r="Q580"/>
  <c r="O580"/>
  <c r="M580"/>
  <c r="K580"/>
  <c r="I580"/>
  <c r="G580"/>
  <c r="E580"/>
  <c r="B580"/>
  <c r="C580"/>
  <c r="A580"/>
  <c r="R579"/>
  <c r="S579"/>
  <c r="Q579"/>
  <c r="O579"/>
  <c r="M579"/>
  <c r="K579"/>
  <c r="I579"/>
  <c r="G579"/>
  <c r="E579"/>
  <c r="B579"/>
  <c r="C579"/>
  <c r="A579"/>
  <c r="R578"/>
  <c r="S578"/>
  <c r="Q578"/>
  <c r="O578"/>
  <c r="M578"/>
  <c r="K578"/>
  <c r="I578"/>
  <c r="G578"/>
  <c r="E578"/>
  <c r="B578"/>
  <c r="C578"/>
  <c r="A578"/>
  <c r="R577"/>
  <c r="S577"/>
  <c r="Q577"/>
  <c r="O577"/>
  <c r="M577"/>
  <c r="K577"/>
  <c r="I577"/>
  <c r="G577"/>
  <c r="E577"/>
  <c r="B577"/>
  <c r="C577"/>
  <c r="A577"/>
  <c r="R576"/>
  <c r="S576"/>
  <c r="Q576"/>
  <c r="O576"/>
  <c r="M576"/>
  <c r="K576"/>
  <c r="I576"/>
  <c r="G576"/>
  <c r="E576"/>
  <c r="B576"/>
  <c r="C576"/>
  <c r="A576"/>
  <c r="R575"/>
  <c r="S575"/>
  <c r="Q575"/>
  <c r="O575"/>
  <c r="M575"/>
  <c r="K575"/>
  <c r="I575"/>
  <c r="G575"/>
  <c r="E575"/>
  <c r="B575"/>
  <c r="C575"/>
  <c r="A575"/>
  <c r="R574"/>
  <c r="S574"/>
  <c r="Q574"/>
  <c r="O574"/>
  <c r="M574"/>
  <c r="K574"/>
  <c r="I574"/>
  <c r="G574"/>
  <c r="E574"/>
  <c r="B574"/>
  <c r="C574"/>
  <c r="A574"/>
  <c r="R573"/>
  <c r="S573"/>
  <c r="Q573"/>
  <c r="O573"/>
  <c r="M573"/>
  <c r="K573"/>
  <c r="I573"/>
  <c r="G573"/>
  <c r="E573"/>
  <c r="B573"/>
  <c r="C573"/>
  <c r="A573"/>
  <c r="R572"/>
  <c r="S572"/>
  <c r="Q572"/>
  <c r="O572"/>
  <c r="M572"/>
  <c r="K572"/>
  <c r="I572"/>
  <c r="G572"/>
  <c r="E572"/>
  <c r="B572"/>
  <c r="C572"/>
  <c r="A572"/>
  <c r="R571"/>
  <c r="S571"/>
  <c r="Q571"/>
  <c r="O571"/>
  <c r="M571"/>
  <c r="K571"/>
  <c r="I571"/>
  <c r="G571"/>
  <c r="E571"/>
  <c r="B571"/>
  <c r="C571"/>
  <c r="A571"/>
  <c r="R570"/>
  <c r="S570"/>
  <c r="Q570"/>
  <c r="O570"/>
  <c r="M570"/>
  <c r="K570"/>
  <c r="I570"/>
  <c r="G570"/>
  <c r="E570"/>
  <c r="B570"/>
  <c r="C570"/>
  <c r="A570"/>
  <c r="R569"/>
  <c r="S569"/>
  <c r="Q569"/>
  <c r="O569"/>
  <c r="M569"/>
  <c r="K569"/>
  <c r="I569"/>
  <c r="G569"/>
  <c r="E569"/>
  <c r="B569"/>
  <c r="C569"/>
  <c r="A569"/>
  <c r="R568"/>
  <c r="S568"/>
  <c r="Q568"/>
  <c r="O568"/>
  <c r="M568"/>
  <c r="K568"/>
  <c r="I568"/>
  <c r="G568"/>
  <c r="E568"/>
  <c r="B568"/>
  <c r="C568"/>
  <c r="A568"/>
  <c r="R567"/>
  <c r="S567"/>
  <c r="Q567"/>
  <c r="O567"/>
  <c r="M567"/>
  <c r="K567"/>
  <c r="I567"/>
  <c r="G567"/>
  <c r="E567"/>
  <c r="B567"/>
  <c r="C567"/>
  <c r="A567"/>
  <c r="R566"/>
  <c r="S566"/>
  <c r="Q566"/>
  <c r="O566"/>
  <c r="M566"/>
  <c r="K566"/>
  <c r="I566"/>
  <c r="G566"/>
  <c r="E566"/>
  <c r="B566"/>
  <c r="C566"/>
  <c r="A566"/>
  <c r="R565"/>
  <c r="S565"/>
  <c r="Q565"/>
  <c r="O565"/>
  <c r="M565"/>
  <c r="K565"/>
  <c r="I565"/>
  <c r="G565"/>
  <c r="E565"/>
  <c r="B565"/>
  <c r="C565"/>
  <c r="A565"/>
  <c r="R564"/>
  <c r="S564"/>
  <c r="Q564"/>
  <c r="O564"/>
  <c r="M564"/>
  <c r="K564"/>
  <c r="I564"/>
  <c r="G564"/>
  <c r="E564"/>
  <c r="B564"/>
  <c r="C564"/>
  <c r="A564"/>
  <c r="R563"/>
  <c r="S563"/>
  <c r="Q563"/>
  <c r="O563"/>
  <c r="M563"/>
  <c r="K563"/>
  <c r="I563"/>
  <c r="G563"/>
  <c r="E563"/>
  <c r="B563"/>
  <c r="C563"/>
  <c r="A563"/>
  <c r="R562"/>
  <c r="S562"/>
  <c r="Q562"/>
  <c r="O562"/>
  <c r="M562"/>
  <c r="K562"/>
  <c r="I562"/>
  <c r="G562"/>
  <c r="E562"/>
  <c r="B562"/>
  <c r="C562"/>
  <c r="A562"/>
  <c r="R561"/>
  <c r="S561"/>
  <c r="Q561"/>
  <c r="O561"/>
  <c r="M561"/>
  <c r="K561"/>
  <c r="I561"/>
  <c r="G561"/>
  <c r="E561"/>
  <c r="B561"/>
  <c r="C561"/>
  <c r="A561"/>
  <c r="R560"/>
  <c r="S560"/>
  <c r="Q560"/>
  <c r="O560"/>
  <c r="M560"/>
  <c r="K560"/>
  <c r="I560"/>
  <c r="G560"/>
  <c r="E560"/>
  <c r="B560"/>
  <c r="C560"/>
  <c r="A560"/>
  <c r="R559"/>
  <c r="S559"/>
  <c r="Q559"/>
  <c r="O559"/>
  <c r="M559"/>
  <c r="K559"/>
  <c r="I559"/>
  <c r="G559"/>
  <c r="E559"/>
  <c r="B559"/>
  <c r="C559"/>
  <c r="A559"/>
  <c r="R558"/>
  <c r="S558"/>
  <c r="Q558"/>
  <c r="O558"/>
  <c r="M558"/>
  <c r="K558"/>
  <c r="I558"/>
  <c r="G558"/>
  <c r="E558"/>
  <c r="B558"/>
  <c r="C558"/>
  <c r="A558"/>
  <c r="R557"/>
  <c r="S557"/>
  <c r="Q557"/>
  <c r="O557"/>
  <c r="M557"/>
  <c r="K557"/>
  <c r="I557"/>
  <c r="G557"/>
  <c r="E557"/>
  <c r="B557"/>
  <c r="C557"/>
  <c r="A557"/>
  <c r="R556"/>
  <c r="S556"/>
  <c r="Q556"/>
  <c r="O556"/>
  <c r="M556"/>
  <c r="K556"/>
  <c r="I556"/>
  <c r="G556"/>
  <c r="E556"/>
  <c r="B556"/>
  <c r="C556"/>
  <c r="A556"/>
  <c r="R555"/>
  <c r="S555"/>
  <c r="Q555"/>
  <c r="O555"/>
  <c r="M555"/>
  <c r="K555"/>
  <c r="I555"/>
  <c r="G555"/>
  <c r="E555"/>
  <c r="B555"/>
  <c r="C555"/>
  <c r="A555"/>
  <c r="R554"/>
  <c r="S554"/>
  <c r="Q554"/>
  <c r="O554"/>
  <c r="M554"/>
  <c r="K554"/>
  <c r="I554"/>
  <c r="G554"/>
  <c r="E554"/>
  <c r="B554"/>
  <c r="C554"/>
  <c r="A554"/>
  <c r="R553"/>
  <c r="S553"/>
  <c r="Q553"/>
  <c r="O553"/>
  <c r="M553"/>
  <c r="K553"/>
  <c r="I553"/>
  <c r="G553"/>
  <c r="E553"/>
  <c r="B553"/>
  <c r="C553"/>
  <c r="A553"/>
  <c r="R552"/>
  <c r="S552"/>
  <c r="Q552"/>
  <c r="O552"/>
  <c r="M552"/>
  <c r="K552"/>
  <c r="I552"/>
  <c r="G552"/>
  <c r="E552"/>
  <c r="B552"/>
  <c r="C552"/>
  <c r="A552"/>
  <c r="R551"/>
  <c r="S551"/>
  <c r="Q551"/>
  <c r="O551"/>
  <c r="M551"/>
  <c r="K551"/>
  <c r="I551"/>
  <c r="G551"/>
  <c r="E551"/>
  <c r="B551"/>
  <c r="C551"/>
  <c r="A551"/>
  <c r="R550"/>
  <c r="S550"/>
  <c r="Q550"/>
  <c r="O550"/>
  <c r="M550"/>
  <c r="K550"/>
  <c r="I550"/>
  <c r="G550"/>
  <c r="E550"/>
  <c r="B550"/>
  <c r="C550"/>
  <c r="A550"/>
  <c r="R549"/>
  <c r="S549"/>
  <c r="Q549"/>
  <c r="O549"/>
  <c r="M549"/>
  <c r="K549"/>
  <c r="I549"/>
  <c r="G549"/>
  <c r="E549"/>
  <c r="B549"/>
  <c r="C549"/>
  <c r="A549"/>
  <c r="R548"/>
  <c r="S548"/>
  <c r="Q548"/>
  <c r="O548"/>
  <c r="M548"/>
  <c r="K548"/>
  <c r="I548"/>
  <c r="G548"/>
  <c r="E548"/>
  <c r="B548"/>
  <c r="C548"/>
  <c r="A548"/>
  <c r="R547"/>
  <c r="S547"/>
  <c r="Q547"/>
  <c r="O547"/>
  <c r="M547"/>
  <c r="K547"/>
  <c r="I547"/>
  <c r="G547"/>
  <c r="E547"/>
  <c r="B547"/>
  <c r="C547"/>
  <c r="A547"/>
  <c r="R546"/>
  <c r="S546"/>
  <c r="Q546"/>
  <c r="O546"/>
  <c r="M546"/>
  <c r="K546"/>
  <c r="I546"/>
  <c r="G546"/>
  <c r="E546"/>
  <c r="B546"/>
  <c r="C546"/>
  <c r="A546"/>
  <c r="R545"/>
  <c r="S545"/>
  <c r="Q545"/>
  <c r="O545"/>
  <c r="M545"/>
  <c r="K545"/>
  <c r="I545"/>
  <c r="G545"/>
  <c r="E545"/>
  <c r="B545"/>
  <c r="C545"/>
  <c r="A545"/>
  <c r="R544"/>
  <c r="S544"/>
  <c r="Q544"/>
  <c r="O544"/>
  <c r="M544"/>
  <c r="K544"/>
  <c r="I544"/>
  <c r="G544"/>
  <c r="E544"/>
  <c r="B544"/>
  <c r="C544"/>
  <c r="A544"/>
  <c r="R543"/>
  <c r="S543"/>
  <c r="Q543"/>
  <c r="O543"/>
  <c r="M543"/>
  <c r="K543"/>
  <c r="I543"/>
  <c r="G543"/>
  <c r="E543"/>
  <c r="B543"/>
  <c r="C543"/>
  <c r="A543"/>
  <c r="R542"/>
  <c r="S542"/>
  <c r="Q542"/>
  <c r="O542"/>
  <c r="M542"/>
  <c r="K542"/>
  <c r="I542"/>
  <c r="G542"/>
  <c r="E542"/>
  <c r="B542"/>
  <c r="C542"/>
  <c r="A542"/>
  <c r="R541"/>
  <c r="S541"/>
  <c r="Q541"/>
  <c r="O541"/>
  <c r="M541"/>
  <c r="K541"/>
  <c r="I541"/>
  <c r="G541"/>
  <c r="E541"/>
  <c r="B541"/>
  <c r="C541"/>
  <c r="A541"/>
  <c r="R540"/>
  <c r="S540"/>
  <c r="Q540"/>
  <c r="O540"/>
  <c r="M540"/>
  <c r="K540"/>
  <c r="I540"/>
  <c r="G540"/>
  <c r="E540"/>
  <c r="B540"/>
  <c r="C540"/>
  <c r="A540"/>
  <c r="R539"/>
  <c r="S539"/>
  <c r="Q539"/>
  <c r="O539"/>
  <c r="M539"/>
  <c r="K539"/>
  <c r="I539"/>
  <c r="G539"/>
  <c r="E539"/>
  <c r="B539"/>
  <c r="C539"/>
  <c r="A539"/>
  <c r="R538"/>
  <c r="S538"/>
  <c r="Q538"/>
  <c r="O538"/>
  <c r="M538"/>
  <c r="K538"/>
  <c r="I538"/>
  <c r="G538"/>
  <c r="E538"/>
  <c r="B538"/>
  <c r="C538"/>
  <c r="A538"/>
  <c r="R537"/>
  <c r="S537"/>
  <c r="Q537"/>
  <c r="O537"/>
  <c r="M537"/>
  <c r="K537"/>
  <c r="I537"/>
  <c r="G537"/>
  <c r="E537"/>
  <c r="B537"/>
  <c r="C537"/>
  <c r="A537"/>
  <c r="R536"/>
  <c r="S536"/>
  <c r="Q536"/>
  <c r="O536"/>
  <c r="M536"/>
  <c r="K536"/>
  <c r="I536"/>
  <c r="G536"/>
  <c r="E536"/>
  <c r="B536"/>
  <c r="C536"/>
  <c r="A536"/>
  <c r="R535"/>
  <c r="S535"/>
  <c r="Q535"/>
  <c r="O535"/>
  <c r="M535"/>
  <c r="K535"/>
  <c r="I535"/>
  <c r="G535"/>
  <c r="E535"/>
  <c r="B535"/>
  <c r="C535"/>
  <c r="A535"/>
  <c r="R534"/>
  <c r="S534"/>
  <c r="Q534"/>
  <c r="O534"/>
  <c r="M534"/>
  <c r="K534"/>
  <c r="I534"/>
  <c r="G534"/>
  <c r="E534"/>
  <c r="B534"/>
  <c r="C534"/>
  <c r="A534"/>
  <c r="R533"/>
  <c r="S533"/>
  <c r="Q533"/>
  <c r="O533"/>
  <c r="M533"/>
  <c r="K533"/>
  <c r="I533"/>
  <c r="G533"/>
  <c r="E533"/>
  <c r="B533"/>
  <c r="C533"/>
  <c r="A533"/>
  <c r="R532"/>
  <c r="S532"/>
  <c r="Q532"/>
  <c r="O532"/>
  <c r="M532"/>
  <c r="K532"/>
  <c r="I532"/>
  <c r="G532"/>
  <c r="E532"/>
  <c r="B532"/>
  <c r="C532"/>
  <c r="A532"/>
  <c r="R531"/>
  <c r="S531"/>
  <c r="Q531"/>
  <c r="O531"/>
  <c r="M531"/>
  <c r="K531"/>
  <c r="I531"/>
  <c r="G531"/>
  <c r="E531"/>
  <c r="B531"/>
  <c r="C531"/>
  <c r="A531"/>
  <c r="R530"/>
  <c r="S530"/>
  <c r="Q530"/>
  <c r="O530"/>
  <c r="M530"/>
  <c r="K530"/>
  <c r="I530"/>
  <c r="G530"/>
  <c r="E530"/>
  <c r="B530"/>
  <c r="C530"/>
  <c r="A530"/>
  <c r="R529"/>
  <c r="S529"/>
  <c r="Q529"/>
  <c r="O529"/>
  <c r="M529"/>
  <c r="K529"/>
  <c r="I529"/>
  <c r="G529"/>
  <c r="E529"/>
  <c r="B529"/>
  <c r="C529"/>
  <c r="A529"/>
  <c r="R528"/>
  <c r="S528"/>
  <c r="Q528"/>
  <c r="O528"/>
  <c r="M528"/>
  <c r="K528"/>
  <c r="I528"/>
  <c r="G528"/>
  <c r="E528"/>
  <c r="B528"/>
  <c r="C528"/>
  <c r="A528"/>
  <c r="R527"/>
  <c r="S527"/>
  <c r="Q527"/>
  <c r="O527"/>
  <c r="M527"/>
  <c r="K527"/>
  <c r="I527"/>
  <c r="G527"/>
  <c r="E527"/>
  <c r="B527"/>
  <c r="C527"/>
  <c r="A527"/>
  <c r="R526"/>
  <c r="S526"/>
  <c r="Q526"/>
  <c r="O526"/>
  <c r="M526"/>
  <c r="K526"/>
  <c r="I526"/>
  <c r="G526"/>
  <c r="E526"/>
  <c r="B526"/>
  <c r="C526"/>
  <c r="A526"/>
  <c r="R525"/>
  <c r="S525"/>
  <c r="Q525"/>
  <c r="O525"/>
  <c r="M525"/>
  <c r="K525"/>
  <c r="I525"/>
  <c r="G525"/>
  <c r="E525"/>
  <c r="B525"/>
  <c r="C525"/>
  <c r="A525"/>
  <c r="R524"/>
  <c r="S524"/>
  <c r="Q524"/>
  <c r="O524"/>
  <c r="M524"/>
  <c r="K524"/>
  <c r="I524"/>
  <c r="G524"/>
  <c r="E524"/>
  <c r="B524"/>
  <c r="C524"/>
  <c r="A524"/>
  <c r="R523"/>
  <c r="S523"/>
  <c r="Q523"/>
  <c r="O523"/>
  <c r="M523"/>
  <c r="K523"/>
  <c r="I523"/>
  <c r="G523"/>
  <c r="E523"/>
  <c r="B523"/>
  <c r="C523"/>
  <c r="A523"/>
  <c r="R522"/>
  <c r="S522"/>
  <c r="Q522"/>
  <c r="O522"/>
  <c r="M522"/>
  <c r="K522"/>
  <c r="I522"/>
  <c r="G522"/>
  <c r="E522"/>
  <c r="B522"/>
  <c r="C522"/>
  <c r="A522"/>
  <c r="R521"/>
  <c r="S521"/>
  <c r="Q521"/>
  <c r="O521"/>
  <c r="M521"/>
  <c r="K521"/>
  <c r="I521"/>
  <c r="G521"/>
  <c r="E521"/>
  <c r="B521"/>
  <c r="C521"/>
  <c r="A521"/>
  <c r="R520"/>
  <c r="S520"/>
  <c r="Q520"/>
  <c r="O520"/>
  <c r="M520"/>
  <c r="K520"/>
  <c r="I520"/>
  <c r="G520"/>
  <c r="E520"/>
  <c r="B520"/>
  <c r="C520"/>
  <c r="A520"/>
  <c r="R519"/>
  <c r="S519"/>
  <c r="Q519"/>
  <c r="O519"/>
  <c r="M519"/>
  <c r="K519"/>
  <c r="I519"/>
  <c r="G519"/>
  <c r="E519"/>
  <c r="B519"/>
  <c r="C519"/>
  <c r="A519"/>
  <c r="R518"/>
  <c r="S518"/>
  <c r="Q518"/>
  <c r="O518"/>
  <c r="M518"/>
  <c r="K518"/>
  <c r="I518"/>
  <c r="G518"/>
  <c r="E518"/>
  <c r="B518"/>
  <c r="C518"/>
  <c r="A518"/>
  <c r="R517"/>
  <c r="S517"/>
  <c r="Q517"/>
  <c r="O517"/>
  <c r="M517"/>
  <c r="K517"/>
  <c r="I517"/>
  <c r="G517"/>
  <c r="E517"/>
  <c r="B517"/>
  <c r="C517"/>
  <c r="A517"/>
  <c r="R516"/>
  <c r="S516"/>
  <c r="Q516"/>
  <c r="O516"/>
  <c r="M516"/>
  <c r="K516"/>
  <c r="I516"/>
  <c r="G516"/>
  <c r="E516"/>
  <c r="B516"/>
  <c r="C516"/>
  <c r="A516"/>
  <c r="R515"/>
  <c r="S515"/>
  <c r="Q515"/>
  <c r="O515"/>
  <c r="M515"/>
  <c r="K515"/>
  <c r="I515"/>
  <c r="G515"/>
  <c r="E515"/>
  <c r="B515"/>
  <c r="C515"/>
  <c r="A515"/>
  <c r="R514"/>
  <c r="S514"/>
  <c r="Q514"/>
  <c r="O514"/>
  <c r="M514"/>
  <c r="K514"/>
  <c r="I514"/>
  <c r="G514"/>
  <c r="E514"/>
  <c r="B514"/>
  <c r="C514"/>
  <c r="A514"/>
  <c r="R513"/>
  <c r="S513"/>
  <c r="Q513"/>
  <c r="O513"/>
  <c r="M513"/>
  <c r="K513"/>
  <c r="I513"/>
  <c r="G513"/>
  <c r="E513"/>
  <c r="B513"/>
  <c r="C513"/>
  <c r="A513"/>
  <c r="R512"/>
  <c r="S512"/>
  <c r="Q512"/>
  <c r="O512"/>
  <c r="M512"/>
  <c r="K512"/>
  <c r="I512"/>
  <c r="G512"/>
  <c r="E512"/>
  <c r="B512"/>
  <c r="C512"/>
  <c r="A512"/>
  <c r="R511"/>
  <c r="S511"/>
  <c r="Q511"/>
  <c r="O511"/>
  <c r="M511"/>
  <c r="K511"/>
  <c r="I511"/>
  <c r="G511"/>
  <c r="E511"/>
  <c r="B511"/>
  <c r="C511"/>
  <c r="A511"/>
  <c r="R510"/>
  <c r="S510"/>
  <c r="Q510"/>
  <c r="O510"/>
  <c r="M510"/>
  <c r="K510"/>
  <c r="I510"/>
  <c r="G510"/>
  <c r="E510"/>
  <c r="B510"/>
  <c r="C510"/>
  <c r="A510"/>
  <c r="R509"/>
  <c r="S509"/>
  <c r="Q509"/>
  <c r="O509"/>
  <c r="M509"/>
  <c r="K509"/>
  <c r="I509"/>
  <c r="G509"/>
  <c r="E509"/>
  <c r="B509"/>
  <c r="C509"/>
  <c r="A509"/>
  <c r="R508"/>
  <c r="S508"/>
  <c r="Q508"/>
  <c r="O508"/>
  <c r="M508"/>
  <c r="K508"/>
  <c r="I508"/>
  <c r="G508"/>
  <c r="E508"/>
  <c r="B508"/>
  <c r="C508"/>
  <c r="A508"/>
  <c r="R507"/>
  <c r="S507"/>
  <c r="Q507"/>
  <c r="O507"/>
  <c r="M507"/>
  <c r="K507"/>
  <c r="I507"/>
  <c r="G507"/>
  <c r="E507"/>
  <c r="B507"/>
  <c r="C507"/>
  <c r="A507"/>
  <c r="R506"/>
  <c r="S506"/>
  <c r="Q506"/>
  <c r="O506"/>
  <c r="M506"/>
  <c r="K506"/>
  <c r="I506"/>
  <c r="G506"/>
  <c r="E506"/>
  <c r="B506"/>
  <c r="C506"/>
  <c r="A506"/>
  <c r="R505"/>
  <c r="S505"/>
  <c r="Q505"/>
  <c r="O505"/>
  <c r="M505"/>
  <c r="K505"/>
  <c r="I505"/>
  <c r="G505"/>
  <c r="E505"/>
  <c r="B505"/>
  <c r="C505"/>
  <c r="A505"/>
  <c r="R504"/>
  <c r="S504"/>
  <c r="Q504"/>
  <c r="O504"/>
  <c r="M504"/>
  <c r="K504"/>
  <c r="I504"/>
  <c r="G504"/>
  <c r="E504"/>
  <c r="B504"/>
  <c r="C504"/>
  <c r="A504"/>
  <c r="R503"/>
  <c r="S503"/>
  <c r="Q503"/>
  <c r="O503"/>
  <c r="M503"/>
  <c r="K503"/>
  <c r="I503"/>
  <c r="G503"/>
  <c r="E503"/>
  <c r="B503"/>
  <c r="C503"/>
  <c r="A503"/>
  <c r="R502"/>
  <c r="S502"/>
  <c r="Q502"/>
  <c r="O502"/>
  <c r="M502"/>
  <c r="K502"/>
  <c r="I502"/>
  <c r="G502"/>
  <c r="E502"/>
  <c r="B502"/>
  <c r="C502"/>
  <c r="A502"/>
  <c r="R501"/>
  <c r="S501"/>
  <c r="Q501"/>
  <c r="O501"/>
  <c r="M501"/>
  <c r="K501"/>
  <c r="I501"/>
  <c r="G501"/>
  <c r="E501"/>
  <c r="B501"/>
  <c r="C501"/>
  <c r="A501"/>
  <c r="R500"/>
  <c r="S500"/>
  <c r="Q500"/>
  <c r="O500"/>
  <c r="M500"/>
  <c r="K500"/>
  <c r="I500"/>
  <c r="G500"/>
  <c r="E500"/>
  <c r="B500"/>
  <c r="C500"/>
  <c r="A500"/>
  <c r="R499"/>
  <c r="S499"/>
  <c r="Q499"/>
  <c r="O499"/>
  <c r="M499"/>
  <c r="K499"/>
  <c r="I499"/>
  <c r="G499"/>
  <c r="E499"/>
  <c r="B499"/>
  <c r="C499"/>
  <c r="A499"/>
  <c r="R498"/>
  <c r="S498"/>
  <c r="Q498"/>
  <c r="O498"/>
  <c r="M498"/>
  <c r="K498"/>
  <c r="I498"/>
  <c r="G498"/>
  <c r="E498"/>
  <c r="B498"/>
  <c r="C498"/>
  <c r="A498"/>
  <c r="R497"/>
  <c r="S497"/>
  <c r="Q497"/>
  <c r="O497"/>
  <c r="M497"/>
  <c r="K497"/>
  <c r="I497"/>
  <c r="G497"/>
  <c r="E497"/>
  <c r="B497"/>
  <c r="C497"/>
  <c r="A497"/>
  <c r="R496"/>
  <c r="S496"/>
  <c r="Q496"/>
  <c r="O496"/>
  <c r="M496"/>
  <c r="K496"/>
  <c r="I496"/>
  <c r="G496"/>
  <c r="E496"/>
  <c r="B496"/>
  <c r="C496"/>
  <c r="A496"/>
  <c r="R495"/>
  <c r="S495"/>
  <c r="Q495"/>
  <c r="O495"/>
  <c r="M495"/>
  <c r="K495"/>
  <c r="I495"/>
  <c r="G495"/>
  <c r="E495"/>
  <c r="B495"/>
  <c r="C495"/>
  <c r="A495"/>
  <c r="R494"/>
  <c r="S494"/>
  <c r="Q494"/>
  <c r="O494"/>
  <c r="M494"/>
  <c r="K494"/>
  <c r="I494"/>
  <c r="G494"/>
  <c r="E494"/>
  <c r="B494"/>
  <c r="C494"/>
  <c r="A494"/>
  <c r="R493"/>
  <c r="S493"/>
  <c r="Q493"/>
  <c r="O493"/>
  <c r="M493"/>
  <c r="K493"/>
  <c r="I493"/>
  <c r="G493"/>
  <c r="E493"/>
  <c r="B493"/>
  <c r="C493"/>
  <c r="A493"/>
  <c r="R492"/>
  <c r="S492"/>
  <c r="Q492"/>
  <c r="O492"/>
  <c r="M492"/>
  <c r="K492"/>
  <c r="I492"/>
  <c r="G492"/>
  <c r="E492"/>
  <c r="B492"/>
  <c r="C492"/>
  <c r="A492"/>
  <c r="R491"/>
  <c r="S491"/>
  <c r="Q491"/>
  <c r="O491"/>
  <c r="M491"/>
  <c r="K491"/>
  <c r="I491"/>
  <c r="G491"/>
  <c r="E491"/>
  <c r="B491"/>
  <c r="C491"/>
  <c r="A491"/>
  <c r="R490"/>
  <c r="S490"/>
  <c r="Q490"/>
  <c r="O490"/>
  <c r="M490"/>
  <c r="K490"/>
  <c r="I490"/>
  <c r="G490"/>
  <c r="E490"/>
  <c r="B490"/>
  <c r="C490"/>
  <c r="A490"/>
  <c r="R489"/>
  <c r="S489"/>
  <c r="Q489"/>
  <c r="O489"/>
  <c r="M489"/>
  <c r="K489"/>
  <c r="I489"/>
  <c r="G489"/>
  <c r="E489"/>
  <c r="B489"/>
  <c r="C489"/>
  <c r="A489"/>
  <c r="R488"/>
  <c r="S488"/>
  <c r="Q488"/>
  <c r="O488"/>
  <c r="M488"/>
  <c r="K488"/>
  <c r="I488"/>
  <c r="G488"/>
  <c r="E488"/>
  <c r="B488"/>
  <c r="C488"/>
  <c r="A488"/>
  <c r="R487"/>
  <c r="S487"/>
  <c r="Q487"/>
  <c r="O487"/>
  <c r="M487"/>
  <c r="K487"/>
  <c r="I487"/>
  <c r="G487"/>
  <c r="E487"/>
  <c r="B487"/>
  <c r="C487"/>
  <c r="A487"/>
  <c r="R486"/>
  <c r="S486"/>
  <c r="Q486"/>
  <c r="O486"/>
  <c r="M486"/>
  <c r="K486"/>
  <c r="I486"/>
  <c r="G486"/>
  <c r="E486"/>
  <c r="B486"/>
  <c r="C486"/>
  <c r="A486"/>
  <c r="R485"/>
  <c r="S485"/>
  <c r="Q485"/>
  <c r="O485"/>
  <c r="M485"/>
  <c r="K485"/>
  <c r="I485"/>
  <c r="G485"/>
  <c r="E485"/>
  <c r="B485"/>
  <c r="C485"/>
  <c r="A485"/>
  <c r="R484"/>
  <c r="S484"/>
  <c r="Q484"/>
  <c r="O484"/>
  <c r="M484"/>
  <c r="K484"/>
  <c r="I484"/>
  <c r="G484"/>
  <c r="E484"/>
  <c r="B484"/>
  <c r="C484"/>
  <c r="A484"/>
  <c r="R483"/>
  <c r="S483"/>
  <c r="Q483"/>
  <c r="O483"/>
  <c r="M483"/>
  <c r="K483"/>
  <c r="I483"/>
  <c r="G483"/>
  <c r="E483"/>
  <c r="B483"/>
  <c r="C483"/>
  <c r="A483"/>
  <c r="R482"/>
  <c r="S482"/>
  <c r="Q482"/>
  <c r="O482"/>
  <c r="M482"/>
  <c r="K482"/>
  <c r="I482"/>
  <c r="G482"/>
  <c r="E482"/>
  <c r="B482"/>
  <c r="C482"/>
  <c r="A482"/>
  <c r="R481"/>
  <c r="S481"/>
  <c r="Q481"/>
  <c r="O481"/>
  <c r="M481"/>
  <c r="K481"/>
  <c r="I481"/>
  <c r="G481"/>
  <c r="E481"/>
  <c r="B481"/>
  <c r="C481"/>
  <c r="A481"/>
  <c r="R480"/>
  <c r="S480"/>
  <c r="Q480"/>
  <c r="O480"/>
  <c r="M480"/>
  <c r="K480"/>
  <c r="I480"/>
  <c r="G480"/>
  <c r="E480"/>
  <c r="B480"/>
  <c r="C480"/>
  <c r="A480"/>
  <c r="R479"/>
  <c r="S479"/>
  <c r="Q479"/>
  <c r="O479"/>
  <c r="M479"/>
  <c r="K479"/>
  <c r="I479"/>
  <c r="G479"/>
  <c r="E479"/>
  <c r="B479"/>
  <c r="C479"/>
  <c r="A479"/>
  <c r="R478"/>
  <c r="S478"/>
  <c r="Q478"/>
  <c r="O478"/>
  <c r="M478"/>
  <c r="K478"/>
  <c r="I478"/>
  <c r="G478"/>
  <c r="E478"/>
  <c r="B478"/>
  <c r="C478"/>
  <c r="A478"/>
  <c r="R477"/>
  <c r="S477"/>
  <c r="Q477"/>
  <c r="O477"/>
  <c r="M477"/>
  <c r="K477"/>
  <c r="I477"/>
  <c r="G477"/>
  <c r="E477"/>
  <c r="B477"/>
  <c r="C477"/>
  <c r="A477"/>
  <c r="R476"/>
  <c r="S476"/>
  <c r="Q476"/>
  <c r="O476"/>
  <c r="M476"/>
  <c r="K476"/>
  <c r="I476"/>
  <c r="G476"/>
  <c r="E476"/>
  <c r="B476"/>
  <c r="C476"/>
  <c r="A476"/>
  <c r="R475"/>
  <c r="S475"/>
  <c r="Q475"/>
  <c r="O475"/>
  <c r="M475"/>
  <c r="K475"/>
  <c r="I475"/>
  <c r="G475"/>
  <c r="E475"/>
  <c r="B475"/>
  <c r="C475"/>
  <c r="A475"/>
  <c r="R474"/>
  <c r="S474"/>
  <c r="Q474"/>
  <c r="O474"/>
  <c r="M474"/>
  <c r="K474"/>
  <c r="I474"/>
  <c r="G474"/>
  <c r="E474"/>
  <c r="B474"/>
  <c r="C474"/>
  <c r="A474"/>
  <c r="R473"/>
  <c r="S473"/>
  <c r="Q473"/>
  <c r="O473"/>
  <c r="M473"/>
  <c r="K473"/>
  <c r="I473"/>
  <c r="G473"/>
  <c r="E473"/>
  <c r="B473"/>
  <c r="C473"/>
  <c r="A473"/>
  <c r="R472"/>
  <c r="S472"/>
  <c r="Q472"/>
  <c r="O472"/>
  <c r="M472"/>
  <c r="K472"/>
  <c r="I472"/>
  <c r="G472"/>
  <c r="E472"/>
  <c r="B472"/>
  <c r="C472"/>
  <c r="A472"/>
  <c r="R471"/>
  <c r="S471"/>
  <c r="Q471"/>
  <c r="O471"/>
  <c r="M471"/>
  <c r="K471"/>
  <c r="I471"/>
  <c r="G471"/>
  <c r="E471"/>
  <c r="B471"/>
  <c r="C471"/>
  <c r="A471"/>
  <c r="R470"/>
  <c r="S470"/>
  <c r="Q470"/>
  <c r="O470"/>
  <c r="M470"/>
  <c r="K470"/>
  <c r="I470"/>
  <c r="G470"/>
  <c r="E470"/>
  <c r="B470"/>
  <c r="C470"/>
  <c r="A470"/>
  <c r="R469"/>
  <c r="S469"/>
  <c r="Q469"/>
  <c r="O469"/>
  <c r="M469"/>
  <c r="K469"/>
  <c r="I469"/>
  <c r="G469"/>
  <c r="E469"/>
  <c r="B469"/>
  <c r="C469"/>
  <c r="A469"/>
  <c r="R468"/>
  <c r="S468"/>
  <c r="Q468"/>
  <c r="O468"/>
  <c r="M468"/>
  <c r="K468"/>
  <c r="I468"/>
  <c r="G468"/>
  <c r="E468"/>
  <c r="B468"/>
  <c r="C468"/>
  <c r="A468"/>
  <c r="R467"/>
  <c r="S467"/>
  <c r="Q467"/>
  <c r="O467"/>
  <c r="M467"/>
  <c r="K467"/>
  <c r="I467"/>
  <c r="G467"/>
  <c r="E467"/>
  <c r="B467"/>
  <c r="C467"/>
  <c r="A467"/>
  <c r="R466"/>
  <c r="S466"/>
  <c r="Q466"/>
  <c r="O466"/>
  <c r="M466"/>
  <c r="K466"/>
  <c r="I466"/>
  <c r="G466"/>
  <c r="E466"/>
  <c r="B466"/>
  <c r="C466"/>
  <c r="A466"/>
  <c r="R465"/>
  <c r="S465"/>
  <c r="Q465"/>
  <c r="O465"/>
  <c r="M465"/>
  <c r="K465"/>
  <c r="I465"/>
  <c r="G465"/>
  <c r="E465"/>
  <c r="B465"/>
  <c r="C465"/>
  <c r="A465"/>
  <c r="R464"/>
  <c r="S464"/>
  <c r="Q464"/>
  <c r="O464"/>
  <c r="M464"/>
  <c r="K464"/>
  <c r="I464"/>
  <c r="G464"/>
  <c r="E464"/>
  <c r="B464"/>
  <c r="C464"/>
  <c r="A464"/>
  <c r="R463"/>
  <c r="S463"/>
  <c r="Q463"/>
  <c r="O463"/>
  <c r="M463"/>
  <c r="K463"/>
  <c r="I463"/>
  <c r="G463"/>
  <c r="E463"/>
  <c r="B463"/>
  <c r="C463"/>
  <c r="A463"/>
  <c r="R462"/>
  <c r="S462"/>
  <c r="Q462"/>
  <c r="O462"/>
  <c r="M462"/>
  <c r="K462"/>
  <c r="I462"/>
  <c r="G462"/>
  <c r="E462"/>
  <c r="B462"/>
  <c r="C462"/>
  <c r="A462"/>
  <c r="R461"/>
  <c r="S461"/>
  <c r="Q461"/>
  <c r="O461"/>
  <c r="M461"/>
  <c r="K461"/>
  <c r="I461"/>
  <c r="G461"/>
  <c r="E461"/>
  <c r="B461"/>
  <c r="C461"/>
  <c r="A461"/>
  <c r="R460"/>
  <c r="S460"/>
  <c r="Q460"/>
  <c r="O460"/>
  <c r="M460"/>
  <c r="K460"/>
  <c r="I460"/>
  <c r="G460"/>
  <c r="E460"/>
  <c r="B460"/>
  <c r="C460"/>
  <c r="A460"/>
  <c r="R459"/>
  <c r="S459"/>
  <c r="Q459"/>
  <c r="O459"/>
  <c r="M459"/>
  <c r="K459"/>
  <c r="I459"/>
  <c r="G459"/>
  <c r="E459"/>
  <c r="B459"/>
  <c r="C459"/>
  <c r="A459"/>
  <c r="R458"/>
  <c r="S458"/>
  <c r="Q458"/>
  <c r="O458"/>
  <c r="M458"/>
  <c r="K458"/>
  <c r="I458"/>
  <c r="G458"/>
  <c r="E458"/>
  <c r="B458"/>
  <c r="C458"/>
  <c r="A458"/>
  <c r="R457"/>
  <c r="S457"/>
  <c r="Q457"/>
  <c r="O457"/>
  <c r="M457"/>
  <c r="K457"/>
  <c r="I457"/>
  <c r="G457"/>
  <c r="E457"/>
  <c r="B457"/>
  <c r="C457"/>
  <c r="A457"/>
  <c r="R456"/>
  <c r="S456"/>
  <c r="Q456"/>
  <c r="O456"/>
  <c r="M456"/>
  <c r="K456"/>
  <c r="I456"/>
  <c r="G456"/>
  <c r="E456"/>
  <c r="B456"/>
  <c r="C456"/>
  <c r="A456"/>
  <c r="R455"/>
  <c r="S455"/>
  <c r="Q455"/>
  <c r="O455"/>
  <c r="M455"/>
  <c r="K455"/>
  <c r="I455"/>
  <c r="G455"/>
  <c r="E455"/>
  <c r="B455"/>
  <c r="C455"/>
  <c r="A455"/>
  <c r="R454"/>
  <c r="S454"/>
  <c r="Q454"/>
  <c r="O454"/>
  <c r="M454"/>
  <c r="K454"/>
  <c r="I454"/>
  <c r="G454"/>
  <c r="E454"/>
  <c r="B454"/>
  <c r="C454"/>
  <c r="A454"/>
  <c r="R453"/>
  <c r="S453"/>
  <c r="Q453"/>
  <c r="O453"/>
  <c r="M453"/>
  <c r="K453"/>
  <c r="I453"/>
  <c r="G453"/>
  <c r="E453"/>
  <c r="B453"/>
  <c r="C453"/>
  <c r="A453"/>
  <c r="R452"/>
  <c r="S452"/>
  <c r="Q452"/>
  <c r="O452"/>
  <c r="M452"/>
  <c r="K452"/>
  <c r="I452"/>
  <c r="G452"/>
  <c r="E452"/>
  <c r="B452"/>
  <c r="C452"/>
  <c r="A452"/>
  <c r="R451"/>
  <c r="S451"/>
  <c r="Q451"/>
  <c r="O451"/>
  <c r="M451"/>
  <c r="K451"/>
  <c r="I451"/>
  <c r="G451"/>
  <c r="E451"/>
  <c r="B451"/>
  <c r="C451"/>
  <c r="A451"/>
  <c r="R450"/>
  <c r="S450"/>
  <c r="Q450"/>
  <c r="O450"/>
  <c r="M450"/>
  <c r="K450"/>
  <c r="I450"/>
  <c r="G450"/>
  <c r="E450"/>
  <c r="B450"/>
  <c r="C450"/>
  <c r="A450"/>
  <c r="R449"/>
  <c r="S449"/>
  <c r="Q449"/>
  <c r="O449"/>
  <c r="M449"/>
  <c r="K449"/>
  <c r="I449"/>
  <c r="G449"/>
  <c r="E449"/>
  <c r="B449"/>
  <c r="C449"/>
  <c r="A449"/>
  <c r="R448"/>
  <c r="S448"/>
  <c r="Q448"/>
  <c r="O448"/>
  <c r="M448"/>
  <c r="K448"/>
  <c r="I448"/>
  <c r="G448"/>
  <c r="E448"/>
  <c r="B448"/>
  <c r="C448"/>
  <c r="A448"/>
  <c r="R447"/>
  <c r="S447"/>
  <c r="Q447"/>
  <c r="O447"/>
  <c r="M447"/>
  <c r="K447"/>
  <c r="I447"/>
  <c r="G447"/>
  <c r="E447"/>
  <c r="B447"/>
  <c r="C447"/>
  <c r="A447"/>
  <c r="R446"/>
  <c r="S446"/>
  <c r="Q446"/>
  <c r="O446"/>
  <c r="M446"/>
  <c r="K446"/>
  <c r="I446"/>
  <c r="G446"/>
  <c r="E446"/>
  <c r="B446"/>
  <c r="C446"/>
  <c r="A446"/>
  <c r="R445"/>
  <c r="S445"/>
  <c r="Q445"/>
  <c r="O445"/>
  <c r="M445"/>
  <c r="K445"/>
  <c r="I445"/>
  <c r="G445"/>
  <c r="E445"/>
  <c r="B445"/>
  <c r="C445"/>
  <c r="A445"/>
  <c r="R444"/>
  <c r="S444"/>
  <c r="Q444"/>
  <c r="O444"/>
  <c r="M444"/>
  <c r="K444"/>
  <c r="I444"/>
  <c r="G444"/>
  <c r="E444"/>
  <c r="B444"/>
  <c r="C444"/>
  <c r="A444"/>
  <c r="R443"/>
  <c r="S443"/>
  <c r="Q443"/>
  <c r="O443"/>
  <c r="M443"/>
  <c r="K443"/>
  <c r="I443"/>
  <c r="G443"/>
  <c r="E443"/>
  <c r="B443"/>
  <c r="C443"/>
  <c r="A443"/>
  <c r="R442"/>
  <c r="S442"/>
  <c r="Q442"/>
  <c r="O442"/>
  <c r="M442"/>
  <c r="K442"/>
  <c r="I442"/>
  <c r="G442"/>
  <c r="E442"/>
  <c r="B442"/>
  <c r="C442"/>
  <c r="A442"/>
  <c r="R441"/>
  <c r="S441"/>
  <c r="Q441"/>
  <c r="O441"/>
  <c r="M441"/>
  <c r="K441"/>
  <c r="I441"/>
  <c r="G441"/>
  <c r="E441"/>
  <c r="B441"/>
  <c r="C441"/>
  <c r="A441"/>
  <c r="R440"/>
  <c r="S440"/>
  <c r="Q440"/>
  <c r="O440"/>
  <c r="M440"/>
  <c r="K440"/>
  <c r="I440"/>
  <c r="G440"/>
  <c r="E440"/>
  <c r="B440"/>
  <c r="C440"/>
  <c r="A440"/>
  <c r="R439"/>
  <c r="S439"/>
  <c r="Q439"/>
  <c r="O439"/>
  <c r="M439"/>
  <c r="K439"/>
  <c r="I439"/>
  <c r="G439"/>
  <c r="E439"/>
  <c r="B439"/>
  <c r="C439"/>
  <c r="A439"/>
  <c r="R438"/>
  <c r="S438"/>
  <c r="Q438"/>
  <c r="O438"/>
  <c r="M438"/>
  <c r="K438"/>
  <c r="I438"/>
  <c r="G438"/>
  <c r="E438"/>
  <c r="B438"/>
  <c r="C438"/>
  <c r="A438"/>
  <c r="R437"/>
  <c r="S437"/>
  <c r="Q437"/>
  <c r="O437"/>
  <c r="M437"/>
  <c r="K437"/>
  <c r="I437"/>
  <c r="G437"/>
  <c r="E437"/>
  <c r="B437"/>
  <c r="C437"/>
  <c r="A437"/>
  <c r="R436"/>
  <c r="S436"/>
  <c r="Q436"/>
  <c r="O436"/>
  <c r="M436"/>
  <c r="K436"/>
  <c r="I436"/>
  <c r="G436"/>
  <c r="E436"/>
  <c r="B436"/>
  <c r="C436"/>
  <c r="A436"/>
  <c r="R435"/>
  <c r="S435"/>
  <c r="Q435"/>
  <c r="O435"/>
  <c r="M435"/>
  <c r="K435"/>
  <c r="I435"/>
  <c r="G435"/>
  <c r="E435"/>
  <c r="B435"/>
  <c r="C435"/>
  <c r="A435"/>
  <c r="R434"/>
  <c r="S434"/>
  <c r="Q434"/>
  <c r="O434"/>
  <c r="M434"/>
  <c r="K434"/>
  <c r="I434"/>
  <c r="G434"/>
  <c r="E434"/>
  <c r="B434"/>
  <c r="C434"/>
  <c r="A434"/>
  <c r="R433"/>
  <c r="S433"/>
  <c r="Q433"/>
  <c r="O433"/>
  <c r="M433"/>
  <c r="K433"/>
  <c r="I433"/>
  <c r="G433"/>
  <c r="E433"/>
  <c r="B433"/>
  <c r="C433"/>
  <c r="A433"/>
  <c r="R432"/>
  <c r="S432"/>
  <c r="Q432"/>
  <c r="O432"/>
  <c r="M432"/>
  <c r="K432"/>
  <c r="I432"/>
  <c r="G432"/>
  <c r="E432"/>
  <c r="B432"/>
  <c r="C432"/>
  <c r="A432"/>
  <c r="R431"/>
  <c r="S431"/>
  <c r="Q431"/>
  <c r="O431"/>
  <c r="M431"/>
  <c r="K431"/>
  <c r="I431"/>
  <c r="G431"/>
  <c r="E431"/>
  <c r="B431"/>
  <c r="C431"/>
  <c r="A431"/>
  <c r="R430"/>
  <c r="S430"/>
  <c r="Q430"/>
  <c r="O430"/>
  <c r="M430"/>
  <c r="K430"/>
  <c r="I430"/>
  <c r="G430"/>
  <c r="E430"/>
  <c r="B430"/>
  <c r="C430"/>
  <c r="A430"/>
  <c r="R429"/>
  <c r="S429"/>
  <c r="Q429"/>
  <c r="O429"/>
  <c r="M429"/>
  <c r="K429"/>
  <c r="I429"/>
  <c r="G429"/>
  <c r="E429"/>
  <c r="B429"/>
  <c r="C429"/>
  <c r="A429"/>
  <c r="R428"/>
  <c r="S428"/>
  <c r="Q428"/>
  <c r="O428"/>
  <c r="M428"/>
  <c r="K428"/>
  <c r="I428"/>
  <c r="G428"/>
  <c r="E428"/>
  <c r="B428"/>
  <c r="C428"/>
  <c r="A428"/>
  <c r="R427"/>
  <c r="S427"/>
  <c r="Q427"/>
  <c r="O427"/>
  <c r="M427"/>
  <c r="K427"/>
  <c r="I427"/>
  <c r="G427"/>
  <c r="E427"/>
  <c r="B427"/>
  <c r="C427"/>
  <c r="A427"/>
  <c r="R426"/>
  <c r="S426"/>
  <c r="Q426"/>
  <c r="O426"/>
  <c r="M426"/>
  <c r="K426"/>
  <c r="I426"/>
  <c r="G426"/>
  <c r="E426"/>
  <c r="B426"/>
  <c r="C426"/>
  <c r="A426"/>
  <c r="R425"/>
  <c r="S425"/>
  <c r="Q425"/>
  <c r="O425"/>
  <c r="M425"/>
  <c r="K425"/>
  <c r="I425"/>
  <c r="G425"/>
  <c r="E425"/>
  <c r="B425"/>
  <c r="C425"/>
  <c r="A425"/>
  <c r="R424"/>
  <c r="S424"/>
  <c r="Q424"/>
  <c r="O424"/>
  <c r="M424"/>
  <c r="K424"/>
  <c r="I424"/>
  <c r="G424"/>
  <c r="E424"/>
  <c r="B424"/>
  <c r="C424"/>
  <c r="A424"/>
  <c r="R423"/>
  <c r="S423"/>
  <c r="Q423"/>
  <c r="O423"/>
  <c r="M423"/>
  <c r="K423"/>
  <c r="I423"/>
  <c r="G423"/>
  <c r="E423"/>
  <c r="B423"/>
  <c r="C423"/>
  <c r="A423"/>
  <c r="R422"/>
  <c r="S422"/>
  <c r="Q422"/>
  <c r="O422"/>
  <c r="M422"/>
  <c r="K422"/>
  <c r="I422"/>
  <c r="G422"/>
  <c r="E422"/>
  <c r="B422"/>
  <c r="C422"/>
  <c r="A422"/>
  <c r="R421"/>
  <c r="S421"/>
  <c r="Q421"/>
  <c r="O421"/>
  <c r="M421"/>
  <c r="K421"/>
  <c r="I421"/>
  <c r="G421"/>
  <c r="E421"/>
  <c r="B421"/>
  <c r="C421"/>
  <c r="A421"/>
  <c r="R420"/>
  <c r="S420"/>
  <c r="Q420"/>
  <c r="O420"/>
  <c r="M420"/>
  <c r="K420"/>
  <c r="I420"/>
  <c r="G420"/>
  <c r="E420"/>
  <c r="B420"/>
  <c r="C420"/>
  <c r="A420"/>
  <c r="R419"/>
  <c r="S419"/>
  <c r="Q419"/>
  <c r="O419"/>
  <c r="M419"/>
  <c r="K419"/>
  <c r="I419"/>
  <c r="G419"/>
  <c r="E419"/>
  <c r="B419"/>
  <c r="C419"/>
  <c r="A419"/>
  <c r="R418"/>
  <c r="S418"/>
  <c r="Q418"/>
  <c r="O418"/>
  <c r="M418"/>
  <c r="K418"/>
  <c r="I418"/>
  <c r="G418"/>
  <c r="E418"/>
  <c r="B418"/>
  <c r="C418"/>
  <c r="A418"/>
  <c r="R417"/>
  <c r="S417"/>
  <c r="Q417"/>
  <c r="O417"/>
  <c r="M417"/>
  <c r="K417"/>
  <c r="I417"/>
  <c r="G417"/>
  <c r="E417"/>
  <c r="B417"/>
  <c r="C417"/>
  <c r="A417"/>
  <c r="R416"/>
  <c r="S416"/>
  <c r="Q416"/>
  <c r="O416"/>
  <c r="M416"/>
  <c r="K416"/>
  <c r="I416"/>
  <c r="G416"/>
  <c r="E416"/>
  <c r="B416"/>
  <c r="C416"/>
  <c r="A416"/>
  <c r="R415"/>
  <c r="S415"/>
  <c r="Q415"/>
  <c r="O415"/>
  <c r="M415"/>
  <c r="K415"/>
  <c r="I415"/>
  <c r="G415"/>
  <c r="E415"/>
  <c r="B415"/>
  <c r="C415"/>
  <c r="A415"/>
  <c r="R414"/>
  <c r="S414"/>
  <c r="Q414"/>
  <c r="O414"/>
  <c r="M414"/>
  <c r="K414"/>
  <c r="I414"/>
  <c r="G414"/>
  <c r="E414"/>
  <c r="B414"/>
  <c r="C414"/>
  <c r="A414"/>
  <c r="R413"/>
  <c r="S413"/>
  <c r="Q413"/>
  <c r="O413"/>
  <c r="M413"/>
  <c r="K413"/>
  <c r="I413"/>
  <c r="G413"/>
  <c r="E413"/>
  <c r="B413"/>
  <c r="C413"/>
  <c r="A413"/>
  <c r="R412"/>
  <c r="S412"/>
  <c r="Q412"/>
  <c r="O412"/>
  <c r="M412"/>
  <c r="K412"/>
  <c r="I412"/>
  <c r="G412"/>
  <c r="E412"/>
  <c r="B412"/>
  <c r="C412"/>
  <c r="A412"/>
  <c r="R411"/>
  <c r="S411"/>
  <c r="Q411"/>
  <c r="O411"/>
  <c r="M411"/>
  <c r="K411"/>
  <c r="I411"/>
  <c r="G411"/>
  <c r="E411"/>
  <c r="B411"/>
  <c r="C411"/>
  <c r="A411"/>
  <c r="R410"/>
  <c r="S410"/>
  <c r="Q410"/>
  <c r="O410"/>
  <c r="M410"/>
  <c r="K410"/>
  <c r="I410"/>
  <c r="G410"/>
  <c r="E410"/>
  <c r="B410"/>
  <c r="C410"/>
  <c r="A410"/>
  <c r="R409"/>
  <c r="S409"/>
  <c r="Q409"/>
  <c r="O409"/>
  <c r="M409"/>
  <c r="K409"/>
  <c r="I409"/>
  <c r="G409"/>
  <c r="E409"/>
  <c r="B409"/>
  <c r="C409"/>
  <c r="A409"/>
  <c r="R408"/>
  <c r="S408"/>
  <c r="Q408"/>
  <c r="O408"/>
  <c r="M408"/>
  <c r="K408"/>
  <c r="I408"/>
  <c r="G408"/>
  <c r="E408"/>
  <c r="B408"/>
  <c r="C408"/>
  <c r="A408"/>
  <c r="R407"/>
  <c r="S407"/>
  <c r="Q407"/>
  <c r="O407"/>
  <c r="M407"/>
  <c r="K407"/>
  <c r="I407"/>
  <c r="G407"/>
  <c r="E407"/>
  <c r="B407"/>
  <c r="C407"/>
  <c r="A407"/>
  <c r="R406"/>
  <c r="S406"/>
  <c r="Q406"/>
  <c r="O406"/>
  <c r="M406"/>
  <c r="K406"/>
  <c r="I406"/>
  <c r="G406"/>
  <c r="E406"/>
  <c r="B406"/>
  <c r="C406"/>
  <c r="A406"/>
  <c r="R405"/>
  <c r="S405"/>
  <c r="Q405"/>
  <c r="O405"/>
  <c r="M405"/>
  <c r="K405"/>
  <c r="I405"/>
  <c r="G405"/>
  <c r="E405"/>
  <c r="B405"/>
  <c r="C405"/>
  <c r="A405"/>
  <c r="R404"/>
  <c r="S404"/>
  <c r="Q404"/>
  <c r="O404"/>
  <c r="M404"/>
  <c r="K404"/>
  <c r="I404"/>
  <c r="G404"/>
  <c r="E404"/>
  <c r="B404"/>
  <c r="C404"/>
  <c r="A404"/>
  <c r="R403"/>
  <c r="S403"/>
  <c r="Q403"/>
  <c r="O403"/>
  <c r="M403"/>
  <c r="K403"/>
  <c r="I403"/>
  <c r="G403"/>
  <c r="E403"/>
  <c r="B403"/>
  <c r="C403"/>
  <c r="A403"/>
  <c r="R402"/>
  <c r="S402"/>
  <c r="Q402"/>
  <c r="O402"/>
  <c r="M402"/>
  <c r="K402"/>
  <c r="I402"/>
  <c r="G402"/>
  <c r="E402"/>
  <c r="B402"/>
  <c r="C402"/>
  <c r="A402"/>
  <c r="R401"/>
  <c r="S401"/>
  <c r="Q401"/>
  <c r="O401"/>
  <c r="M401"/>
  <c r="K401"/>
  <c r="I401"/>
  <c r="G401"/>
  <c r="E401"/>
  <c r="B401"/>
  <c r="C401"/>
  <c r="A401"/>
  <c r="R400"/>
  <c r="S400"/>
  <c r="Q400"/>
  <c r="O400"/>
  <c r="M400"/>
  <c r="K400"/>
  <c r="I400"/>
  <c r="G400"/>
  <c r="E400"/>
  <c r="B400"/>
  <c r="C400"/>
  <c r="A400"/>
  <c r="R399"/>
  <c r="S399"/>
  <c r="Q399"/>
  <c r="O399"/>
  <c r="M399"/>
  <c r="K399"/>
  <c r="I399"/>
  <c r="G399"/>
  <c r="E399"/>
  <c r="B399"/>
  <c r="C399"/>
  <c r="A399"/>
  <c r="R398"/>
  <c r="S398"/>
  <c r="Q398"/>
  <c r="O398"/>
  <c r="M398"/>
  <c r="K398"/>
  <c r="I398"/>
  <c r="G398"/>
  <c r="E398"/>
  <c r="B398"/>
  <c r="C398"/>
  <c r="A398"/>
  <c r="R397"/>
  <c r="S397"/>
  <c r="Q397"/>
  <c r="O397"/>
  <c r="M397"/>
  <c r="K397"/>
  <c r="I397"/>
  <c r="G397"/>
  <c r="E397"/>
  <c r="B397"/>
  <c r="C397"/>
  <c r="A397"/>
  <c r="R396"/>
  <c r="S396"/>
  <c r="Q396"/>
  <c r="O396"/>
  <c r="M396"/>
  <c r="K396"/>
  <c r="I396"/>
  <c r="G396"/>
  <c r="E396"/>
  <c r="B396"/>
  <c r="C396"/>
  <c r="A396"/>
  <c r="R395"/>
  <c r="S395"/>
  <c r="Q395"/>
  <c r="O395"/>
  <c r="M395"/>
  <c r="K395"/>
  <c r="I395"/>
  <c r="G395"/>
  <c r="E395"/>
  <c r="B395"/>
  <c r="C395"/>
  <c r="A395"/>
  <c r="R394"/>
  <c r="S394"/>
  <c r="Q394"/>
  <c r="O394"/>
  <c r="M394"/>
  <c r="K394"/>
  <c r="I394"/>
  <c r="G394"/>
  <c r="E394"/>
  <c r="B394"/>
  <c r="C394"/>
  <c r="A394"/>
  <c r="R393"/>
  <c r="S393"/>
  <c r="Q393"/>
  <c r="O393"/>
  <c r="M393"/>
  <c r="K393"/>
  <c r="I393"/>
  <c r="G393"/>
  <c r="E393"/>
  <c r="B393"/>
  <c r="C393"/>
  <c r="A393"/>
  <c r="R392"/>
  <c r="S392"/>
  <c r="Q392"/>
  <c r="O392"/>
  <c r="M392"/>
  <c r="K392"/>
  <c r="I392"/>
  <c r="G392"/>
  <c r="E392"/>
  <c r="B392"/>
  <c r="C392"/>
  <c r="A392"/>
  <c r="R391"/>
  <c r="S391"/>
  <c r="Q391"/>
  <c r="O391"/>
  <c r="M391"/>
  <c r="K391"/>
  <c r="I391"/>
  <c r="G391"/>
  <c r="E391"/>
  <c r="B391"/>
  <c r="C391"/>
  <c r="A391"/>
  <c r="R390"/>
  <c r="S390"/>
  <c r="Q390"/>
  <c r="O390"/>
  <c r="M390"/>
  <c r="K390"/>
  <c r="I390"/>
  <c r="G390"/>
  <c r="E390"/>
  <c r="B390"/>
  <c r="C390"/>
  <c r="A390"/>
  <c r="R389"/>
  <c r="S389"/>
  <c r="Q389"/>
  <c r="O389"/>
  <c r="M389"/>
  <c r="K389"/>
  <c r="I389"/>
  <c r="G389"/>
  <c r="E389"/>
  <c r="B389"/>
  <c r="C389"/>
  <c r="A389"/>
  <c r="R388"/>
  <c r="S388"/>
  <c r="Q388"/>
  <c r="O388"/>
  <c r="M388"/>
  <c r="K388"/>
  <c r="I388"/>
  <c r="G388"/>
  <c r="E388"/>
  <c r="B388"/>
  <c r="C388"/>
  <c r="A388"/>
  <c r="R387"/>
  <c r="S387"/>
  <c r="Q387"/>
  <c r="O387"/>
  <c r="M387"/>
  <c r="K387"/>
  <c r="I387"/>
  <c r="G387"/>
  <c r="E387"/>
  <c r="B387"/>
  <c r="C387"/>
  <c r="A387"/>
  <c r="R386"/>
  <c r="S386"/>
  <c r="Q386"/>
  <c r="O386"/>
  <c r="M386"/>
  <c r="K386"/>
  <c r="I386"/>
  <c r="G386"/>
  <c r="E386"/>
  <c r="B386"/>
  <c r="C386"/>
  <c r="A386"/>
  <c r="R385"/>
  <c r="S385"/>
  <c r="Q385"/>
  <c r="O385"/>
  <c r="M385"/>
  <c r="K385"/>
  <c r="I385"/>
  <c r="G385"/>
  <c r="E385"/>
  <c r="B385"/>
  <c r="C385"/>
  <c r="A385"/>
  <c r="R384"/>
  <c r="S384"/>
  <c r="Q384"/>
  <c r="O384"/>
  <c r="M384"/>
  <c r="K384"/>
  <c r="I384"/>
  <c r="G384"/>
  <c r="E384"/>
  <c r="B384"/>
  <c r="C384"/>
  <c r="A384"/>
  <c r="R383"/>
  <c r="S383"/>
  <c r="Q383"/>
  <c r="O383"/>
  <c r="M383"/>
  <c r="K383"/>
  <c r="I383"/>
  <c r="G383"/>
  <c r="E383"/>
  <c r="B383"/>
  <c r="C383"/>
  <c r="A383"/>
  <c r="R382"/>
  <c r="S382"/>
  <c r="Q382"/>
  <c r="O382"/>
  <c r="M382"/>
  <c r="K382"/>
  <c r="I382"/>
  <c r="G382"/>
  <c r="E382"/>
  <c r="B382"/>
  <c r="C382"/>
  <c r="A382"/>
  <c r="R381"/>
  <c r="S381"/>
  <c r="Q381"/>
  <c r="O381"/>
  <c r="M381"/>
  <c r="K381"/>
  <c r="I381"/>
  <c r="G381"/>
  <c r="E381"/>
  <c r="B381"/>
  <c r="C381"/>
  <c r="A381"/>
  <c r="R380"/>
  <c r="S380"/>
  <c r="Q380"/>
  <c r="O380"/>
  <c r="M380"/>
  <c r="K380"/>
  <c r="I380"/>
  <c r="G380"/>
  <c r="E380"/>
  <c r="B380"/>
  <c r="C380"/>
  <c r="A380"/>
  <c r="R379"/>
  <c r="S379"/>
  <c r="Q379"/>
  <c r="O379"/>
  <c r="M379"/>
  <c r="K379"/>
  <c r="I379"/>
  <c r="G379"/>
  <c r="E379"/>
  <c r="B379"/>
  <c r="C379"/>
  <c r="A379"/>
  <c r="R378"/>
  <c r="S378"/>
  <c r="Q378"/>
  <c r="O378"/>
  <c r="M378"/>
  <c r="K378"/>
  <c r="I378"/>
  <c r="G378"/>
  <c r="E378"/>
  <c r="B378"/>
  <c r="C378"/>
  <c r="A378"/>
  <c r="R377"/>
  <c r="S377"/>
  <c r="Q377"/>
  <c r="O377"/>
  <c r="M377"/>
  <c r="K377"/>
  <c r="I377"/>
  <c r="G377"/>
  <c r="E377"/>
  <c r="B377"/>
  <c r="C377"/>
  <c r="A377"/>
  <c r="R376"/>
  <c r="S376"/>
  <c r="Q376"/>
  <c r="O376"/>
  <c r="M376"/>
  <c r="K376"/>
  <c r="I376"/>
  <c r="G376"/>
  <c r="E376"/>
  <c r="B376"/>
  <c r="C376"/>
  <c r="A376"/>
  <c r="R375"/>
  <c r="S375"/>
  <c r="Q375"/>
  <c r="O375"/>
  <c r="M375"/>
  <c r="K375"/>
  <c r="I375"/>
  <c r="G375"/>
  <c r="E375"/>
  <c r="B375"/>
  <c r="C375"/>
  <c r="A375"/>
  <c r="R374"/>
  <c r="S374"/>
  <c r="Q374"/>
  <c r="O374"/>
  <c r="M374"/>
  <c r="K374"/>
  <c r="I374"/>
  <c r="G374"/>
  <c r="E374"/>
  <c r="B374"/>
  <c r="C374"/>
  <c r="A374"/>
  <c r="R373"/>
  <c r="S373"/>
  <c r="Q373"/>
  <c r="O373"/>
  <c r="M373"/>
  <c r="K373"/>
  <c r="I373"/>
  <c r="G373"/>
  <c r="E373"/>
  <c r="B373"/>
  <c r="C373"/>
  <c r="A373"/>
  <c r="R372"/>
  <c r="S372"/>
  <c r="Q372"/>
  <c r="O372"/>
  <c r="M372"/>
  <c r="K372"/>
  <c r="I372"/>
  <c r="G372"/>
  <c r="E372"/>
  <c r="B372"/>
  <c r="C372"/>
  <c r="A372"/>
  <c r="R371"/>
  <c r="S371"/>
  <c r="Q371"/>
  <c r="O371"/>
  <c r="M371"/>
  <c r="K371"/>
  <c r="I371"/>
  <c r="G371"/>
  <c r="E371"/>
  <c r="B371"/>
  <c r="C371"/>
  <c r="A371"/>
  <c r="R370"/>
  <c r="S370"/>
  <c r="Q370"/>
  <c r="O370"/>
  <c r="M370"/>
  <c r="K370"/>
  <c r="I370"/>
  <c r="G370"/>
  <c r="E370"/>
  <c r="B370"/>
  <c r="C370"/>
  <c r="A370"/>
  <c r="R369"/>
  <c r="S369"/>
  <c r="Q369"/>
  <c r="O369"/>
  <c r="M369"/>
  <c r="K369"/>
  <c r="I369"/>
  <c r="G369"/>
  <c r="E369"/>
  <c r="B369"/>
  <c r="C369"/>
  <c r="A369"/>
  <c r="R368"/>
  <c r="S368"/>
  <c r="Q368"/>
  <c r="O368"/>
  <c r="M368"/>
  <c r="K368"/>
  <c r="I368"/>
  <c r="G368"/>
  <c r="E368"/>
  <c r="B368"/>
  <c r="C368"/>
  <c r="A368"/>
  <c r="R367"/>
  <c r="S367"/>
  <c r="Q367"/>
  <c r="O367"/>
  <c r="M367"/>
  <c r="K367"/>
  <c r="I367"/>
  <c r="G367"/>
  <c r="E367"/>
  <c r="B367"/>
  <c r="C367"/>
  <c r="A367"/>
  <c r="R366"/>
  <c r="S366"/>
  <c r="Q366"/>
  <c r="O366"/>
  <c r="M366"/>
  <c r="K366"/>
  <c r="I366"/>
  <c r="G366"/>
  <c r="E366"/>
  <c r="B366"/>
  <c r="C366"/>
  <c r="A366"/>
  <c r="R365"/>
  <c r="S365"/>
  <c r="Q365"/>
  <c r="O365"/>
  <c r="M365"/>
  <c r="K365"/>
  <c r="I365"/>
  <c r="G365"/>
  <c r="E365"/>
  <c r="B365"/>
  <c r="C365"/>
  <c r="A365"/>
  <c r="R364"/>
  <c r="S364"/>
  <c r="Q364"/>
  <c r="O364"/>
  <c r="M364"/>
  <c r="K364"/>
  <c r="I364"/>
  <c r="G364"/>
  <c r="E364"/>
  <c r="B364"/>
  <c r="C364"/>
  <c r="A364"/>
  <c r="R363"/>
  <c r="S363"/>
  <c r="Q363"/>
  <c r="O363"/>
  <c r="M363"/>
  <c r="K363"/>
  <c r="I363"/>
  <c r="G363"/>
  <c r="E363"/>
  <c r="B363"/>
  <c r="C363"/>
  <c r="A363"/>
  <c r="R362"/>
  <c r="S362"/>
  <c r="Q362"/>
  <c r="O362"/>
  <c r="M362"/>
  <c r="K362"/>
  <c r="I362"/>
  <c r="G362"/>
  <c r="E362"/>
  <c r="B362"/>
  <c r="C362"/>
  <c r="A362"/>
  <c r="R361"/>
  <c r="S361"/>
  <c r="Q361"/>
  <c r="O361"/>
  <c r="M361"/>
  <c r="K361"/>
  <c r="I361"/>
  <c r="G361"/>
  <c r="E361"/>
  <c r="B361"/>
  <c r="C361"/>
  <c r="A361"/>
  <c r="R360"/>
  <c r="S360"/>
  <c r="Q360"/>
  <c r="O360"/>
  <c r="M360"/>
  <c r="K360"/>
  <c r="I360"/>
  <c r="G360"/>
  <c r="E360"/>
  <c r="B360"/>
  <c r="C360"/>
  <c r="A360"/>
  <c r="R359"/>
  <c r="S359"/>
  <c r="Q359"/>
  <c r="O359"/>
  <c r="M359"/>
  <c r="K359"/>
  <c r="I359"/>
  <c r="G359"/>
  <c r="E359"/>
  <c r="B359"/>
  <c r="C359"/>
  <c r="A359"/>
  <c r="R358"/>
  <c r="S358"/>
  <c r="Q358"/>
  <c r="O358"/>
  <c r="M358"/>
  <c r="K358"/>
  <c r="I358"/>
  <c r="G358"/>
  <c r="E358"/>
  <c r="B358"/>
  <c r="C358"/>
  <c r="A358"/>
  <c r="R357"/>
  <c r="S357"/>
  <c r="Q357"/>
  <c r="O357"/>
  <c r="M357"/>
  <c r="K357"/>
  <c r="I357"/>
  <c r="G357"/>
  <c r="E357"/>
  <c r="B357"/>
  <c r="C357"/>
  <c r="A357"/>
  <c r="R356"/>
  <c r="S356"/>
  <c r="Q356"/>
  <c r="O356"/>
  <c r="M356"/>
  <c r="K356"/>
  <c r="I356"/>
  <c r="G356"/>
  <c r="E356"/>
  <c r="B356"/>
  <c r="C356"/>
  <c r="A356"/>
  <c r="R355"/>
  <c r="S355"/>
  <c r="Q355"/>
  <c r="O355"/>
  <c r="M355"/>
  <c r="K355"/>
  <c r="I355"/>
  <c r="G355"/>
  <c r="E355"/>
  <c r="B355"/>
  <c r="C355"/>
  <c r="A355"/>
  <c r="R354"/>
  <c r="S354"/>
  <c r="Q354"/>
  <c r="O354"/>
  <c r="M354"/>
  <c r="K354"/>
  <c r="I354"/>
  <c r="G354"/>
  <c r="E354"/>
  <c r="B354"/>
  <c r="C354"/>
  <c r="A354"/>
  <c r="R353"/>
  <c r="S353"/>
  <c r="Q353"/>
  <c r="O353"/>
  <c r="M353"/>
  <c r="K353"/>
  <c r="I353"/>
  <c r="G353"/>
  <c r="E353"/>
  <c r="B353"/>
  <c r="C353"/>
  <c r="A353"/>
  <c r="R352"/>
  <c r="S352"/>
  <c r="Q352"/>
  <c r="O352"/>
  <c r="M352"/>
  <c r="K352"/>
  <c r="I352"/>
  <c r="G352"/>
  <c r="E352"/>
  <c r="B352"/>
  <c r="C352"/>
  <c r="A352"/>
  <c r="R351"/>
  <c r="S351"/>
  <c r="Q351"/>
  <c r="O351"/>
  <c r="M351"/>
  <c r="K351"/>
  <c r="I351"/>
  <c r="G351"/>
  <c r="E351"/>
  <c r="B351"/>
  <c r="C351"/>
  <c r="A351"/>
  <c r="R350"/>
  <c r="S350"/>
  <c r="Q350"/>
  <c r="O350"/>
  <c r="M350"/>
  <c r="K350"/>
  <c r="I350"/>
  <c r="G350"/>
  <c r="E350"/>
  <c r="B350"/>
  <c r="C350"/>
  <c r="A350"/>
  <c r="R349"/>
  <c r="S349"/>
  <c r="Q349"/>
  <c r="O349"/>
  <c r="M349"/>
  <c r="K349"/>
  <c r="I349"/>
  <c r="G349"/>
  <c r="E349"/>
  <c r="B349"/>
  <c r="C349"/>
  <c r="A349"/>
  <c r="R348"/>
  <c r="S348"/>
  <c r="Q348"/>
  <c r="O348"/>
  <c r="M348"/>
  <c r="K348"/>
  <c r="I348"/>
  <c r="G348"/>
  <c r="E348"/>
  <c r="B348"/>
  <c r="C348"/>
  <c r="A348"/>
  <c r="R347"/>
  <c r="S347"/>
  <c r="Q347"/>
  <c r="O347"/>
  <c r="M347"/>
  <c r="K347"/>
  <c r="I347"/>
  <c r="G347"/>
  <c r="E347"/>
  <c r="B347"/>
  <c r="C347"/>
  <c r="A347"/>
  <c r="R346"/>
  <c r="S346"/>
  <c r="Q346"/>
  <c r="O346"/>
  <c r="M346"/>
  <c r="K346"/>
  <c r="I346"/>
  <c r="G346"/>
  <c r="E346"/>
  <c r="B346"/>
  <c r="C346"/>
  <c r="A346"/>
  <c r="R345"/>
  <c r="S345"/>
  <c r="Q345"/>
  <c r="O345"/>
  <c r="M345"/>
  <c r="K345"/>
  <c r="I345"/>
  <c r="G345"/>
  <c r="E345"/>
  <c r="B345"/>
  <c r="C345"/>
  <c r="A345"/>
  <c r="R344"/>
  <c r="S344"/>
  <c r="Q344"/>
  <c r="O344"/>
  <c r="M344"/>
  <c r="K344"/>
  <c r="I344"/>
  <c r="G344"/>
  <c r="E344"/>
  <c r="B344"/>
  <c r="C344"/>
  <c r="A344"/>
  <c r="R343"/>
  <c r="S343"/>
  <c r="Q343"/>
  <c r="O343"/>
  <c r="M343"/>
  <c r="K343"/>
  <c r="I343"/>
  <c r="G343"/>
  <c r="E343"/>
  <c r="B343"/>
  <c r="C343"/>
  <c r="A343"/>
  <c r="R342"/>
  <c r="S342"/>
  <c r="Q342"/>
  <c r="O342"/>
  <c r="M342"/>
  <c r="K342"/>
  <c r="I342"/>
  <c r="G342"/>
  <c r="E342"/>
  <c r="B342"/>
  <c r="C342"/>
  <c r="A342"/>
  <c r="R341"/>
  <c r="S341"/>
  <c r="Q341"/>
  <c r="O341"/>
  <c r="M341"/>
  <c r="K341"/>
  <c r="I341"/>
  <c r="G341"/>
  <c r="E341"/>
  <c r="B341"/>
  <c r="C341"/>
  <c r="A341"/>
  <c r="R340"/>
  <c r="S340"/>
  <c r="Q340"/>
  <c r="O340"/>
  <c r="M340"/>
  <c r="K340"/>
  <c r="I340"/>
  <c r="G340"/>
  <c r="E340"/>
  <c r="B340"/>
  <c r="C340"/>
  <c r="A340"/>
  <c r="R339"/>
  <c r="S339"/>
  <c r="Q339"/>
  <c r="O339"/>
  <c r="M339"/>
  <c r="K339"/>
  <c r="I339"/>
  <c r="G339"/>
  <c r="E339"/>
  <c r="B339"/>
  <c r="C339"/>
  <c r="A339"/>
  <c r="R338"/>
  <c r="S338"/>
  <c r="Q338"/>
  <c r="O338"/>
  <c r="M338"/>
  <c r="K338"/>
  <c r="I338"/>
  <c r="G338"/>
  <c r="E338"/>
  <c r="B338"/>
  <c r="C338"/>
  <c r="A338"/>
  <c r="R337"/>
  <c r="S337"/>
  <c r="Q337"/>
  <c r="O337"/>
  <c r="M337"/>
  <c r="K337"/>
  <c r="I337"/>
  <c r="G337"/>
  <c r="E337"/>
  <c r="B337"/>
  <c r="C337"/>
  <c r="A337"/>
  <c r="R336"/>
  <c r="S336"/>
  <c r="Q336"/>
  <c r="O336"/>
  <c r="M336"/>
  <c r="K336"/>
  <c r="I336"/>
  <c r="G336"/>
  <c r="E336"/>
  <c r="B336"/>
  <c r="C336"/>
  <c r="A336"/>
  <c r="R335"/>
  <c r="S335"/>
  <c r="Q335"/>
  <c r="O335"/>
  <c r="M335"/>
  <c r="K335"/>
  <c r="I335"/>
  <c r="G335"/>
  <c r="E335"/>
  <c r="B335"/>
  <c r="C335"/>
  <c r="A335"/>
  <c r="R334"/>
  <c r="S334"/>
  <c r="Q334"/>
  <c r="O334"/>
  <c r="M334"/>
  <c r="K334"/>
  <c r="I334"/>
  <c r="G334"/>
  <c r="E334"/>
  <c r="B334"/>
  <c r="C334"/>
  <c r="A334"/>
  <c r="R333"/>
  <c r="S333"/>
  <c r="Q333"/>
  <c r="O333"/>
  <c r="M333"/>
  <c r="K333"/>
  <c r="I333"/>
  <c r="G333"/>
  <c r="E333"/>
  <c r="B333"/>
  <c r="C333"/>
  <c r="A333"/>
  <c r="R332"/>
  <c r="S332"/>
  <c r="Q332"/>
  <c r="O332"/>
  <c r="M332"/>
  <c r="K332"/>
  <c r="I332"/>
  <c r="G332"/>
  <c r="E332"/>
  <c r="B332"/>
  <c r="C332"/>
  <c r="A332"/>
  <c r="R331"/>
  <c r="S331"/>
  <c r="Q331"/>
  <c r="O331"/>
  <c r="M331"/>
  <c r="K331"/>
  <c r="I331"/>
  <c r="G331"/>
  <c r="E331"/>
  <c r="B331"/>
  <c r="C331"/>
  <c r="A331"/>
  <c r="R330"/>
  <c r="S330"/>
  <c r="Q330"/>
  <c r="O330"/>
  <c r="M330"/>
  <c r="K330"/>
  <c r="I330"/>
  <c r="G330"/>
  <c r="E330"/>
  <c r="B330"/>
  <c r="C330"/>
  <c r="A330"/>
  <c r="R329"/>
  <c r="S329"/>
  <c r="Q329"/>
  <c r="O329"/>
  <c r="M329"/>
  <c r="K329"/>
  <c r="I329"/>
  <c r="G329"/>
  <c r="E329"/>
  <c r="B329"/>
  <c r="C329"/>
  <c r="A329"/>
  <c r="R328"/>
  <c r="S328"/>
  <c r="Q328"/>
  <c r="O328"/>
  <c r="M328"/>
  <c r="K328"/>
  <c r="I328"/>
  <c r="G328"/>
  <c r="E328"/>
  <c r="B328"/>
  <c r="C328"/>
  <c r="A328"/>
  <c r="R327"/>
  <c r="S327"/>
  <c r="Q327"/>
  <c r="O327"/>
  <c r="M327"/>
  <c r="K327"/>
  <c r="I327"/>
  <c r="G327"/>
  <c r="E327"/>
  <c r="B327"/>
  <c r="C327"/>
  <c r="A327"/>
  <c r="R326"/>
  <c r="S326"/>
  <c r="Q326"/>
  <c r="O326"/>
  <c r="M326"/>
  <c r="K326"/>
  <c r="I326"/>
  <c r="G326"/>
  <c r="E326"/>
  <c r="B326"/>
  <c r="C326"/>
  <c r="A326"/>
  <c r="R325"/>
  <c r="S325"/>
  <c r="Q325"/>
  <c r="O325"/>
  <c r="M325"/>
  <c r="K325"/>
  <c r="I325"/>
  <c r="G325"/>
  <c r="E325"/>
  <c r="B325"/>
  <c r="C325"/>
  <c r="A325"/>
  <c r="R324"/>
  <c r="S324"/>
  <c r="Q324"/>
  <c r="O324"/>
  <c r="M324"/>
  <c r="K324"/>
  <c r="I324"/>
  <c r="G324"/>
  <c r="E324"/>
  <c r="B324"/>
  <c r="C324"/>
  <c r="A324"/>
  <c r="R323"/>
  <c r="S323"/>
  <c r="Q323"/>
  <c r="O323"/>
  <c r="M323"/>
  <c r="K323"/>
  <c r="I323"/>
  <c r="G323"/>
  <c r="E323"/>
  <c r="B323"/>
  <c r="C323"/>
  <c r="A323"/>
  <c r="R322"/>
  <c r="S322"/>
  <c r="Q322"/>
  <c r="O322"/>
  <c r="M322"/>
  <c r="K322"/>
  <c r="I322"/>
  <c r="G322"/>
  <c r="E322"/>
  <c r="B322"/>
  <c r="C322"/>
  <c r="A322"/>
  <c r="R321"/>
  <c r="S321"/>
  <c r="Q321"/>
  <c r="O321"/>
  <c r="M321"/>
  <c r="K321"/>
  <c r="I321"/>
  <c r="G321"/>
  <c r="E321"/>
  <c r="B321"/>
  <c r="C321"/>
  <c r="A321"/>
  <c r="R320"/>
  <c r="S320"/>
  <c r="Q320"/>
  <c r="O320"/>
  <c r="M320"/>
  <c r="K320"/>
  <c r="I320"/>
  <c r="G320"/>
  <c r="E320"/>
  <c r="B320"/>
  <c r="C320"/>
  <c r="A320"/>
  <c r="R319"/>
  <c r="S319"/>
  <c r="Q319"/>
  <c r="O319"/>
  <c r="M319"/>
  <c r="K319"/>
  <c r="I319"/>
  <c r="G319"/>
  <c r="E319"/>
  <c r="B319"/>
  <c r="C319"/>
  <c r="A319"/>
  <c r="R318"/>
  <c r="S318"/>
  <c r="Q318"/>
  <c r="O318"/>
  <c r="M318"/>
  <c r="K318"/>
  <c r="I318"/>
  <c r="G318"/>
  <c r="E318"/>
  <c r="B318"/>
  <c r="C318"/>
  <c r="A318"/>
  <c r="R317"/>
  <c r="S317"/>
  <c r="Q317"/>
  <c r="O317"/>
  <c r="M317"/>
  <c r="K317"/>
  <c r="I317"/>
  <c r="G317"/>
  <c r="E317"/>
  <c r="B317"/>
  <c r="C317"/>
  <c r="A317"/>
  <c r="R316"/>
  <c r="S316"/>
  <c r="Q316"/>
  <c r="O316"/>
  <c r="M316"/>
  <c r="K316"/>
  <c r="I316"/>
  <c r="G316"/>
  <c r="E316"/>
  <c r="B316"/>
  <c r="C316"/>
  <c r="A316"/>
  <c r="R315"/>
  <c r="S315"/>
  <c r="Q315"/>
  <c r="O315"/>
  <c r="M315"/>
  <c r="K315"/>
  <c r="I315"/>
  <c r="G315"/>
  <c r="E315"/>
  <c r="B315"/>
  <c r="C315"/>
  <c r="A315"/>
  <c r="R314"/>
  <c r="S314"/>
  <c r="Q314"/>
  <c r="O314"/>
  <c r="M314"/>
  <c r="K314"/>
  <c r="I314"/>
  <c r="G314"/>
  <c r="E314"/>
  <c r="B314"/>
  <c r="C314"/>
  <c r="A314"/>
  <c r="R313"/>
  <c r="S313"/>
  <c r="Q313"/>
  <c r="O313"/>
  <c r="M313"/>
  <c r="K313"/>
  <c r="I313"/>
  <c r="G313"/>
  <c r="E313"/>
  <c r="B313"/>
  <c r="C313"/>
  <c r="A313"/>
  <c r="R312"/>
  <c r="S312"/>
  <c r="Q312"/>
  <c r="O312"/>
  <c r="M312"/>
  <c r="K312"/>
  <c r="I312"/>
  <c r="G312"/>
  <c r="E312"/>
  <c r="B312"/>
  <c r="C312"/>
  <c r="A312"/>
  <c r="R311"/>
  <c r="S311"/>
  <c r="Q311"/>
  <c r="O311"/>
  <c r="M311"/>
  <c r="K311"/>
  <c r="I311"/>
  <c r="G311"/>
  <c r="E311"/>
  <c r="B311"/>
  <c r="C311"/>
  <c r="A311"/>
  <c r="R310"/>
  <c r="S310"/>
  <c r="Q310"/>
  <c r="O310"/>
  <c r="M310"/>
  <c r="K310"/>
  <c r="I310"/>
  <c r="G310"/>
  <c r="E310"/>
  <c r="B310"/>
  <c r="C310"/>
  <c r="A310"/>
  <c r="R309"/>
  <c r="S309"/>
  <c r="Q309"/>
  <c r="O309"/>
  <c r="M309"/>
  <c r="K309"/>
  <c r="I309"/>
  <c r="G309"/>
  <c r="E309"/>
  <c r="B309"/>
  <c r="C309"/>
  <c r="A309"/>
  <c r="R308"/>
  <c r="S308"/>
  <c r="Q308"/>
  <c r="O308"/>
  <c r="M308"/>
  <c r="K308"/>
  <c r="I308"/>
  <c r="G308"/>
  <c r="E308"/>
  <c r="B308"/>
  <c r="C308"/>
  <c r="A308"/>
  <c r="R307"/>
  <c r="S307"/>
  <c r="Q307"/>
  <c r="O307"/>
  <c r="M307"/>
  <c r="K307"/>
  <c r="I307"/>
  <c r="G307"/>
  <c r="E307"/>
  <c r="B307"/>
  <c r="C307"/>
  <c r="A307"/>
  <c r="R306"/>
  <c r="S306"/>
  <c r="Q306"/>
  <c r="O306"/>
  <c r="M306"/>
  <c r="K306"/>
  <c r="I306"/>
  <c r="G306"/>
  <c r="E306"/>
  <c r="B306"/>
  <c r="C306"/>
  <c r="A306"/>
  <c r="R305"/>
  <c r="S305"/>
  <c r="Q305"/>
  <c r="O305"/>
  <c r="M305"/>
  <c r="K305"/>
  <c r="I305"/>
  <c r="G305"/>
  <c r="E305"/>
  <c r="B305"/>
  <c r="C305"/>
  <c r="A305"/>
  <c r="R304"/>
  <c r="S304"/>
  <c r="Q304"/>
  <c r="O304"/>
  <c r="M304"/>
  <c r="K304"/>
  <c r="I304"/>
  <c r="G304"/>
  <c r="E304"/>
  <c r="B304"/>
  <c r="C304"/>
  <c r="A304"/>
  <c r="R303"/>
  <c r="S303"/>
  <c r="Q303"/>
  <c r="O303"/>
  <c r="M303"/>
  <c r="K303"/>
  <c r="I303"/>
  <c r="G303"/>
  <c r="E303"/>
  <c r="B303"/>
  <c r="C303"/>
  <c r="A303"/>
  <c r="R302"/>
  <c r="S302"/>
  <c r="Q302"/>
  <c r="O302"/>
  <c r="M302"/>
  <c r="K302"/>
  <c r="I302"/>
  <c r="G302"/>
  <c r="E302"/>
  <c r="B302"/>
  <c r="C302"/>
  <c r="A302"/>
  <c r="R301"/>
  <c r="S301"/>
  <c r="Q301"/>
  <c r="O301"/>
  <c r="M301"/>
  <c r="K301"/>
  <c r="I301"/>
  <c r="G301"/>
  <c r="E301"/>
  <c r="B301"/>
  <c r="C301"/>
  <c r="A301"/>
  <c r="R300"/>
  <c r="S300"/>
  <c r="Q300"/>
  <c r="O300"/>
  <c r="M300"/>
  <c r="K300"/>
  <c r="I300"/>
  <c r="G300"/>
  <c r="E300"/>
  <c r="B300"/>
  <c r="C300"/>
  <c r="A300"/>
  <c r="R299"/>
  <c r="S299"/>
  <c r="Q299"/>
  <c r="O299"/>
  <c r="M299"/>
  <c r="K299"/>
  <c r="I299"/>
  <c r="G299"/>
  <c r="E299"/>
  <c r="B299"/>
  <c r="C299"/>
  <c r="A299"/>
  <c r="R298"/>
  <c r="S298"/>
  <c r="Q298"/>
  <c r="O298"/>
  <c r="M298"/>
  <c r="K298"/>
  <c r="I298"/>
  <c r="G298"/>
  <c r="E298"/>
  <c r="B298"/>
  <c r="C298"/>
  <c r="A298"/>
  <c r="R297"/>
  <c r="S297"/>
  <c r="Q297"/>
  <c r="O297"/>
  <c r="M297"/>
  <c r="K297"/>
  <c r="I297"/>
  <c r="G297"/>
  <c r="E297"/>
  <c r="B297"/>
  <c r="C297"/>
  <c r="A297"/>
  <c r="R296"/>
  <c r="S296"/>
  <c r="Q296"/>
  <c r="O296"/>
  <c r="M296"/>
  <c r="K296"/>
  <c r="I296"/>
  <c r="G296"/>
  <c r="E296"/>
  <c r="B296"/>
  <c r="C296"/>
  <c r="A296"/>
  <c r="R295"/>
  <c r="S295"/>
  <c r="Q295"/>
  <c r="O295"/>
  <c r="M295"/>
  <c r="K295"/>
  <c r="I295"/>
  <c r="G295"/>
  <c r="E295"/>
  <c r="B295"/>
  <c r="C295"/>
  <c r="A295"/>
  <c r="R294"/>
  <c r="S294"/>
  <c r="Q294"/>
  <c r="O294"/>
  <c r="M294"/>
  <c r="K294"/>
  <c r="I294"/>
  <c r="G294"/>
  <c r="E294"/>
  <c r="B294"/>
  <c r="C294"/>
  <c r="A294"/>
  <c r="R293"/>
  <c r="S293"/>
  <c r="Q293"/>
  <c r="O293"/>
  <c r="M293"/>
  <c r="K293"/>
  <c r="I293"/>
  <c r="G293"/>
  <c r="E293"/>
  <c r="B293"/>
  <c r="C293"/>
  <c r="A293"/>
  <c r="R292"/>
  <c r="S292"/>
  <c r="Q292"/>
  <c r="O292"/>
  <c r="M292"/>
  <c r="K292"/>
  <c r="I292"/>
  <c r="G292"/>
  <c r="E292"/>
  <c r="B292"/>
  <c r="C292"/>
  <c r="A292"/>
  <c r="R291"/>
  <c r="S291"/>
  <c r="Q291"/>
  <c r="O291"/>
  <c r="M291"/>
  <c r="K291"/>
  <c r="I291"/>
  <c r="G291"/>
  <c r="E291"/>
  <c r="B291"/>
  <c r="C291"/>
  <c r="A291"/>
  <c r="R290"/>
  <c r="S290"/>
  <c r="Q290"/>
  <c r="O290"/>
  <c r="M290"/>
  <c r="K290"/>
  <c r="I290"/>
  <c r="G290"/>
  <c r="E290"/>
  <c r="B290"/>
  <c r="C290"/>
  <c r="A290"/>
  <c r="R289"/>
  <c r="S289"/>
  <c r="Q289"/>
  <c r="O289"/>
  <c r="M289"/>
  <c r="K289"/>
  <c r="I289"/>
  <c r="G289"/>
  <c r="E289"/>
  <c r="B289"/>
  <c r="C289"/>
  <c r="A289"/>
  <c r="R288"/>
  <c r="S288"/>
  <c r="Q288"/>
  <c r="O288"/>
  <c r="M288"/>
  <c r="K288"/>
  <c r="I288"/>
  <c r="G288"/>
  <c r="E288"/>
  <c r="B288"/>
  <c r="C288"/>
  <c r="A288"/>
  <c r="R287"/>
  <c r="S287"/>
  <c r="Q287"/>
  <c r="O287"/>
  <c r="M287"/>
  <c r="K287"/>
  <c r="I287"/>
  <c r="G287"/>
  <c r="E287"/>
  <c r="B287"/>
  <c r="C287"/>
  <c r="A287"/>
  <c r="R286"/>
  <c r="S286"/>
  <c r="Q286"/>
  <c r="O286"/>
  <c r="M286"/>
  <c r="K286"/>
  <c r="I286"/>
  <c r="G286"/>
  <c r="E286"/>
  <c r="B286"/>
  <c r="C286"/>
  <c r="A286"/>
  <c r="R285"/>
  <c r="S285"/>
  <c r="Q285"/>
  <c r="O285"/>
  <c r="M285"/>
  <c r="K285"/>
  <c r="I285"/>
  <c r="G285"/>
  <c r="E285"/>
  <c r="B285"/>
  <c r="C285"/>
  <c r="A285"/>
  <c r="R284"/>
  <c r="S284"/>
  <c r="Q284"/>
  <c r="O284"/>
  <c r="M284"/>
  <c r="K284"/>
  <c r="I284"/>
  <c r="G284"/>
  <c r="E284"/>
  <c r="B284"/>
  <c r="C284"/>
  <c r="A284"/>
  <c r="R283"/>
  <c r="S283"/>
  <c r="Q283"/>
  <c r="O283"/>
  <c r="M283"/>
  <c r="K283"/>
  <c r="I283"/>
  <c r="G283"/>
  <c r="E283"/>
  <c r="B283"/>
  <c r="C283"/>
  <c r="A283"/>
  <c r="R282"/>
  <c r="S282"/>
  <c r="Q282"/>
  <c r="O282"/>
  <c r="M282"/>
  <c r="K282"/>
  <c r="I282"/>
  <c r="G282"/>
  <c r="E282"/>
  <c r="B282"/>
  <c r="C282"/>
  <c r="A282"/>
  <c r="R281"/>
  <c r="S281"/>
  <c r="Q281"/>
  <c r="O281"/>
  <c r="M281"/>
  <c r="K281"/>
  <c r="I281"/>
  <c r="G281"/>
  <c r="E281"/>
  <c r="B281"/>
  <c r="C281"/>
  <c r="A281"/>
  <c r="R280"/>
  <c r="S280"/>
  <c r="Q280"/>
  <c r="O280"/>
  <c r="M280"/>
  <c r="K280"/>
  <c r="I280"/>
  <c r="G280"/>
  <c r="E280"/>
  <c r="B280"/>
  <c r="C280"/>
  <c r="A280"/>
  <c r="R279"/>
  <c r="S279"/>
  <c r="Q279"/>
  <c r="O279"/>
  <c r="M279"/>
  <c r="K279"/>
  <c r="I279"/>
  <c r="G279"/>
  <c r="E279"/>
  <c r="B279"/>
  <c r="C279"/>
  <c r="A279"/>
  <c r="R278"/>
  <c r="S278"/>
  <c r="Q278"/>
  <c r="O278"/>
  <c r="M278"/>
  <c r="K278"/>
  <c r="I278"/>
  <c r="G278"/>
  <c r="E278"/>
  <c r="B278"/>
  <c r="C278"/>
  <c r="A278"/>
  <c r="R277"/>
  <c r="S277"/>
  <c r="Q277"/>
  <c r="O277"/>
  <c r="M277"/>
  <c r="K277"/>
  <c r="I277"/>
  <c r="G277"/>
  <c r="E277"/>
  <c r="B277"/>
  <c r="C277"/>
  <c r="A277"/>
  <c r="R276"/>
  <c r="S276"/>
  <c r="Q276"/>
  <c r="O276"/>
  <c r="M276"/>
  <c r="K276"/>
  <c r="I276"/>
  <c r="G276"/>
  <c r="E276"/>
  <c r="B276"/>
  <c r="C276"/>
  <c r="A276"/>
  <c r="R275"/>
  <c r="S275"/>
  <c r="Q275"/>
  <c r="O275"/>
  <c r="M275"/>
  <c r="K275"/>
  <c r="I275"/>
  <c r="G275"/>
  <c r="E275"/>
  <c r="B275"/>
  <c r="C275"/>
  <c r="A275"/>
  <c r="R274"/>
  <c r="S274"/>
  <c r="Q274"/>
  <c r="O274"/>
  <c r="M274"/>
  <c r="K274"/>
  <c r="I274"/>
  <c r="G274"/>
  <c r="E274"/>
  <c r="B274"/>
  <c r="C274"/>
  <c r="A274"/>
  <c r="R273"/>
  <c r="S273"/>
  <c r="Q273"/>
  <c r="O273"/>
  <c r="M273"/>
  <c r="K273"/>
  <c r="I273"/>
  <c r="G273"/>
  <c r="E273"/>
  <c r="B273"/>
  <c r="C273"/>
  <c r="A273"/>
  <c r="R272"/>
  <c r="S272"/>
  <c r="Q272"/>
  <c r="O272"/>
  <c r="M272"/>
  <c r="K272"/>
  <c r="I272"/>
  <c r="G272"/>
  <c r="E272"/>
  <c r="B272"/>
  <c r="C272"/>
  <c r="A272"/>
  <c r="R271"/>
  <c r="S271"/>
  <c r="Q271"/>
  <c r="O271"/>
  <c r="M271"/>
  <c r="K271"/>
  <c r="I271"/>
  <c r="G271"/>
  <c r="E271"/>
  <c r="B271"/>
  <c r="C271"/>
  <c r="A271"/>
  <c r="R270"/>
  <c r="S270"/>
  <c r="Q270"/>
  <c r="O270"/>
  <c r="M270"/>
  <c r="K270"/>
  <c r="I270"/>
  <c r="G270"/>
  <c r="E270"/>
  <c r="B270"/>
  <c r="C270"/>
  <c r="A270"/>
  <c r="R269"/>
  <c r="S269"/>
  <c r="Q269"/>
  <c r="O269"/>
  <c r="M269"/>
  <c r="K269"/>
  <c r="I269"/>
  <c r="G269"/>
  <c r="E269"/>
  <c r="B269"/>
  <c r="C269"/>
  <c r="A269"/>
  <c r="R268"/>
  <c r="S268"/>
  <c r="Q268"/>
  <c r="O268"/>
  <c r="M268"/>
  <c r="K268"/>
  <c r="I268"/>
  <c r="G268"/>
  <c r="E268"/>
  <c r="B268"/>
  <c r="C268"/>
  <c r="A268"/>
  <c r="R267"/>
  <c r="S267"/>
  <c r="Q267"/>
  <c r="O267"/>
  <c r="M267"/>
  <c r="K267"/>
  <c r="I267"/>
  <c r="G267"/>
  <c r="E267"/>
  <c r="B267"/>
  <c r="C267"/>
  <c r="A267"/>
  <c r="R266"/>
  <c r="S266"/>
  <c r="Q266"/>
  <c r="O266"/>
  <c r="M266"/>
  <c r="K266"/>
  <c r="I266"/>
  <c r="G266"/>
  <c r="E266"/>
  <c r="B266"/>
  <c r="C266"/>
  <c r="A266"/>
  <c r="R265"/>
  <c r="S265"/>
  <c r="Q265"/>
  <c r="O265"/>
  <c r="M265"/>
  <c r="K265"/>
  <c r="I265"/>
  <c r="G265"/>
  <c r="E265"/>
  <c r="B265"/>
  <c r="C265"/>
  <c r="A265"/>
  <c r="R264"/>
  <c r="S264"/>
  <c r="Q264"/>
  <c r="O264"/>
  <c r="M264"/>
  <c r="K264"/>
  <c r="I264"/>
  <c r="G264"/>
  <c r="E264"/>
  <c r="B264"/>
  <c r="C264"/>
  <c r="A264"/>
  <c r="R263"/>
  <c r="S263"/>
  <c r="Q263"/>
  <c r="O263"/>
  <c r="M263"/>
  <c r="K263"/>
  <c r="I263"/>
  <c r="G263"/>
  <c r="E263"/>
  <c r="B263"/>
  <c r="C263"/>
  <c r="A263"/>
  <c r="R262"/>
  <c r="S262"/>
  <c r="Q262"/>
  <c r="O262"/>
  <c r="M262"/>
  <c r="K262"/>
  <c r="I262"/>
  <c r="G262"/>
  <c r="E262"/>
  <c r="B262"/>
  <c r="C262"/>
  <c r="A262"/>
  <c r="R261"/>
  <c r="S261"/>
  <c r="Q261"/>
  <c r="O261"/>
  <c r="M261"/>
  <c r="K261"/>
  <c r="I261"/>
  <c r="G261"/>
  <c r="E261"/>
  <c r="B261"/>
  <c r="C261"/>
  <c r="A261"/>
  <c r="R260"/>
  <c r="S260"/>
  <c r="Q260"/>
  <c r="O260"/>
  <c r="M260"/>
  <c r="K260"/>
  <c r="I260"/>
  <c r="G260"/>
  <c r="E260"/>
  <c r="B260"/>
  <c r="C260"/>
  <c r="A260"/>
  <c r="R259"/>
  <c r="S259"/>
  <c r="Q259"/>
  <c r="O259"/>
  <c r="M259"/>
  <c r="K259"/>
  <c r="I259"/>
  <c r="G259"/>
  <c r="E259"/>
  <c r="B259"/>
  <c r="C259"/>
  <c r="A259"/>
  <c r="R258"/>
  <c r="S258"/>
  <c r="Q258"/>
  <c r="O258"/>
  <c r="M258"/>
  <c r="K258"/>
  <c r="I258"/>
  <c r="G258"/>
  <c r="E258"/>
  <c r="B258"/>
  <c r="C258"/>
  <c r="A258"/>
  <c r="R257"/>
  <c r="S257"/>
  <c r="Q257"/>
  <c r="O257"/>
  <c r="M257"/>
  <c r="K257"/>
  <c r="I257"/>
  <c r="G257"/>
  <c r="E257"/>
  <c r="B257"/>
  <c r="C257"/>
  <c r="A257"/>
  <c r="R256"/>
  <c r="S256"/>
  <c r="Q256"/>
  <c r="O256"/>
  <c r="M256"/>
  <c r="K256"/>
  <c r="I256"/>
  <c r="G256"/>
  <c r="E256"/>
  <c r="B256"/>
  <c r="C256"/>
  <c r="A256"/>
  <c r="R255"/>
  <c r="S255"/>
  <c r="Q255"/>
  <c r="O255"/>
  <c r="M255"/>
  <c r="K255"/>
  <c r="I255"/>
  <c r="G255"/>
  <c r="E255"/>
  <c r="B255"/>
  <c r="C255"/>
  <c r="A255"/>
  <c r="R254"/>
  <c r="S254"/>
  <c r="Q254"/>
  <c r="O254"/>
  <c r="M254"/>
  <c r="K254"/>
  <c r="I254"/>
  <c r="G254"/>
  <c r="E254"/>
  <c r="B254"/>
  <c r="C254"/>
  <c r="A254"/>
  <c r="R253"/>
  <c r="S253"/>
  <c r="Q253"/>
  <c r="O253"/>
  <c r="M253"/>
  <c r="K253"/>
  <c r="I253"/>
  <c r="G253"/>
  <c r="E253"/>
  <c r="B253"/>
  <c r="C253"/>
  <c r="A253"/>
  <c r="R252"/>
  <c r="S252"/>
  <c r="Q252"/>
  <c r="O252"/>
  <c r="M252"/>
  <c r="K252"/>
  <c r="I252"/>
  <c r="G252"/>
  <c r="E252"/>
  <c r="B252"/>
  <c r="C252"/>
  <c r="A252"/>
  <c r="R251"/>
  <c r="S251"/>
  <c r="Q251"/>
  <c r="O251"/>
  <c r="M251"/>
  <c r="K251"/>
  <c r="I251"/>
  <c r="G251"/>
  <c r="E251"/>
  <c r="B251"/>
  <c r="C251"/>
  <c r="A251"/>
  <c r="R250"/>
  <c r="S250"/>
  <c r="Q250"/>
  <c r="O250"/>
  <c r="M250"/>
  <c r="K250"/>
  <c r="I250"/>
  <c r="G250"/>
  <c r="E250"/>
  <c r="B250"/>
  <c r="C250"/>
  <c r="A250"/>
  <c r="R249"/>
  <c r="S249"/>
  <c r="Q249"/>
  <c r="O249"/>
  <c r="M249"/>
  <c r="K249"/>
  <c r="I249"/>
  <c r="G249"/>
  <c r="E249"/>
  <c r="B249"/>
  <c r="C249"/>
  <c r="A249"/>
  <c r="R248"/>
  <c r="S248"/>
  <c r="Q248"/>
  <c r="O248"/>
  <c r="M248"/>
  <c r="K248"/>
  <c r="I248"/>
  <c r="G248"/>
  <c r="E248"/>
  <c r="B248"/>
  <c r="C248"/>
  <c r="A248"/>
  <c r="R247"/>
  <c r="S247"/>
  <c r="Q247"/>
  <c r="O247"/>
  <c r="M247"/>
  <c r="K247"/>
  <c r="I247"/>
  <c r="G247"/>
  <c r="E247"/>
  <c r="B247"/>
  <c r="C247"/>
  <c r="A247"/>
  <c r="R246"/>
  <c r="S246"/>
  <c r="Q246"/>
  <c r="O246"/>
  <c r="M246"/>
  <c r="K246"/>
  <c r="I246"/>
  <c r="G246"/>
  <c r="E246"/>
  <c r="B246"/>
  <c r="C246"/>
  <c r="A246"/>
  <c r="R245"/>
  <c r="S245"/>
  <c r="Q245"/>
  <c r="O245"/>
  <c r="M245"/>
  <c r="K245"/>
  <c r="I245"/>
  <c r="G245"/>
  <c r="E245"/>
  <c r="B245"/>
  <c r="C245"/>
  <c r="A245"/>
  <c r="R244"/>
  <c r="S244"/>
  <c r="Q244"/>
  <c r="O244"/>
  <c r="M244"/>
  <c r="K244"/>
  <c r="I244"/>
  <c r="G244"/>
  <c r="E244"/>
  <c r="B244"/>
  <c r="C244"/>
  <c r="A244"/>
  <c r="R243"/>
  <c r="S243"/>
  <c r="Q243"/>
  <c r="O243"/>
  <c r="M243"/>
  <c r="K243"/>
  <c r="I243"/>
  <c r="G243"/>
  <c r="E243"/>
  <c r="B243"/>
  <c r="C243"/>
  <c r="A243"/>
  <c r="R242"/>
  <c r="S242"/>
  <c r="Q242"/>
  <c r="O242"/>
  <c r="M242"/>
  <c r="K242"/>
  <c r="I242"/>
  <c r="G242"/>
  <c r="E242"/>
  <c r="B242"/>
  <c r="C242"/>
  <c r="A242"/>
  <c r="R241"/>
  <c r="S241"/>
  <c r="Q241"/>
  <c r="O241"/>
  <c r="M241"/>
  <c r="K241"/>
  <c r="I241"/>
  <c r="G241"/>
  <c r="E241"/>
  <c r="B241"/>
  <c r="C241"/>
  <c r="A241"/>
  <c r="R240"/>
  <c r="S240"/>
  <c r="Q240"/>
  <c r="O240"/>
  <c r="M240"/>
  <c r="K240"/>
  <c r="I240"/>
  <c r="G240"/>
  <c r="E240"/>
  <c r="B240"/>
  <c r="C240"/>
  <c r="A240"/>
  <c r="R239"/>
  <c r="S239"/>
  <c r="Q239"/>
  <c r="O239"/>
  <c r="M239"/>
  <c r="K239"/>
  <c r="I239"/>
  <c r="G239"/>
  <c r="E239"/>
  <c r="B239"/>
  <c r="C239"/>
  <c r="A239"/>
  <c r="R238"/>
  <c r="S238"/>
  <c r="Q238"/>
  <c r="O238"/>
  <c r="M238"/>
  <c r="K238"/>
  <c r="I238"/>
  <c r="G238"/>
  <c r="E238"/>
  <c r="B238"/>
  <c r="C238"/>
  <c r="A238"/>
  <c r="R237"/>
  <c r="S237"/>
  <c r="Q237"/>
  <c r="O237"/>
  <c r="M237"/>
  <c r="K237"/>
  <c r="I237"/>
  <c r="G237"/>
  <c r="E237"/>
  <c r="B237"/>
  <c r="C237"/>
  <c r="A237"/>
  <c r="R236"/>
  <c r="S236"/>
  <c r="Q236"/>
  <c r="O236"/>
  <c r="M236"/>
  <c r="K236"/>
  <c r="I236"/>
  <c r="G236"/>
  <c r="E236"/>
  <c r="B236"/>
  <c r="C236"/>
  <c r="A236"/>
  <c r="R235"/>
  <c r="S235"/>
  <c r="Q235"/>
  <c r="O235"/>
  <c r="M235"/>
  <c r="K235"/>
  <c r="I235"/>
  <c r="G235"/>
  <c r="E235"/>
  <c r="B235"/>
  <c r="C235"/>
  <c r="A235"/>
  <c r="R234"/>
  <c r="S234"/>
  <c r="Q234"/>
  <c r="O234"/>
  <c r="M234"/>
  <c r="K234"/>
  <c r="I234"/>
  <c r="G234"/>
  <c r="E234"/>
  <c r="B234"/>
  <c r="C234"/>
  <c r="A234"/>
  <c r="R233"/>
  <c r="S233"/>
  <c r="Q233"/>
  <c r="O233"/>
  <c r="M233"/>
  <c r="K233"/>
  <c r="I233"/>
  <c r="G233"/>
  <c r="E233"/>
  <c r="B233"/>
  <c r="C233"/>
  <c r="A233"/>
  <c r="R232"/>
  <c r="S232"/>
  <c r="Q232"/>
  <c r="O232"/>
  <c r="M232"/>
  <c r="K232"/>
  <c r="I232"/>
  <c r="G232"/>
  <c r="E232"/>
  <c r="B232"/>
  <c r="C232"/>
  <c r="A232"/>
  <c r="R231"/>
  <c r="S231"/>
  <c r="Q231"/>
  <c r="O231"/>
  <c r="M231"/>
  <c r="K231"/>
  <c r="I231"/>
  <c r="G231"/>
  <c r="E231"/>
  <c r="B231"/>
  <c r="C231"/>
  <c r="A231"/>
  <c r="R230"/>
  <c r="S230"/>
  <c r="Q230"/>
  <c r="O230"/>
  <c r="M230"/>
  <c r="K230"/>
  <c r="I230"/>
  <c r="G230"/>
  <c r="E230"/>
  <c r="B230"/>
  <c r="C230"/>
  <c r="A230"/>
  <c r="R229"/>
  <c r="S229"/>
  <c r="Q229"/>
  <c r="O229"/>
  <c r="M229"/>
  <c r="K229"/>
  <c r="I229"/>
  <c r="G229"/>
  <c r="E229"/>
  <c r="B229"/>
  <c r="C229"/>
  <c r="A229"/>
  <c r="R228"/>
  <c r="S228"/>
  <c r="Q228"/>
  <c r="O228"/>
  <c r="M228"/>
  <c r="K228"/>
  <c r="I228"/>
  <c r="G228"/>
  <c r="E228"/>
  <c r="B228"/>
  <c r="C228"/>
  <c r="A228"/>
  <c r="R227"/>
  <c r="S227"/>
  <c r="Q227"/>
  <c r="O227"/>
  <c r="M227"/>
  <c r="K227"/>
  <c r="I227"/>
  <c r="G227"/>
  <c r="E227"/>
  <c r="B227"/>
  <c r="C227"/>
  <c r="A227"/>
  <c r="R226"/>
  <c r="S226"/>
  <c r="Q226"/>
  <c r="O226"/>
  <c r="M226"/>
  <c r="K226"/>
  <c r="I226"/>
  <c r="G226"/>
  <c r="E226"/>
  <c r="B226"/>
  <c r="C226"/>
  <c r="A226"/>
  <c r="R225"/>
  <c r="S225"/>
  <c r="Q225"/>
  <c r="O225"/>
  <c r="M225"/>
  <c r="K225"/>
  <c r="I225"/>
  <c r="G225"/>
  <c r="E225"/>
  <c r="B225"/>
  <c r="C225"/>
  <c r="A225"/>
  <c r="R224"/>
  <c r="S224"/>
  <c r="Q224"/>
  <c r="O224"/>
  <c r="M224"/>
  <c r="K224"/>
  <c r="I224"/>
  <c r="G224"/>
  <c r="E224"/>
  <c r="B224"/>
  <c r="C224"/>
  <c r="A224"/>
  <c r="R223"/>
  <c r="S223"/>
  <c r="Q223"/>
  <c r="O223"/>
  <c r="M223"/>
  <c r="K223"/>
  <c r="I223"/>
  <c r="G223"/>
  <c r="E223"/>
  <c r="B223"/>
  <c r="C223"/>
  <c r="A223"/>
  <c r="R222"/>
  <c r="S222"/>
  <c r="Q222"/>
  <c r="O222"/>
  <c r="M222"/>
  <c r="K222"/>
  <c r="I222"/>
  <c r="G222"/>
  <c r="E222"/>
  <c r="B222"/>
  <c r="C222"/>
  <c r="A222"/>
  <c r="R221"/>
  <c r="S221"/>
  <c r="Q221"/>
  <c r="O221"/>
  <c r="M221"/>
  <c r="K221"/>
  <c r="I221"/>
  <c r="G221"/>
  <c r="E221"/>
  <c r="B221"/>
  <c r="C221"/>
  <c r="A221"/>
  <c r="R220"/>
  <c r="S220"/>
  <c r="Q220"/>
  <c r="O220"/>
  <c r="M220"/>
  <c r="K220"/>
  <c r="I220"/>
  <c r="G220"/>
  <c r="E220"/>
  <c r="B220"/>
  <c r="C220"/>
  <c r="A220"/>
  <c r="R219"/>
  <c r="S219"/>
  <c r="Q219"/>
  <c r="O219"/>
  <c r="M219"/>
  <c r="K219"/>
  <c r="I219"/>
  <c r="G219"/>
  <c r="E219"/>
  <c r="B219"/>
  <c r="C219"/>
  <c r="A219"/>
  <c r="R218"/>
  <c r="S218"/>
  <c r="Q218"/>
  <c r="O218"/>
  <c r="M218"/>
  <c r="K218"/>
  <c r="I218"/>
  <c r="G218"/>
  <c r="E218"/>
  <c r="B218"/>
  <c r="C218"/>
  <c r="A218"/>
  <c r="R217"/>
  <c r="S217"/>
  <c r="Q217"/>
  <c r="O217"/>
  <c r="M217"/>
  <c r="K217"/>
  <c r="I217"/>
  <c r="G217"/>
  <c r="E217"/>
  <c r="B217"/>
  <c r="C217"/>
  <c r="A217"/>
  <c r="R216"/>
  <c r="S216"/>
  <c r="Q216"/>
  <c r="O216"/>
  <c r="M216"/>
  <c r="K216"/>
  <c r="I216"/>
  <c r="G216"/>
  <c r="E216"/>
  <c r="B216"/>
  <c r="C216"/>
  <c r="A216"/>
  <c r="R215"/>
  <c r="S215"/>
  <c r="Q215"/>
  <c r="O215"/>
  <c r="M215"/>
  <c r="K215"/>
  <c r="I215"/>
  <c r="G215"/>
  <c r="E215"/>
  <c r="B215"/>
  <c r="C215"/>
  <c r="A215"/>
  <c r="R214"/>
  <c r="S214"/>
  <c r="Q214"/>
  <c r="O214"/>
  <c r="M214"/>
  <c r="K214"/>
  <c r="I214"/>
  <c r="G214"/>
  <c r="E214"/>
  <c r="B214"/>
  <c r="C214"/>
  <c r="A214"/>
  <c r="R213"/>
  <c r="S213"/>
  <c r="Q213"/>
  <c r="O213"/>
  <c r="M213"/>
  <c r="K213"/>
  <c r="I213"/>
  <c r="G213"/>
  <c r="E213"/>
  <c r="B213"/>
  <c r="C213"/>
  <c r="A213"/>
  <c r="R212"/>
  <c r="S212"/>
  <c r="Q212"/>
  <c r="O212"/>
  <c r="M212"/>
  <c r="K212"/>
  <c r="I212"/>
  <c r="G212"/>
  <c r="E212"/>
  <c r="B212"/>
  <c r="C212"/>
  <c r="A212"/>
  <c r="R211"/>
  <c r="S211"/>
  <c r="Q211"/>
  <c r="O211"/>
  <c r="M211"/>
  <c r="K211"/>
  <c r="I211"/>
  <c r="G211"/>
  <c r="E211"/>
  <c r="B211"/>
  <c r="C211"/>
  <c r="A211"/>
  <c r="R210"/>
  <c r="S210"/>
  <c r="Q210"/>
  <c r="O210"/>
  <c r="M210"/>
  <c r="K210"/>
  <c r="I210"/>
  <c r="G210"/>
  <c r="E210"/>
  <c r="B210"/>
  <c r="C210"/>
  <c r="A210"/>
  <c r="R209"/>
  <c r="S209"/>
  <c r="Q209"/>
  <c r="O209"/>
  <c r="M209"/>
  <c r="K209"/>
  <c r="I209"/>
  <c r="G209"/>
  <c r="E209"/>
  <c r="B209"/>
  <c r="C209"/>
  <c r="A209"/>
  <c r="R208"/>
  <c r="S208"/>
  <c r="Q208"/>
  <c r="O208"/>
  <c r="M208"/>
  <c r="K208"/>
  <c r="I208"/>
  <c r="G208"/>
  <c r="E208"/>
  <c r="B208"/>
  <c r="C208"/>
  <c r="A208"/>
  <c r="R207"/>
  <c r="S207"/>
  <c r="Q207"/>
  <c r="O207"/>
  <c r="M207"/>
  <c r="K207"/>
  <c r="I207"/>
  <c r="G207"/>
  <c r="E207"/>
  <c r="B207"/>
  <c r="C207"/>
  <c r="A207"/>
  <c r="R206"/>
  <c r="S206"/>
  <c r="Q206"/>
  <c r="O206"/>
  <c r="M206"/>
  <c r="K206"/>
  <c r="I206"/>
  <c r="G206"/>
  <c r="E206"/>
  <c r="B206"/>
  <c r="C206"/>
  <c r="A206"/>
  <c r="R205"/>
  <c r="S205"/>
  <c r="Q205"/>
  <c r="O205"/>
  <c r="M205"/>
  <c r="K205"/>
  <c r="I205"/>
  <c r="G205"/>
  <c r="E205"/>
  <c r="B205"/>
  <c r="C205"/>
  <c r="A205"/>
  <c r="R204"/>
  <c r="S204"/>
  <c r="Q204"/>
  <c r="O204"/>
  <c r="M204"/>
  <c r="K204"/>
  <c r="I204"/>
  <c r="G204"/>
  <c r="E204"/>
  <c r="B204"/>
  <c r="C204"/>
  <c r="A204"/>
  <c r="R203"/>
  <c r="S203"/>
  <c r="Q203"/>
  <c r="O203"/>
  <c r="M203"/>
  <c r="K203"/>
  <c r="I203"/>
  <c r="G203"/>
  <c r="E203"/>
  <c r="B203"/>
  <c r="C203"/>
  <c r="A203"/>
  <c r="R202"/>
  <c r="S202"/>
  <c r="Q202"/>
  <c r="O202"/>
  <c r="M202"/>
  <c r="K202"/>
  <c r="I202"/>
  <c r="G202"/>
  <c r="E202"/>
  <c r="B202"/>
  <c r="C202"/>
  <c r="A202"/>
  <c r="R201"/>
  <c r="S201"/>
  <c r="Q201"/>
  <c r="O201"/>
  <c r="M201"/>
  <c r="K201"/>
  <c r="I201"/>
  <c r="G201"/>
  <c r="E201"/>
  <c r="B201"/>
  <c r="C201"/>
  <c r="A201"/>
  <c r="R200"/>
  <c r="S200"/>
  <c r="Q200"/>
  <c r="O200"/>
  <c r="M200"/>
  <c r="K200"/>
  <c r="I200"/>
  <c r="G200"/>
  <c r="E200"/>
  <c r="B200"/>
  <c r="C200"/>
  <c r="A200"/>
  <c r="R199"/>
  <c r="S199"/>
  <c r="Q199"/>
  <c r="O199"/>
  <c r="M199"/>
  <c r="K199"/>
  <c r="I199"/>
  <c r="G199"/>
  <c r="E199"/>
  <c r="B199"/>
  <c r="C199"/>
  <c r="A199"/>
  <c r="R198"/>
  <c r="S198"/>
  <c r="Q198"/>
  <c r="O198"/>
  <c r="M198"/>
  <c r="K198"/>
  <c r="I198"/>
  <c r="G198"/>
  <c r="E198"/>
  <c r="B198"/>
  <c r="C198"/>
  <c r="A198"/>
  <c r="R197"/>
  <c r="S197"/>
  <c r="Q197"/>
  <c r="O197"/>
  <c r="M197"/>
  <c r="K197"/>
  <c r="I197"/>
  <c r="G197"/>
  <c r="E197"/>
  <c r="B197"/>
  <c r="C197"/>
  <c r="A197"/>
  <c r="R196"/>
  <c r="S196"/>
  <c r="Q196"/>
  <c r="O196"/>
  <c r="M196"/>
  <c r="K196"/>
  <c r="I196"/>
  <c r="G196"/>
  <c r="E196"/>
  <c r="B196"/>
  <c r="C196"/>
  <c r="A196"/>
  <c r="R195"/>
  <c r="S195"/>
  <c r="Q195"/>
  <c r="O195"/>
  <c r="M195"/>
  <c r="K195"/>
  <c r="I195"/>
  <c r="G195"/>
  <c r="E195"/>
  <c r="B195"/>
  <c r="C195"/>
  <c r="A195"/>
  <c r="R194"/>
  <c r="S194"/>
  <c r="Q194"/>
  <c r="O194"/>
  <c r="M194"/>
  <c r="K194"/>
  <c r="I194"/>
  <c r="G194"/>
  <c r="E194"/>
  <c r="B194"/>
  <c r="C194"/>
  <c r="A194"/>
  <c r="R193"/>
  <c r="S193"/>
  <c r="Q193"/>
  <c r="O193"/>
  <c r="M193"/>
  <c r="K193"/>
  <c r="I193"/>
  <c r="G193"/>
  <c r="E193"/>
  <c r="B193"/>
  <c r="C193"/>
  <c r="A193"/>
  <c r="R192"/>
  <c r="S192"/>
  <c r="Q192"/>
  <c r="O192"/>
  <c r="M192"/>
  <c r="K192"/>
  <c r="I192"/>
  <c r="G192"/>
  <c r="E192"/>
  <c r="B192"/>
  <c r="C192"/>
  <c r="A192"/>
  <c r="R191"/>
  <c r="S191"/>
  <c r="Q191"/>
  <c r="O191"/>
  <c r="M191"/>
  <c r="K191"/>
  <c r="I191"/>
  <c r="G191"/>
  <c r="E191"/>
  <c r="B191"/>
  <c r="C191"/>
  <c r="A191"/>
  <c r="R190"/>
  <c r="S190"/>
  <c r="Q190"/>
  <c r="O190"/>
  <c r="M190"/>
  <c r="K190"/>
  <c r="I190"/>
  <c r="G190"/>
  <c r="E190"/>
  <c r="B190"/>
  <c r="C190"/>
  <c r="A190"/>
  <c r="R189"/>
  <c r="S189"/>
  <c r="Q189"/>
  <c r="O189"/>
  <c r="M189"/>
  <c r="K189"/>
  <c r="I189"/>
  <c r="G189"/>
  <c r="E189"/>
  <c r="B189"/>
  <c r="C189"/>
  <c r="A189"/>
  <c r="R188"/>
  <c r="S188"/>
  <c r="Q188"/>
  <c r="O188"/>
  <c r="M188"/>
  <c r="K188"/>
  <c r="I188"/>
  <c r="G188"/>
  <c r="E188"/>
  <c r="B188"/>
  <c r="C188"/>
  <c r="A188"/>
  <c r="R187"/>
  <c r="S187"/>
  <c r="Q187"/>
  <c r="O187"/>
  <c r="M187"/>
  <c r="K187"/>
  <c r="I187"/>
  <c r="G187"/>
  <c r="E187"/>
  <c r="B187"/>
  <c r="C187"/>
  <c r="A187"/>
  <c r="R186"/>
  <c r="S186"/>
  <c r="Q186"/>
  <c r="O186"/>
  <c r="M186"/>
  <c r="K186"/>
  <c r="I186"/>
  <c r="G186"/>
  <c r="E186"/>
  <c r="B186"/>
  <c r="C186"/>
  <c r="A186"/>
  <c r="R185"/>
  <c r="S185"/>
  <c r="Q185"/>
  <c r="O185"/>
  <c r="M185"/>
  <c r="K185"/>
  <c r="I185"/>
  <c r="G185"/>
  <c r="E185"/>
  <c r="B185"/>
  <c r="C185"/>
  <c r="A185"/>
  <c r="R184"/>
  <c r="S184"/>
  <c r="Q184"/>
  <c r="O184"/>
  <c r="M184"/>
  <c r="K184"/>
  <c r="I184"/>
  <c r="G184"/>
  <c r="E184"/>
  <c r="B184"/>
  <c r="C184"/>
  <c r="A184"/>
  <c r="R183"/>
  <c r="S183"/>
  <c r="Q183"/>
  <c r="O183"/>
  <c r="M183"/>
  <c r="K183"/>
  <c r="I183"/>
  <c r="G183"/>
  <c r="E183"/>
  <c r="B183"/>
  <c r="C183"/>
  <c r="A183"/>
  <c r="R182"/>
  <c r="S182"/>
  <c r="Q182"/>
  <c r="O182"/>
  <c r="M182"/>
  <c r="K182"/>
  <c r="I182"/>
  <c r="G182"/>
  <c r="E182"/>
  <c r="B182"/>
  <c r="C182"/>
  <c r="A182"/>
  <c r="R181"/>
  <c r="S181"/>
  <c r="Q181"/>
  <c r="O181"/>
  <c r="M181"/>
  <c r="K181"/>
  <c r="I181"/>
  <c r="G181"/>
  <c r="E181"/>
  <c r="B181"/>
  <c r="C181"/>
  <c r="A181"/>
  <c r="R180"/>
  <c r="S180"/>
  <c r="Q180"/>
  <c r="O180"/>
  <c r="M180"/>
  <c r="K180"/>
  <c r="I180"/>
  <c r="G180"/>
  <c r="E180"/>
  <c r="B180"/>
  <c r="C180"/>
  <c r="A180"/>
  <c r="R179"/>
  <c r="S179"/>
  <c r="Q179"/>
  <c r="O179"/>
  <c r="M179"/>
  <c r="K179"/>
  <c r="I179"/>
  <c r="G179"/>
  <c r="E179"/>
  <c r="B179"/>
  <c r="C179"/>
  <c r="A179"/>
  <c r="R178"/>
  <c r="S178"/>
  <c r="Q178"/>
  <c r="O178"/>
  <c r="M178"/>
  <c r="K178"/>
  <c r="I178"/>
  <c r="G178"/>
  <c r="E178"/>
  <c r="B178"/>
  <c r="C178"/>
  <c r="A178"/>
  <c r="R177"/>
  <c r="S177"/>
  <c r="Q177"/>
  <c r="O177"/>
  <c r="M177"/>
  <c r="K177"/>
  <c r="I177"/>
  <c r="G177"/>
  <c r="E177"/>
  <c r="B177"/>
  <c r="C177"/>
  <c r="A177"/>
  <c r="R176"/>
  <c r="S176"/>
  <c r="Q176"/>
  <c r="O176"/>
  <c r="M176"/>
  <c r="K176"/>
  <c r="I176"/>
  <c r="G176"/>
  <c r="E176"/>
  <c r="B176"/>
  <c r="C176"/>
  <c r="A176"/>
  <c r="R175"/>
  <c r="S175"/>
  <c r="Q175"/>
  <c r="O175"/>
  <c r="M175"/>
  <c r="K175"/>
  <c r="I175"/>
  <c r="G175"/>
  <c r="E175"/>
  <c r="B175"/>
  <c r="C175"/>
  <c r="A175"/>
  <c r="R174"/>
  <c r="S174"/>
  <c r="Q174"/>
  <c r="O174"/>
  <c r="M174"/>
  <c r="K174"/>
  <c r="I174"/>
  <c r="G174"/>
  <c r="E174"/>
  <c r="B174"/>
  <c r="C174"/>
  <c r="A174"/>
  <c r="R173"/>
  <c r="S173"/>
  <c r="Q173"/>
  <c r="O173"/>
  <c r="M173"/>
  <c r="K173"/>
  <c r="I173"/>
  <c r="G173"/>
  <c r="E173"/>
  <c r="B173"/>
  <c r="C173"/>
  <c r="A173"/>
  <c r="R172"/>
  <c r="S172"/>
  <c r="Q172"/>
  <c r="O172"/>
  <c r="M172"/>
  <c r="K172"/>
  <c r="I172"/>
  <c r="G172"/>
  <c r="E172"/>
  <c r="B172"/>
  <c r="C172"/>
  <c r="A172"/>
  <c r="R171"/>
  <c r="S171"/>
  <c r="Q171"/>
  <c r="O171"/>
  <c r="M171"/>
  <c r="K171"/>
  <c r="I171"/>
  <c r="G171"/>
  <c r="E171"/>
  <c r="B171"/>
  <c r="C171"/>
  <c r="A171"/>
  <c r="R170"/>
  <c r="S170"/>
  <c r="Q170"/>
  <c r="O170"/>
  <c r="M170"/>
  <c r="K170"/>
  <c r="I170"/>
  <c r="G170"/>
  <c r="E170"/>
  <c r="B170"/>
  <c r="C170"/>
  <c r="A170"/>
  <c r="R169"/>
  <c r="S169"/>
  <c r="Q169"/>
  <c r="O169"/>
  <c r="M169"/>
  <c r="K169"/>
  <c r="I169"/>
  <c r="G169"/>
  <c r="E169"/>
  <c r="B169"/>
  <c r="C169"/>
  <c r="A169"/>
  <c r="R168"/>
  <c r="S168"/>
  <c r="Q168"/>
  <c r="O168"/>
  <c r="M168"/>
  <c r="K168"/>
  <c r="I168"/>
  <c r="G168"/>
  <c r="E168"/>
  <c r="B168"/>
  <c r="C168"/>
  <c r="A168"/>
  <c r="R167"/>
  <c r="S167"/>
  <c r="Q167"/>
  <c r="O167"/>
  <c r="M167"/>
  <c r="K167"/>
  <c r="I167"/>
  <c r="G167"/>
  <c r="E167"/>
  <c r="B167"/>
  <c r="C167"/>
  <c r="A167"/>
  <c r="R166"/>
  <c r="S166"/>
  <c r="Q166"/>
  <c r="O166"/>
  <c r="M166"/>
  <c r="K166"/>
  <c r="I166"/>
  <c r="G166"/>
  <c r="E166"/>
  <c r="B166"/>
  <c r="C166"/>
  <c r="A166"/>
  <c r="R165"/>
  <c r="S165"/>
  <c r="Q165"/>
  <c r="O165"/>
  <c r="M165"/>
  <c r="K165"/>
  <c r="I165"/>
  <c r="G165"/>
  <c r="E165"/>
  <c r="B165"/>
  <c r="C165"/>
  <c r="A165"/>
  <c r="R164"/>
  <c r="S164"/>
  <c r="Q164"/>
  <c r="O164"/>
  <c r="M164"/>
  <c r="K164"/>
  <c r="I164"/>
  <c r="G164"/>
  <c r="E164"/>
  <c r="B164"/>
  <c r="C164"/>
  <c r="A164"/>
  <c r="R163"/>
  <c r="S163"/>
  <c r="Q163"/>
  <c r="O163"/>
  <c r="M163"/>
  <c r="K163"/>
  <c r="I163"/>
  <c r="G163"/>
  <c r="E163"/>
  <c r="B163"/>
  <c r="C163"/>
  <c r="A163"/>
  <c r="R162"/>
  <c r="S162"/>
  <c r="Q162"/>
  <c r="O162"/>
  <c r="M162"/>
  <c r="K162"/>
  <c r="I162"/>
  <c r="G162"/>
  <c r="E162"/>
  <c r="B162"/>
  <c r="C162"/>
  <c r="A162"/>
  <c r="R161"/>
  <c r="S161"/>
  <c r="Q161"/>
  <c r="O161"/>
  <c r="M161"/>
  <c r="K161"/>
  <c r="I161"/>
  <c r="G161"/>
  <c r="E161"/>
  <c r="B161"/>
  <c r="C161"/>
  <c r="A161"/>
  <c r="R160"/>
  <c r="S160"/>
  <c r="Q160"/>
  <c r="O160"/>
  <c r="M160"/>
  <c r="K160"/>
  <c r="I160"/>
  <c r="G160"/>
  <c r="E160"/>
  <c r="B160"/>
  <c r="C160"/>
  <c r="A160"/>
  <c r="R159"/>
  <c r="S159"/>
  <c r="Q159"/>
  <c r="O159"/>
  <c r="M159"/>
  <c r="K159"/>
  <c r="I159"/>
  <c r="G159"/>
  <c r="E159"/>
  <c r="B159"/>
  <c r="C159"/>
  <c r="A159"/>
  <c r="R158"/>
  <c r="S158"/>
  <c r="Q158"/>
  <c r="O158"/>
  <c r="M158"/>
  <c r="K158"/>
  <c r="I158"/>
  <c r="G158"/>
  <c r="E158"/>
  <c r="B158"/>
  <c r="C158"/>
  <c r="A158"/>
  <c r="R157"/>
  <c r="S157"/>
  <c r="Q157"/>
  <c r="O157"/>
  <c r="M157"/>
  <c r="K157"/>
  <c r="I157"/>
  <c r="G157"/>
  <c r="E157"/>
  <c r="B157"/>
  <c r="C157"/>
  <c r="A157"/>
  <c r="R156"/>
  <c r="S156"/>
  <c r="Q156"/>
  <c r="O156"/>
  <c r="M156"/>
  <c r="K156"/>
  <c r="I156"/>
  <c r="G156"/>
  <c r="E156"/>
  <c r="B156"/>
  <c r="C156"/>
  <c r="A156"/>
  <c r="R155"/>
  <c r="S155"/>
  <c r="Q155"/>
  <c r="O155"/>
  <c r="M155"/>
  <c r="K155"/>
  <c r="I155"/>
  <c r="G155"/>
  <c r="E155"/>
  <c r="B155"/>
  <c r="C155"/>
  <c r="A155"/>
  <c r="R154"/>
  <c r="S154"/>
  <c r="Q154"/>
  <c r="O154"/>
  <c r="M154"/>
  <c r="K154"/>
  <c r="I154"/>
  <c r="G154"/>
  <c r="E154"/>
  <c r="B154"/>
  <c r="C154"/>
  <c r="A154"/>
  <c r="R153"/>
  <c r="S153"/>
  <c r="Q153"/>
  <c r="O153"/>
  <c r="M153"/>
  <c r="K153"/>
  <c r="I153"/>
  <c r="G153"/>
  <c r="E153"/>
  <c r="B153"/>
  <c r="C153"/>
  <c r="A153"/>
  <c r="R152"/>
  <c r="S152"/>
  <c r="Q152"/>
  <c r="O152"/>
  <c r="M152"/>
  <c r="K152"/>
  <c r="I152"/>
  <c r="G152"/>
  <c r="E152"/>
  <c r="B152"/>
  <c r="C152"/>
  <c r="A152"/>
  <c r="R151"/>
  <c r="S151"/>
  <c r="Q151"/>
  <c r="O151"/>
  <c r="M151"/>
  <c r="K151"/>
  <c r="I151"/>
  <c r="G151"/>
  <c r="E151"/>
  <c r="B151"/>
  <c r="C151"/>
  <c r="A151"/>
  <c r="R150"/>
  <c r="S150"/>
  <c r="Q150"/>
  <c r="O150"/>
  <c r="M150"/>
  <c r="K150"/>
  <c r="I150"/>
  <c r="G150"/>
  <c r="E150"/>
  <c r="B150"/>
  <c r="C150"/>
  <c r="A150"/>
  <c r="R149"/>
  <c r="S149"/>
  <c r="Q149"/>
  <c r="O149"/>
  <c r="M149"/>
  <c r="K149"/>
  <c r="I149"/>
  <c r="G149"/>
  <c r="E149"/>
  <c r="B149"/>
  <c r="C149"/>
  <c r="A149"/>
  <c r="R148"/>
  <c r="S148"/>
  <c r="Q148"/>
  <c r="O148"/>
  <c r="M148"/>
  <c r="K148"/>
  <c r="I148"/>
  <c r="G148"/>
  <c r="E148"/>
  <c r="B148"/>
  <c r="C148"/>
  <c r="A148"/>
  <c r="R147"/>
  <c r="S147"/>
  <c r="Q147"/>
  <c r="O147"/>
  <c r="M147"/>
  <c r="K147"/>
  <c r="I147"/>
  <c r="G147"/>
  <c r="E147"/>
  <c r="B147"/>
  <c r="C147"/>
  <c r="A147"/>
  <c r="R146"/>
  <c r="S146"/>
  <c r="Q146"/>
  <c r="O146"/>
  <c r="M146"/>
  <c r="K146"/>
  <c r="I146"/>
  <c r="G146"/>
  <c r="E146"/>
  <c r="B146"/>
  <c r="C146"/>
  <c r="A146"/>
  <c r="R145"/>
  <c r="S145"/>
  <c r="Q145"/>
  <c r="O145"/>
  <c r="M145"/>
  <c r="K145"/>
  <c r="I145"/>
  <c r="G145"/>
  <c r="E145"/>
  <c r="B145"/>
  <c r="C145"/>
  <c r="A145"/>
  <c r="R144"/>
  <c r="S144"/>
  <c r="Q144"/>
  <c r="O144"/>
  <c r="M144"/>
  <c r="K144"/>
  <c r="I144"/>
  <c r="G144"/>
  <c r="E144"/>
  <c r="B144"/>
  <c r="C144"/>
  <c r="A144"/>
  <c r="R143"/>
  <c r="S143"/>
  <c r="Q143"/>
  <c r="O143"/>
  <c r="M143"/>
  <c r="K143"/>
  <c r="I143"/>
  <c r="G143"/>
  <c r="E143"/>
  <c r="B143"/>
  <c r="C143"/>
  <c r="A143"/>
  <c r="R142"/>
  <c r="S142"/>
  <c r="Q142"/>
  <c r="O142"/>
  <c r="M142"/>
  <c r="K142"/>
  <c r="I142"/>
  <c r="G142"/>
  <c r="E142"/>
  <c r="B142"/>
  <c r="C142"/>
  <c r="A142"/>
  <c r="R141"/>
  <c r="S141"/>
  <c r="Q141"/>
  <c r="O141"/>
  <c r="M141"/>
  <c r="K141"/>
  <c r="I141"/>
  <c r="G141"/>
  <c r="E141"/>
  <c r="B141"/>
  <c r="C141"/>
  <c r="A141"/>
  <c r="R140"/>
  <c r="S140"/>
  <c r="Q140"/>
  <c r="O140"/>
  <c r="M140"/>
  <c r="K140"/>
  <c r="I140"/>
  <c r="G140"/>
  <c r="E140"/>
  <c r="B140"/>
  <c r="C140"/>
  <c r="A140"/>
  <c r="R139"/>
  <c r="S139"/>
  <c r="Q139"/>
  <c r="O139"/>
  <c r="M139"/>
  <c r="K139"/>
  <c r="I139"/>
  <c r="G139"/>
  <c r="E139"/>
  <c r="B139"/>
  <c r="C139"/>
  <c r="A139"/>
  <c r="R138"/>
  <c r="S138"/>
  <c r="Q138"/>
  <c r="O138"/>
  <c r="M138"/>
  <c r="K138"/>
  <c r="I138"/>
  <c r="G138"/>
  <c r="E138"/>
  <c r="B138"/>
  <c r="C138"/>
  <c r="A138"/>
  <c r="R137"/>
  <c r="S137"/>
  <c r="Q137"/>
  <c r="O137"/>
  <c r="M137"/>
  <c r="K137"/>
  <c r="I137"/>
  <c r="G137"/>
  <c r="E137"/>
  <c r="B137"/>
  <c r="C137"/>
  <c r="A137"/>
  <c r="R136"/>
  <c r="S136"/>
  <c r="Q136"/>
  <c r="O136"/>
  <c r="M136"/>
  <c r="K136"/>
  <c r="I136"/>
  <c r="G136"/>
  <c r="E136"/>
  <c r="B136"/>
  <c r="C136"/>
  <c r="A136"/>
  <c r="R135"/>
  <c r="S135"/>
  <c r="Q135"/>
  <c r="O135"/>
  <c r="M135"/>
  <c r="K135"/>
  <c r="I135"/>
  <c r="G135"/>
  <c r="E135"/>
  <c r="B135"/>
  <c r="C135"/>
  <c r="A135"/>
  <c r="R134"/>
  <c r="S134"/>
  <c r="Q134"/>
  <c r="O134"/>
  <c r="M134"/>
  <c r="K134"/>
  <c r="I134"/>
  <c r="G134"/>
  <c r="E134"/>
  <c r="B134"/>
  <c r="C134"/>
  <c r="A134"/>
  <c r="R133"/>
  <c r="S133"/>
  <c r="Q133"/>
  <c r="O133"/>
  <c r="M133"/>
  <c r="K133"/>
  <c r="I133"/>
  <c r="G133"/>
  <c r="E133"/>
  <c r="B133"/>
  <c r="C133"/>
  <c r="A133"/>
  <c r="R132"/>
  <c r="S132"/>
  <c r="Q132"/>
  <c r="O132"/>
  <c r="M132"/>
  <c r="K132"/>
  <c r="I132"/>
  <c r="G132"/>
  <c r="E132"/>
  <c r="B132"/>
  <c r="C132"/>
  <c r="A132"/>
  <c r="R131"/>
  <c r="S131"/>
  <c r="Q131"/>
  <c r="O131"/>
  <c r="M131"/>
  <c r="K131"/>
  <c r="I131"/>
  <c r="G131"/>
  <c r="E131"/>
  <c r="B131"/>
  <c r="C131"/>
  <c r="A131"/>
  <c r="R130"/>
  <c r="S130"/>
  <c r="Q130"/>
  <c r="O130"/>
  <c r="M130"/>
  <c r="K130"/>
  <c r="I130"/>
  <c r="G130"/>
  <c r="E130"/>
  <c r="B130"/>
  <c r="C130"/>
  <c r="A130"/>
  <c r="R129"/>
  <c r="S129"/>
  <c r="Q129"/>
  <c r="O129"/>
  <c r="M129"/>
  <c r="K129"/>
  <c r="I129"/>
  <c r="G129"/>
  <c r="E129"/>
  <c r="B129"/>
  <c r="C129"/>
  <c r="A129"/>
  <c r="R128"/>
  <c r="S128"/>
  <c r="Q128"/>
  <c r="O128"/>
  <c r="M128"/>
  <c r="K128"/>
  <c r="I128"/>
  <c r="G128"/>
  <c r="E128"/>
  <c r="B128"/>
  <c r="C128"/>
  <c r="A128"/>
  <c r="R127"/>
  <c r="S127"/>
  <c r="Q127"/>
  <c r="O127"/>
  <c r="M127"/>
  <c r="K127"/>
  <c r="I127"/>
  <c r="G127"/>
  <c r="E127"/>
  <c r="B127"/>
  <c r="C127"/>
  <c r="A127"/>
  <c r="R126"/>
  <c r="S126"/>
  <c r="Q126"/>
  <c r="O126"/>
  <c r="M126"/>
  <c r="K126"/>
  <c r="I126"/>
  <c r="G126"/>
  <c r="E126"/>
  <c r="B126"/>
  <c r="C126"/>
  <c r="A126"/>
  <c r="R125"/>
  <c r="S125"/>
  <c r="Q125"/>
  <c r="O125"/>
  <c r="M125"/>
  <c r="K125"/>
  <c r="I125"/>
  <c r="G125"/>
  <c r="E125"/>
  <c r="B125"/>
  <c r="C125"/>
  <c r="A125"/>
  <c r="R124"/>
  <c r="S124"/>
  <c r="Q124"/>
  <c r="O124"/>
  <c r="M124"/>
  <c r="K124"/>
  <c r="I124"/>
  <c r="G124"/>
  <c r="E124"/>
  <c r="B124"/>
  <c r="C124"/>
  <c r="A124"/>
  <c r="R123"/>
  <c r="S123"/>
  <c r="Q123"/>
  <c r="O123"/>
  <c r="M123"/>
  <c r="K123"/>
  <c r="I123"/>
  <c r="G123"/>
  <c r="E123"/>
  <c r="B123"/>
  <c r="C123"/>
  <c r="A123"/>
  <c r="R122"/>
  <c r="S122"/>
  <c r="Q122"/>
  <c r="O122"/>
  <c r="M122"/>
  <c r="K122"/>
  <c r="I122"/>
  <c r="G122"/>
  <c r="E122"/>
  <c r="B122"/>
  <c r="C122"/>
  <c r="A122"/>
  <c r="R121"/>
  <c r="S121"/>
  <c r="Q121"/>
  <c r="O121"/>
  <c r="M121"/>
  <c r="K121"/>
  <c r="I121"/>
  <c r="G121"/>
  <c r="E121"/>
  <c r="B121"/>
  <c r="C121"/>
  <c r="A121"/>
  <c r="R120"/>
  <c r="S120"/>
  <c r="Q120"/>
  <c r="O120"/>
  <c r="M120"/>
  <c r="K120"/>
  <c r="I120"/>
  <c r="G120"/>
  <c r="E120"/>
  <c r="B120"/>
  <c r="C120"/>
  <c r="A120"/>
  <c r="R119"/>
  <c r="S119"/>
  <c r="Q119"/>
  <c r="O119"/>
  <c r="M119"/>
  <c r="K119"/>
  <c r="I119"/>
  <c r="G119"/>
  <c r="E119"/>
  <c r="B119"/>
  <c r="C119"/>
  <c r="A119"/>
  <c r="R118"/>
  <c r="S118"/>
  <c r="Q118"/>
  <c r="O118"/>
  <c r="M118"/>
  <c r="K118"/>
  <c r="I118"/>
  <c r="G118"/>
  <c r="E118"/>
  <c r="B118"/>
  <c r="C118"/>
  <c r="A118"/>
  <c r="R117"/>
  <c r="S117"/>
  <c r="Q117"/>
  <c r="O117"/>
  <c r="M117"/>
  <c r="K117"/>
  <c r="I117"/>
  <c r="G117"/>
  <c r="E117"/>
  <c r="B117"/>
  <c r="C117"/>
  <c r="A117"/>
  <c r="R116"/>
  <c r="S116"/>
  <c r="Q116"/>
  <c r="O116"/>
  <c r="M116"/>
  <c r="K116"/>
  <c r="I116"/>
  <c r="G116"/>
  <c r="E116"/>
  <c r="B116"/>
  <c r="C116"/>
  <c r="A116"/>
  <c r="R115"/>
  <c r="S115"/>
  <c r="Q115"/>
  <c r="O115"/>
  <c r="M115"/>
  <c r="K115"/>
  <c r="I115"/>
  <c r="G115"/>
  <c r="E115"/>
  <c r="B115"/>
  <c r="C115"/>
  <c r="A115"/>
  <c r="R114"/>
  <c r="S114"/>
  <c r="Q114"/>
  <c r="O114"/>
  <c r="M114"/>
  <c r="K114"/>
  <c r="I114"/>
  <c r="G114"/>
  <c r="E114"/>
  <c r="B114"/>
  <c r="C114"/>
  <c r="A114"/>
  <c r="R113"/>
  <c r="S113"/>
  <c r="Q113"/>
  <c r="O113"/>
  <c r="M113"/>
  <c r="K113"/>
  <c r="I113"/>
  <c r="G113"/>
  <c r="E113"/>
  <c r="B113"/>
  <c r="C113"/>
  <c r="A113"/>
  <c r="R112"/>
  <c r="S112"/>
  <c r="Q112"/>
  <c r="O112"/>
  <c r="M112"/>
  <c r="K112"/>
  <c r="I112"/>
  <c r="G112"/>
  <c r="E112"/>
  <c r="B112"/>
  <c r="C112"/>
  <c r="A112"/>
  <c r="R111"/>
  <c r="S111"/>
  <c r="Q111"/>
  <c r="O111"/>
  <c r="M111"/>
  <c r="K111"/>
  <c r="I111"/>
  <c r="G111"/>
  <c r="E111"/>
  <c r="B111"/>
  <c r="C111"/>
  <c r="A111"/>
  <c r="R110"/>
  <c r="S110"/>
  <c r="Q110"/>
  <c r="O110"/>
  <c r="M110"/>
  <c r="K110"/>
  <c r="I110"/>
  <c r="G110"/>
  <c r="E110"/>
  <c r="B110"/>
  <c r="C110"/>
  <c r="A110"/>
  <c r="R109"/>
  <c r="S109"/>
  <c r="Q109"/>
  <c r="O109"/>
  <c r="M109"/>
  <c r="K109"/>
  <c r="I109"/>
  <c r="G109"/>
  <c r="E109"/>
  <c r="B109"/>
  <c r="C109"/>
  <c r="A109"/>
  <c r="R108"/>
  <c r="S108"/>
  <c r="Q108"/>
  <c r="O108"/>
  <c r="M108"/>
  <c r="K108"/>
  <c r="I108"/>
  <c r="G108"/>
  <c r="E108"/>
  <c r="B108"/>
  <c r="C108"/>
  <c r="A108"/>
  <c r="R107"/>
  <c r="S107"/>
  <c r="Q107"/>
  <c r="O107"/>
  <c r="M107"/>
  <c r="K107"/>
  <c r="I107"/>
  <c r="G107"/>
  <c r="E107"/>
  <c r="B107"/>
  <c r="C107"/>
  <c r="A107"/>
  <c r="R106"/>
  <c r="S106"/>
  <c r="Q106"/>
  <c r="O106"/>
  <c r="M106"/>
  <c r="K106"/>
  <c r="I106"/>
  <c r="G106"/>
  <c r="E106"/>
  <c r="B106"/>
  <c r="C106"/>
  <c r="A106"/>
  <c r="R105"/>
  <c r="S105"/>
  <c r="Q105"/>
  <c r="O105"/>
  <c r="M105"/>
  <c r="K105"/>
  <c r="I105"/>
  <c r="G105"/>
  <c r="E105"/>
  <c r="B105"/>
  <c r="C105"/>
  <c r="A105"/>
  <c r="R104"/>
  <c r="S104"/>
  <c r="Q104"/>
  <c r="O104"/>
  <c r="M104"/>
  <c r="K104"/>
  <c r="I104"/>
  <c r="G104"/>
  <c r="E104"/>
  <c r="B104"/>
  <c r="C104"/>
  <c r="A104"/>
  <c r="R103"/>
  <c r="S103"/>
  <c r="Q103"/>
  <c r="O103"/>
  <c r="M103"/>
  <c r="K103"/>
  <c r="I103"/>
  <c r="G103"/>
  <c r="E103"/>
  <c r="B103"/>
  <c r="C103"/>
  <c r="A103"/>
  <c r="R102"/>
  <c r="S102"/>
  <c r="Q102"/>
  <c r="O102"/>
  <c r="M102"/>
  <c r="K102"/>
  <c r="I102"/>
  <c r="G102"/>
  <c r="E102"/>
  <c r="B102"/>
  <c r="C102"/>
  <c r="A102"/>
  <c r="R101"/>
  <c r="S101"/>
  <c r="Q101"/>
  <c r="O101"/>
  <c r="M101"/>
  <c r="K101"/>
  <c r="I101"/>
  <c r="G101"/>
  <c r="E101"/>
  <c r="B101"/>
  <c r="C101"/>
  <c r="A101"/>
  <c r="R100"/>
  <c r="S100"/>
  <c r="Q100"/>
  <c r="O100"/>
  <c r="M100"/>
  <c r="K100"/>
  <c r="I100"/>
  <c r="G100"/>
  <c r="E100"/>
  <c r="B100"/>
  <c r="C100"/>
  <c r="A100"/>
  <c r="R99"/>
  <c r="S99"/>
  <c r="Q99"/>
  <c r="O99"/>
  <c r="M99"/>
  <c r="K99"/>
  <c r="I99"/>
  <c r="G99"/>
  <c r="E99"/>
  <c r="B99"/>
  <c r="C99"/>
  <c r="A99"/>
  <c r="R98"/>
  <c r="S98"/>
  <c r="Q98"/>
  <c r="O98"/>
  <c r="M98"/>
  <c r="K98"/>
  <c r="I98"/>
  <c r="G98"/>
  <c r="E98"/>
  <c r="B98"/>
  <c r="C98"/>
  <c r="A98"/>
  <c r="R97"/>
  <c r="S97"/>
  <c r="Q97"/>
  <c r="O97"/>
  <c r="M97"/>
  <c r="K97"/>
  <c r="I97"/>
  <c r="G97"/>
  <c r="E97"/>
  <c r="B97"/>
  <c r="C97"/>
  <c r="A97"/>
  <c r="R96"/>
  <c r="S96"/>
  <c r="Q96"/>
  <c r="O96"/>
  <c r="M96"/>
  <c r="K96"/>
  <c r="I96"/>
  <c r="G96"/>
  <c r="E96"/>
  <c r="B96"/>
  <c r="C96"/>
  <c r="A96"/>
  <c r="R95"/>
  <c r="S95"/>
  <c r="Q95"/>
  <c r="O95"/>
  <c r="M95"/>
  <c r="K95"/>
  <c r="I95"/>
  <c r="G95"/>
  <c r="E95"/>
  <c r="B95"/>
  <c r="C95"/>
  <c r="A95"/>
  <c r="R94"/>
  <c r="S94"/>
  <c r="Q94"/>
  <c r="O94"/>
  <c r="M94"/>
  <c r="K94"/>
  <c r="I94"/>
  <c r="G94"/>
  <c r="E94"/>
  <c r="B94"/>
  <c r="C94"/>
  <c r="A94"/>
  <c r="R93"/>
  <c r="S93"/>
  <c r="Q93"/>
  <c r="O93"/>
  <c r="M93"/>
  <c r="K93"/>
  <c r="I93"/>
  <c r="G93"/>
  <c r="E93"/>
  <c r="B93"/>
  <c r="C93"/>
  <c r="A93"/>
  <c r="R92"/>
  <c r="S92"/>
  <c r="Q92"/>
  <c r="O92"/>
  <c r="M92"/>
  <c r="K92"/>
  <c r="I92"/>
  <c r="G92"/>
  <c r="E92"/>
  <c r="B92"/>
  <c r="C92"/>
  <c r="A92"/>
  <c r="R91"/>
  <c r="S91"/>
  <c r="Q91"/>
  <c r="O91"/>
  <c r="M91"/>
  <c r="K91"/>
  <c r="I91"/>
  <c r="G91"/>
  <c r="E91"/>
  <c r="B91"/>
  <c r="C91"/>
  <c r="A91"/>
  <c r="R90"/>
  <c r="S90"/>
  <c r="Q90"/>
  <c r="O90"/>
  <c r="M90"/>
  <c r="K90"/>
  <c r="I90"/>
  <c r="G90"/>
  <c r="E90"/>
  <c r="B90"/>
  <c r="C90"/>
  <c r="A90"/>
  <c r="R89"/>
  <c r="S89"/>
  <c r="Q89"/>
  <c r="O89"/>
  <c r="M89"/>
  <c r="K89"/>
  <c r="I89"/>
  <c r="G89"/>
  <c r="E89"/>
  <c r="B89"/>
  <c r="C89"/>
  <c r="A89"/>
  <c r="R88"/>
  <c r="S88"/>
  <c r="Q88"/>
  <c r="O88"/>
  <c r="M88"/>
  <c r="K88"/>
  <c r="I88"/>
  <c r="G88"/>
  <c r="E88"/>
  <c r="B88"/>
  <c r="C88"/>
  <c r="A88"/>
  <c r="R87"/>
  <c r="S87"/>
  <c r="Q87"/>
  <c r="O87"/>
  <c r="M87"/>
  <c r="K87"/>
  <c r="I87"/>
  <c r="G87"/>
  <c r="E87"/>
  <c r="B87"/>
  <c r="C87"/>
  <c r="A87"/>
  <c r="R86"/>
  <c r="S86"/>
  <c r="Q86"/>
  <c r="O86"/>
  <c r="M86"/>
  <c r="K86"/>
  <c r="I86"/>
  <c r="G86"/>
  <c r="E86"/>
  <c r="B86"/>
  <c r="C86"/>
  <c r="A86"/>
  <c r="R85"/>
  <c r="S85"/>
  <c r="Q85"/>
  <c r="O85"/>
  <c r="M85"/>
  <c r="K85"/>
  <c r="I85"/>
  <c r="G85"/>
  <c r="E85"/>
  <c r="B85"/>
  <c r="C85"/>
  <c r="A85"/>
  <c r="R84"/>
  <c r="S84"/>
  <c r="Q84"/>
  <c r="O84"/>
  <c r="M84"/>
  <c r="K84"/>
  <c r="I84"/>
  <c r="G84"/>
  <c r="E84"/>
  <c r="B84"/>
  <c r="C84"/>
  <c r="A84"/>
  <c r="U83"/>
  <c r="R83"/>
  <c r="S83"/>
  <c r="Q83"/>
  <c r="O83"/>
  <c r="M83"/>
  <c r="K83"/>
  <c r="I83"/>
  <c r="G83"/>
  <c r="E83"/>
  <c r="B83"/>
  <c r="C83"/>
  <c r="A83"/>
  <c r="U82"/>
  <c r="R82"/>
  <c r="S82"/>
  <c r="Q82"/>
  <c r="O82"/>
  <c r="M82"/>
  <c r="K82"/>
  <c r="I82"/>
  <c r="G82"/>
  <c r="E82"/>
  <c r="B82"/>
  <c r="C82"/>
  <c r="A82"/>
  <c r="U81"/>
  <c r="R81"/>
  <c r="S81"/>
  <c r="Q81"/>
  <c r="O81"/>
  <c r="M81"/>
  <c r="K81"/>
  <c r="I81"/>
  <c r="G81"/>
  <c r="E81"/>
  <c r="B81"/>
  <c r="C81"/>
  <c r="A81"/>
  <c r="U80"/>
  <c r="R80"/>
  <c r="S80"/>
  <c r="Q80"/>
  <c r="O80"/>
  <c r="M80"/>
  <c r="K80"/>
  <c r="I80"/>
  <c r="G80"/>
  <c r="E80"/>
  <c r="B80"/>
  <c r="C80"/>
  <c r="A80"/>
  <c r="U79"/>
  <c r="R79"/>
  <c r="S79"/>
  <c r="Q79"/>
  <c r="O79"/>
  <c r="M79"/>
  <c r="K79"/>
  <c r="I79"/>
  <c r="G79"/>
  <c r="E79"/>
  <c r="B79"/>
  <c r="C79"/>
  <c r="A79"/>
  <c r="U78"/>
  <c r="R78"/>
  <c r="S78"/>
  <c r="Q78"/>
  <c r="O78"/>
  <c r="M78"/>
  <c r="K78"/>
  <c r="I78"/>
  <c r="G78"/>
  <c r="E78"/>
  <c r="B78"/>
  <c r="C78"/>
  <c r="A78"/>
  <c r="U77"/>
  <c r="R77"/>
  <c r="S77"/>
  <c r="Q77"/>
  <c r="O77"/>
  <c r="M77"/>
  <c r="K77"/>
  <c r="I77"/>
  <c r="G77"/>
  <c r="E77"/>
  <c r="B77"/>
  <c r="C77"/>
  <c r="A77"/>
  <c r="U76"/>
  <c r="R76"/>
  <c r="S76"/>
  <c r="Q76"/>
  <c r="O76"/>
  <c r="M76"/>
  <c r="K76"/>
  <c r="I76"/>
  <c r="G76"/>
  <c r="E76"/>
  <c r="B76"/>
  <c r="C76"/>
  <c r="A76"/>
  <c r="U75"/>
  <c r="R75"/>
  <c r="S75"/>
  <c r="Q75"/>
  <c r="O75"/>
  <c r="M75"/>
  <c r="K75"/>
  <c r="I75"/>
  <c r="G75"/>
  <c r="E75"/>
  <c r="B75"/>
  <c r="C75"/>
  <c r="A75"/>
  <c r="U74"/>
  <c r="R74"/>
  <c r="S74"/>
  <c r="Q74"/>
  <c r="O74"/>
  <c r="M74"/>
  <c r="K74"/>
  <c r="I74"/>
  <c r="G74"/>
  <c r="E74"/>
  <c r="B74"/>
  <c r="C74"/>
  <c r="A74"/>
  <c r="U73"/>
  <c r="R73"/>
  <c r="S73"/>
  <c r="Q73"/>
  <c r="O73"/>
  <c r="M73"/>
  <c r="K73"/>
  <c r="I73"/>
  <c r="G73"/>
  <c r="E73"/>
  <c r="B73"/>
  <c r="C73"/>
  <c r="A73"/>
  <c r="U72"/>
  <c r="R72"/>
  <c r="S72"/>
  <c r="Q72"/>
  <c r="O72"/>
  <c r="M72"/>
  <c r="K72"/>
  <c r="I72"/>
  <c r="G72"/>
  <c r="E72"/>
  <c r="B72"/>
  <c r="C72"/>
  <c r="A72"/>
  <c r="U71"/>
  <c r="R71"/>
  <c r="S71"/>
  <c r="Q71"/>
  <c r="O71"/>
  <c r="M71"/>
  <c r="K71"/>
  <c r="I71"/>
  <c r="G71"/>
  <c r="E71"/>
  <c r="B71"/>
  <c r="C71"/>
  <c r="A71"/>
  <c r="U70"/>
  <c r="R70"/>
  <c r="S70"/>
  <c r="Q70"/>
  <c r="O70"/>
  <c r="M70"/>
  <c r="K70"/>
  <c r="I70"/>
  <c r="G70"/>
  <c r="E70"/>
  <c r="B70"/>
  <c r="C70"/>
  <c r="A70"/>
  <c r="U69"/>
  <c r="R69"/>
  <c r="S69"/>
  <c r="Q69"/>
  <c r="O69"/>
  <c r="M69"/>
  <c r="K69"/>
  <c r="I69"/>
  <c r="G69"/>
  <c r="E69"/>
  <c r="B69"/>
  <c r="C69"/>
  <c r="A69"/>
  <c r="U68"/>
  <c r="R68"/>
  <c r="S68"/>
  <c r="Q68"/>
  <c r="O68"/>
  <c r="M68"/>
  <c r="K68"/>
  <c r="I68"/>
  <c r="G68"/>
  <c r="E68"/>
  <c r="B68"/>
  <c r="C68"/>
  <c r="A68"/>
  <c r="U67"/>
  <c r="R67"/>
  <c r="S67"/>
  <c r="Q67"/>
  <c r="O67"/>
  <c r="M67"/>
  <c r="K67"/>
  <c r="I67"/>
  <c r="G67"/>
  <c r="E67"/>
  <c r="B67"/>
  <c r="C67"/>
  <c r="A67"/>
  <c r="U66"/>
  <c r="R66"/>
  <c r="S66"/>
  <c r="Q66"/>
  <c r="O66"/>
  <c r="M66"/>
  <c r="K66"/>
  <c r="I66"/>
  <c r="G66"/>
  <c r="E66"/>
  <c r="B66"/>
  <c r="C66"/>
  <c r="A66"/>
  <c r="U65"/>
  <c r="R65"/>
  <c r="S65"/>
  <c r="Q65"/>
  <c r="O65"/>
  <c r="M65"/>
  <c r="K65"/>
  <c r="I65"/>
  <c r="G65"/>
  <c r="E65"/>
  <c r="B65"/>
  <c r="C65"/>
  <c r="A65"/>
  <c r="U64"/>
  <c r="R64"/>
  <c r="S64"/>
  <c r="Q64"/>
  <c r="O64"/>
  <c r="M64"/>
  <c r="K64"/>
  <c r="I64"/>
  <c r="G64"/>
  <c r="E64"/>
  <c r="B64"/>
  <c r="C64"/>
  <c r="A64"/>
  <c r="U63"/>
  <c r="R63"/>
  <c r="S63"/>
  <c r="Q63"/>
  <c r="O63"/>
  <c r="M63"/>
  <c r="K63"/>
  <c r="I63"/>
  <c r="G63"/>
  <c r="E63"/>
  <c r="B63"/>
  <c r="C63"/>
  <c r="A63"/>
  <c r="U62"/>
  <c r="R62"/>
  <c r="S62"/>
  <c r="Q62"/>
  <c r="O62"/>
  <c r="M62"/>
  <c r="K62"/>
  <c r="I62"/>
  <c r="G62"/>
  <c r="E62"/>
  <c r="B62"/>
  <c r="C62"/>
  <c r="A62"/>
  <c r="U61"/>
  <c r="R61"/>
  <c r="S61"/>
  <c r="Q61"/>
  <c r="O61"/>
  <c r="M61"/>
  <c r="K61"/>
  <c r="I61"/>
  <c r="G61"/>
  <c r="E61"/>
  <c r="B61"/>
  <c r="C61"/>
  <c r="A61"/>
  <c r="U60"/>
  <c r="R60"/>
  <c r="S60"/>
  <c r="Q60"/>
  <c r="O60"/>
  <c r="M60"/>
  <c r="K60"/>
  <c r="I60"/>
  <c r="G60"/>
  <c r="E60"/>
  <c r="B60"/>
  <c r="C60"/>
  <c r="A60"/>
  <c r="U59"/>
  <c r="R59"/>
  <c r="S59"/>
  <c r="Q59"/>
  <c r="O59"/>
  <c r="M59"/>
  <c r="K59"/>
  <c r="I59"/>
  <c r="G59"/>
  <c r="E59"/>
  <c r="B59"/>
  <c r="C59"/>
  <c r="A59"/>
  <c r="U58"/>
  <c r="R58"/>
  <c r="S58"/>
  <c r="Q58"/>
  <c r="O58"/>
  <c r="M58"/>
  <c r="K58"/>
  <c r="I58"/>
  <c r="G58"/>
  <c r="E58"/>
  <c r="B58"/>
  <c r="C58"/>
  <c r="A58"/>
  <c r="U57"/>
  <c r="R57"/>
  <c r="S57"/>
  <c r="Q57"/>
  <c r="O57"/>
  <c r="M57"/>
  <c r="K57"/>
  <c r="I57"/>
  <c r="G57"/>
  <c r="E57"/>
  <c r="B57"/>
  <c r="C57"/>
  <c r="A57"/>
  <c r="U56"/>
  <c r="R56"/>
  <c r="S56"/>
  <c r="Q56"/>
  <c r="O56"/>
  <c r="M56"/>
  <c r="K56"/>
  <c r="I56"/>
  <c r="G56"/>
  <c r="E56"/>
  <c r="B56"/>
  <c r="C56"/>
  <c r="A56"/>
  <c r="U55"/>
  <c r="R55"/>
  <c r="S55"/>
  <c r="Q55"/>
  <c r="O55"/>
  <c r="M55"/>
  <c r="K55"/>
  <c r="I55"/>
  <c r="G55"/>
  <c r="E55"/>
  <c r="B55"/>
  <c r="C55"/>
  <c r="A55"/>
  <c r="U54"/>
  <c r="R54"/>
  <c r="S54"/>
  <c r="Q54"/>
  <c r="O54"/>
  <c r="M54"/>
  <c r="K54"/>
  <c r="I54"/>
  <c r="G54"/>
  <c r="E54"/>
  <c r="B54"/>
  <c r="C54"/>
  <c r="A54"/>
  <c r="U53"/>
  <c r="R53"/>
  <c r="S53"/>
  <c r="Q53"/>
  <c r="O53"/>
  <c r="M53"/>
  <c r="K53"/>
  <c r="I53"/>
  <c r="G53"/>
  <c r="E53"/>
  <c r="B53"/>
  <c r="C53"/>
  <c r="A53"/>
  <c r="U52"/>
  <c r="R52"/>
  <c r="S52"/>
  <c r="Q52"/>
  <c r="O52"/>
  <c r="M52"/>
  <c r="K52"/>
  <c r="I52"/>
  <c r="G52"/>
  <c r="E52"/>
  <c r="B52"/>
  <c r="C52"/>
  <c r="A52"/>
  <c r="U51"/>
  <c r="R51"/>
  <c r="S51"/>
  <c r="Q51"/>
  <c r="O51"/>
  <c r="M51"/>
  <c r="K51"/>
  <c r="I51"/>
  <c r="G51"/>
  <c r="E51"/>
  <c r="B51"/>
  <c r="C51"/>
  <c r="A51"/>
  <c r="U50"/>
  <c r="R50"/>
  <c r="S50"/>
  <c r="Q50"/>
  <c r="O50"/>
  <c r="M50"/>
  <c r="K50"/>
  <c r="I50"/>
  <c r="G50"/>
  <c r="E50"/>
  <c r="B50"/>
  <c r="C50"/>
  <c r="A50"/>
  <c r="U49"/>
  <c r="R49"/>
  <c r="S49"/>
  <c r="Q49"/>
  <c r="O49"/>
  <c r="M49"/>
  <c r="K49"/>
  <c r="I49"/>
  <c r="G49"/>
  <c r="E49"/>
  <c r="B49"/>
  <c r="C49"/>
  <c r="A49"/>
  <c r="U48"/>
  <c r="R48"/>
  <c r="S48"/>
  <c r="Q48"/>
  <c r="O48"/>
  <c r="M48"/>
  <c r="K48"/>
  <c r="I48"/>
  <c r="G48"/>
  <c r="E48"/>
  <c r="B48"/>
  <c r="C48"/>
  <c r="A48"/>
  <c r="U47"/>
  <c r="R47"/>
  <c r="S47"/>
  <c r="Q47"/>
  <c r="O47"/>
  <c r="M47"/>
  <c r="K47"/>
  <c r="I47"/>
  <c r="G47"/>
  <c r="E47"/>
  <c r="B47"/>
  <c r="C47"/>
  <c r="A47"/>
  <c r="U46"/>
  <c r="R46"/>
  <c r="S46"/>
  <c r="Q46"/>
  <c r="O46"/>
  <c r="M46"/>
  <c r="K46"/>
  <c r="I46"/>
  <c r="G46"/>
  <c r="E46"/>
  <c r="B46"/>
  <c r="C46"/>
  <c r="A46"/>
  <c r="U45"/>
  <c r="R45"/>
  <c r="S45"/>
  <c r="Q45"/>
  <c r="O45"/>
  <c r="M45"/>
  <c r="K45"/>
  <c r="I45"/>
  <c r="G45"/>
  <c r="E45"/>
  <c r="B45"/>
  <c r="C45"/>
  <c r="A45"/>
  <c r="U44"/>
  <c r="R44"/>
  <c r="S44"/>
  <c r="Q44"/>
  <c r="O44"/>
  <c r="M44"/>
  <c r="K44"/>
  <c r="I44"/>
  <c r="G44"/>
  <c r="E44"/>
  <c r="B44"/>
  <c r="C44"/>
  <c r="A44"/>
  <c r="U43"/>
  <c r="R43"/>
  <c r="S43"/>
  <c r="Q43"/>
  <c r="O43"/>
  <c r="M43"/>
  <c r="K43"/>
  <c r="I43"/>
  <c r="G43"/>
  <c r="E43"/>
  <c r="B43"/>
  <c r="C43"/>
  <c r="A43"/>
  <c r="U42"/>
  <c r="R42"/>
  <c r="S42"/>
  <c r="Q42"/>
  <c r="O42"/>
  <c r="M42"/>
  <c r="K42"/>
  <c r="I42"/>
  <c r="G42"/>
  <c r="E42"/>
  <c r="B42"/>
  <c r="C42"/>
  <c r="A42"/>
  <c r="U41"/>
  <c r="R41"/>
  <c r="S41"/>
  <c r="Q41"/>
  <c r="O41"/>
  <c r="M41"/>
  <c r="K41"/>
  <c r="I41"/>
  <c r="G41"/>
  <c r="E41"/>
  <c r="B41"/>
  <c r="C41"/>
  <c r="A41"/>
  <c r="U40"/>
  <c r="R40"/>
  <c r="S40"/>
  <c r="Q40"/>
  <c r="O40"/>
  <c r="M40"/>
  <c r="K40"/>
  <c r="I40"/>
  <c r="G40"/>
  <c r="E40"/>
  <c r="B40"/>
  <c r="C40"/>
  <c r="A40"/>
  <c r="U39"/>
  <c r="R39"/>
  <c r="S39"/>
  <c r="Q39"/>
  <c r="O39"/>
  <c r="M39"/>
  <c r="K39"/>
  <c r="I39"/>
  <c r="G39"/>
  <c r="E39"/>
  <c r="B39"/>
  <c r="C39"/>
  <c r="A39"/>
  <c r="U38"/>
  <c r="R38"/>
  <c r="S38"/>
  <c r="Q38"/>
  <c r="O38"/>
  <c r="M38"/>
  <c r="K38"/>
  <c r="I38"/>
  <c r="G38"/>
  <c r="E38"/>
  <c r="B38"/>
  <c r="C38"/>
  <c r="A38"/>
  <c r="U37"/>
  <c r="R37"/>
  <c r="S37"/>
  <c r="Q37"/>
  <c r="O37"/>
  <c r="M37"/>
  <c r="K37"/>
  <c r="I37"/>
  <c r="G37"/>
  <c r="E37"/>
  <c r="B37"/>
  <c r="C37"/>
  <c r="A37"/>
  <c r="U36"/>
  <c r="R36"/>
  <c r="S36"/>
  <c r="Q36"/>
  <c r="O36"/>
  <c r="M36"/>
  <c r="K36"/>
  <c r="I36"/>
  <c r="G36"/>
  <c r="E36"/>
  <c r="B36"/>
  <c r="C36"/>
  <c r="A36"/>
  <c r="U35"/>
  <c r="R35"/>
  <c r="S35"/>
  <c r="Q35"/>
  <c r="O35"/>
  <c r="M35"/>
  <c r="K35"/>
  <c r="I35"/>
  <c r="G35"/>
  <c r="E35"/>
  <c r="B35"/>
  <c r="C35"/>
  <c r="A35"/>
  <c r="U34"/>
  <c r="R34"/>
  <c r="S34"/>
  <c r="Q34"/>
  <c r="O34"/>
  <c r="M34"/>
  <c r="K34"/>
  <c r="I34"/>
  <c r="G34"/>
  <c r="E34"/>
  <c r="B34"/>
  <c r="C34"/>
  <c r="A34"/>
  <c r="U33"/>
  <c r="R33"/>
  <c r="S33"/>
  <c r="Q33"/>
  <c r="O33"/>
  <c r="M33"/>
  <c r="K33"/>
  <c r="I33"/>
  <c r="G33"/>
  <c r="E33"/>
  <c r="B33"/>
  <c r="C33"/>
  <c r="A33"/>
  <c r="U32"/>
  <c r="R32"/>
  <c r="S32"/>
  <c r="Q32"/>
  <c r="O32"/>
  <c r="M32"/>
  <c r="K32"/>
  <c r="I32"/>
  <c r="G32"/>
  <c r="E32"/>
  <c r="B32"/>
  <c r="C32"/>
  <c r="A32"/>
  <c r="U31"/>
  <c r="R31"/>
  <c r="S31"/>
  <c r="Q31"/>
  <c r="O31"/>
  <c r="M31"/>
  <c r="K31"/>
  <c r="I31"/>
  <c r="G31"/>
  <c r="E31"/>
  <c r="B31"/>
  <c r="C31"/>
  <c r="A31"/>
  <c r="U30"/>
  <c r="R30"/>
  <c r="S30"/>
  <c r="Q30"/>
  <c r="O30"/>
  <c r="M30"/>
  <c r="K30"/>
  <c r="I30"/>
  <c r="G30"/>
  <c r="E30"/>
  <c r="B30"/>
  <c r="C30"/>
  <c r="A30"/>
  <c r="U29"/>
  <c r="R29"/>
  <c r="S29"/>
  <c r="Q29"/>
  <c r="O29"/>
  <c r="M29"/>
  <c r="K29"/>
  <c r="I29"/>
  <c r="G29"/>
  <c r="E29"/>
  <c r="B29"/>
  <c r="C29"/>
  <c r="A29"/>
  <c r="U28"/>
  <c r="R28"/>
  <c r="S28"/>
  <c r="Q28"/>
  <c r="O28"/>
  <c r="M28"/>
  <c r="K28"/>
  <c r="I28"/>
  <c r="G28"/>
  <c r="E28"/>
  <c r="B28"/>
  <c r="C28"/>
  <c r="A28"/>
  <c r="U27"/>
  <c r="R27"/>
  <c r="S27"/>
  <c r="Q27"/>
  <c r="O27"/>
  <c r="M27"/>
  <c r="K27"/>
  <c r="I27"/>
  <c r="G27"/>
  <c r="E27"/>
  <c r="B27"/>
  <c r="C27"/>
  <c r="A27"/>
  <c r="U26"/>
  <c r="R26"/>
  <c r="S26"/>
  <c r="Q26"/>
  <c r="O26"/>
  <c r="M26"/>
  <c r="K26"/>
  <c r="I26"/>
  <c r="G26"/>
  <c r="E26"/>
  <c r="B26"/>
  <c r="C26"/>
  <c r="A26"/>
  <c r="U25"/>
  <c r="R25"/>
  <c r="S25"/>
  <c r="Q25"/>
  <c r="O25"/>
  <c r="M25"/>
  <c r="K25"/>
  <c r="I25"/>
  <c r="G25"/>
  <c r="E25"/>
  <c r="B25"/>
  <c r="C25"/>
  <c r="A25"/>
  <c r="S24"/>
  <c r="A24"/>
  <c r="P23"/>
  <c r="N23"/>
  <c r="L23"/>
  <c r="J23"/>
  <c r="H23"/>
  <c r="F23"/>
  <c r="D23"/>
  <c r="S22"/>
  <c r="R22"/>
  <c r="B22"/>
  <c r="B21"/>
  <c r="F20"/>
  <c r="B20"/>
  <c r="S12"/>
  <c r="R12"/>
  <c r="Q12"/>
  <c r="P12"/>
  <c r="O12"/>
  <c r="N12"/>
  <c r="M12"/>
  <c r="L12"/>
  <c r="K12"/>
  <c r="J12"/>
  <c r="I12"/>
  <c r="H12"/>
  <c r="G12"/>
  <c r="F12"/>
  <c r="E12"/>
  <c r="D12"/>
  <c r="S10"/>
  <c r="R10"/>
  <c r="Q10"/>
  <c r="P10"/>
  <c r="O10"/>
  <c r="N10"/>
  <c r="M10"/>
  <c r="L10"/>
  <c r="K10"/>
  <c r="J10"/>
  <c r="I10"/>
  <c r="H10"/>
  <c r="G10"/>
  <c r="F10"/>
  <c r="E10"/>
  <c r="D10"/>
  <c r="S8"/>
  <c r="R8"/>
  <c r="Q8"/>
  <c r="P8"/>
  <c r="O8"/>
  <c r="N8"/>
  <c r="M8"/>
  <c r="L8"/>
  <c r="K8"/>
  <c r="J8"/>
  <c r="I8"/>
  <c r="H8"/>
  <c r="G8"/>
  <c r="F8"/>
  <c r="E8"/>
  <c r="D8"/>
  <c r="S6"/>
  <c r="R6"/>
  <c r="Q6"/>
  <c r="P6"/>
  <c r="O6"/>
  <c r="N6"/>
  <c r="M6"/>
  <c r="L6"/>
  <c r="K6"/>
  <c r="J6"/>
  <c r="I6"/>
  <c r="H6"/>
  <c r="G6"/>
  <c r="F6"/>
  <c r="E6"/>
  <c r="D6"/>
  <c r="S2"/>
  <c r="R2"/>
  <c r="Q2"/>
  <c r="P2"/>
  <c r="O2"/>
  <c r="N2"/>
  <c r="M2"/>
  <c r="L2"/>
  <c r="K2"/>
  <c r="J2"/>
  <c r="I2"/>
  <c r="H2"/>
  <c r="G2"/>
  <c r="F2"/>
  <c r="E2"/>
  <c r="D2"/>
  <c r="C2"/>
  <c r="D69" i="71"/>
  <c r="F68"/>
  <c r="E68"/>
  <c r="D68"/>
  <c r="C68"/>
  <c r="B68"/>
  <c r="F67"/>
  <c r="E67"/>
  <c r="D67"/>
  <c r="C67"/>
  <c r="B67"/>
  <c r="F66"/>
  <c r="E66"/>
  <c r="D66"/>
  <c r="C66"/>
  <c r="B66"/>
  <c r="D65"/>
  <c r="F64"/>
  <c r="E64"/>
  <c r="D64"/>
  <c r="C64"/>
  <c r="B64"/>
  <c r="F63"/>
  <c r="E63"/>
  <c r="D63"/>
  <c r="C63"/>
  <c r="B63"/>
  <c r="F62"/>
  <c r="E62"/>
  <c r="D62"/>
  <c r="C62"/>
  <c r="B62"/>
  <c r="D61"/>
  <c r="V60"/>
  <c r="U60"/>
  <c r="T60"/>
  <c r="S60"/>
  <c r="Q60"/>
  <c r="P60"/>
  <c r="O60"/>
  <c r="N60"/>
  <c r="F60"/>
  <c r="E60"/>
  <c r="D60"/>
  <c r="C60"/>
  <c r="B60"/>
  <c r="Q59"/>
  <c r="P59"/>
  <c r="O59"/>
  <c r="N59"/>
  <c r="F59"/>
  <c r="E59"/>
  <c r="D59"/>
  <c r="C59"/>
  <c r="B59"/>
  <c r="Q58"/>
  <c r="P58"/>
  <c r="O58"/>
  <c r="N58"/>
  <c r="F58"/>
  <c r="E58"/>
  <c r="D58"/>
  <c r="C58"/>
  <c r="B58"/>
  <c r="Q57"/>
  <c r="P57"/>
  <c r="O57"/>
  <c r="N57"/>
  <c r="D57"/>
  <c r="V56"/>
  <c r="U56"/>
  <c r="T56"/>
  <c r="S56"/>
  <c r="Q56"/>
  <c r="P56"/>
  <c r="O56"/>
  <c r="N56"/>
  <c r="F56"/>
  <c r="E56"/>
  <c r="D56"/>
  <c r="C56"/>
  <c r="B56"/>
  <c r="Q55"/>
  <c r="P55"/>
  <c r="O55"/>
  <c r="N55"/>
  <c r="F55"/>
  <c r="E55"/>
  <c r="D55"/>
  <c r="C55"/>
  <c r="B55"/>
  <c r="Q54"/>
  <c r="P54"/>
  <c r="O54"/>
  <c r="N54"/>
  <c r="F54"/>
  <c r="E54"/>
  <c r="D54"/>
  <c r="C54"/>
  <c r="B54"/>
  <c r="Q53"/>
  <c r="P53"/>
  <c r="O53"/>
  <c r="N53"/>
  <c r="D53"/>
  <c r="V52"/>
  <c r="U52"/>
  <c r="T52"/>
  <c r="S52"/>
  <c r="Q52"/>
  <c r="P52"/>
  <c r="O52"/>
  <c r="N52"/>
  <c r="F52"/>
  <c r="E52"/>
  <c r="D52"/>
  <c r="C52"/>
  <c r="B52"/>
  <c r="Q51"/>
  <c r="P51"/>
  <c r="O51"/>
  <c r="N51"/>
  <c r="F51"/>
  <c r="E51"/>
  <c r="D51"/>
  <c r="C51"/>
  <c r="B51"/>
  <c r="Q50"/>
  <c r="P50"/>
  <c r="O50"/>
  <c r="N50"/>
  <c r="F50"/>
  <c r="E50"/>
  <c r="D50"/>
  <c r="C50"/>
  <c r="B50"/>
  <c r="Q49"/>
  <c r="P49"/>
  <c r="O49"/>
  <c r="N49"/>
  <c r="D49"/>
  <c r="V48"/>
  <c r="U48"/>
  <c r="T48"/>
  <c r="S48"/>
  <c r="Q48"/>
  <c r="P48"/>
  <c r="O48"/>
  <c r="N48"/>
  <c r="F48"/>
  <c r="E48"/>
  <c r="D48"/>
  <c r="C48"/>
  <c r="B48"/>
  <c r="Q47"/>
  <c r="P47"/>
  <c r="O47"/>
  <c r="N47"/>
  <c r="F47"/>
  <c r="E47"/>
  <c r="D47"/>
  <c r="C47"/>
  <c r="B47"/>
  <c r="Q46"/>
  <c r="P46"/>
  <c r="O46"/>
  <c r="N46"/>
  <c r="F46"/>
  <c r="E46"/>
  <c r="D46"/>
  <c r="C46"/>
  <c r="B46"/>
  <c r="Q45"/>
  <c r="P45"/>
  <c r="O45"/>
  <c r="N45"/>
  <c r="D45"/>
  <c r="V44"/>
  <c r="U44"/>
  <c r="T44"/>
  <c r="S44"/>
  <c r="Q44"/>
  <c r="P44"/>
  <c r="O44"/>
  <c r="N44"/>
  <c r="F44"/>
  <c r="E44"/>
  <c r="D44"/>
  <c r="C44"/>
  <c r="B44"/>
  <c r="Q43"/>
  <c r="P43"/>
  <c r="O43"/>
  <c r="N43"/>
  <c r="F43"/>
  <c r="E43"/>
  <c r="D43"/>
  <c r="C43"/>
  <c r="B43"/>
  <c r="Q42"/>
  <c r="P42"/>
  <c r="O42"/>
  <c r="N42"/>
  <c r="F42"/>
  <c r="E42"/>
  <c r="D42"/>
  <c r="C42"/>
  <c r="B42"/>
  <c r="Q41"/>
  <c r="P41"/>
  <c r="O41"/>
  <c r="N41"/>
  <c r="D41"/>
  <c r="V40"/>
  <c r="U40"/>
  <c r="T40"/>
  <c r="S40"/>
  <c r="Q40"/>
  <c r="P40"/>
  <c r="O40"/>
  <c r="N40"/>
  <c r="F40"/>
  <c r="E40"/>
  <c r="D40"/>
  <c r="C40"/>
  <c r="B40"/>
  <c r="Q39"/>
  <c r="P39"/>
  <c r="O39"/>
  <c r="N39"/>
  <c r="F39"/>
  <c r="E39"/>
  <c r="D39"/>
  <c r="C39"/>
  <c r="B39"/>
  <c r="Q38"/>
  <c r="P38"/>
  <c r="O38"/>
  <c r="N38"/>
  <c r="F38"/>
  <c r="E38"/>
  <c r="D38"/>
  <c r="C38"/>
  <c r="B38"/>
  <c r="Q37"/>
  <c r="P37"/>
  <c r="O37"/>
  <c r="N37"/>
  <c r="D37"/>
  <c r="V36"/>
  <c r="U36"/>
  <c r="T36"/>
  <c r="S36"/>
  <c r="Q36"/>
  <c r="P36"/>
  <c r="O36"/>
  <c r="N36"/>
  <c r="F36"/>
  <c r="E36"/>
  <c r="D36"/>
  <c r="C36"/>
  <c r="B36"/>
  <c r="Q35"/>
  <c r="P35"/>
  <c r="O35"/>
  <c r="N35"/>
  <c r="F35"/>
  <c r="E35"/>
  <c r="D35"/>
  <c r="C35"/>
  <c r="B35"/>
  <c r="Q34"/>
  <c r="P34"/>
  <c r="O34"/>
  <c r="N34"/>
  <c r="F34"/>
  <c r="E34"/>
  <c r="D34"/>
  <c r="C34"/>
  <c r="B34"/>
  <c r="Q33"/>
  <c r="P33"/>
  <c r="O33"/>
  <c r="N33"/>
  <c r="D33"/>
  <c r="V32"/>
  <c r="U32"/>
  <c r="T32"/>
  <c r="S32"/>
  <c r="Q32"/>
  <c r="P32"/>
  <c r="O32"/>
  <c r="N32"/>
  <c r="F32"/>
  <c r="E32"/>
  <c r="D32"/>
  <c r="C32"/>
  <c r="B32"/>
  <c r="Q31"/>
  <c r="P31"/>
  <c r="O31"/>
  <c r="N31"/>
  <c r="F31"/>
  <c r="E31"/>
  <c r="D31"/>
  <c r="C31"/>
  <c r="B31"/>
  <c r="Q30"/>
  <c r="P30"/>
  <c r="O30"/>
  <c r="N30"/>
  <c r="F30"/>
  <c r="E30"/>
  <c r="D30"/>
  <c r="C30"/>
  <c r="B30"/>
  <c r="Q29"/>
  <c r="P29"/>
  <c r="O29"/>
  <c r="N29"/>
  <c r="D29"/>
  <c r="V28"/>
  <c r="U28"/>
  <c r="T28"/>
  <c r="S28"/>
  <c r="Q28"/>
  <c r="P28"/>
  <c r="O28"/>
  <c r="N28"/>
  <c r="F28"/>
  <c r="E28"/>
  <c r="D28"/>
  <c r="B28"/>
  <c r="Q27"/>
  <c r="P27"/>
  <c r="O27"/>
  <c r="N27"/>
  <c r="F27"/>
  <c r="E27"/>
  <c r="D27"/>
  <c r="C27"/>
  <c r="B27"/>
  <c r="Q26"/>
  <c r="P26"/>
  <c r="O26"/>
  <c r="N26"/>
  <c r="F26"/>
  <c r="E26"/>
  <c r="D26"/>
  <c r="C26"/>
  <c r="B26"/>
  <c r="Q25"/>
  <c r="P25"/>
  <c r="O25"/>
  <c r="N25"/>
  <c r="D25"/>
  <c r="V24"/>
  <c r="U24"/>
  <c r="T24"/>
  <c r="S24"/>
  <c r="Q24"/>
  <c r="P24"/>
  <c r="O24"/>
  <c r="N24"/>
  <c r="F24"/>
  <c r="E24"/>
  <c r="D24"/>
  <c r="C24"/>
  <c r="B24"/>
  <c r="Q23"/>
  <c r="P23"/>
  <c r="O23"/>
  <c r="N23"/>
  <c r="F23"/>
  <c r="E23"/>
  <c r="D23"/>
  <c r="C23"/>
  <c r="B23"/>
  <c r="Q22"/>
  <c r="P22"/>
  <c r="O22"/>
  <c r="N22"/>
  <c r="F22"/>
  <c r="E22"/>
  <c r="D22"/>
  <c r="C22"/>
  <c r="B22"/>
  <c r="Q21"/>
  <c r="P21"/>
  <c r="O21"/>
  <c r="N21"/>
  <c r="D21"/>
  <c r="AH20"/>
  <c r="AG20"/>
  <c r="AF20"/>
  <c r="AE20"/>
  <c r="AD20"/>
  <c r="V20"/>
  <c r="U20"/>
  <c r="T20"/>
  <c r="S20"/>
  <c r="Q20"/>
  <c r="P20"/>
  <c r="O20"/>
  <c r="N20"/>
  <c r="F20"/>
  <c r="E20"/>
  <c r="D20"/>
  <c r="C20"/>
  <c r="B20"/>
  <c r="AH19"/>
  <c r="AG19"/>
  <c r="AF19"/>
  <c r="AE19"/>
  <c r="AD19"/>
  <c r="AB19"/>
  <c r="AA19"/>
  <c r="Z19"/>
  <c r="Y19"/>
  <c r="X19"/>
  <c r="Q19"/>
  <c r="P19"/>
  <c r="O19"/>
  <c r="N19"/>
  <c r="F19"/>
  <c r="E19"/>
  <c r="D19"/>
  <c r="C19"/>
  <c r="B19"/>
  <c r="AH18"/>
  <c r="AG18"/>
  <c r="AF18"/>
  <c r="AE18"/>
  <c r="AD18"/>
  <c r="AB18"/>
  <c r="AA18"/>
  <c r="Z18"/>
  <c r="Y18"/>
  <c r="X18"/>
  <c r="Q18"/>
  <c r="P18"/>
  <c r="O18"/>
  <c r="N18"/>
  <c r="F18"/>
  <c r="E18"/>
  <c r="D18"/>
  <c r="C18"/>
  <c r="B18"/>
  <c r="AH17"/>
  <c r="AG17"/>
  <c r="AF17"/>
  <c r="AE17"/>
  <c r="AD17"/>
  <c r="AB17"/>
  <c r="AA17"/>
  <c r="Z17"/>
  <c r="Y17"/>
  <c r="X17"/>
  <c r="Q17"/>
  <c r="P17"/>
  <c r="O17"/>
  <c r="N17"/>
  <c r="D17"/>
  <c r="AH16"/>
  <c r="AG16"/>
  <c r="AF16"/>
  <c r="AE16"/>
  <c r="AD16"/>
  <c r="AB16"/>
  <c r="AA16"/>
  <c r="Z16"/>
  <c r="Y16"/>
  <c r="X16"/>
  <c r="V16"/>
  <c r="U16"/>
  <c r="T16"/>
  <c r="S16"/>
  <c r="Q16"/>
  <c r="P16"/>
  <c r="O16"/>
  <c r="N16"/>
  <c r="F16"/>
  <c r="E16"/>
  <c r="D16"/>
  <c r="C16"/>
  <c r="B16"/>
  <c r="AH15"/>
  <c r="AG15"/>
  <c r="AF15"/>
  <c r="AE15"/>
  <c r="AD15"/>
  <c r="AB15"/>
  <c r="AA15"/>
  <c r="Z15"/>
  <c r="Y15"/>
  <c r="X15"/>
  <c r="Q15"/>
  <c r="P15"/>
  <c r="O15"/>
  <c r="N15"/>
  <c r="F15"/>
  <c r="E15"/>
  <c r="D15"/>
  <c r="C15"/>
  <c r="B15"/>
  <c r="AH14"/>
  <c r="AG14"/>
  <c r="AF14"/>
  <c r="AE14"/>
  <c r="AD14"/>
  <c r="AB14"/>
  <c r="AA14"/>
  <c r="Z14"/>
  <c r="Y14"/>
  <c r="X14"/>
  <c r="Q14"/>
  <c r="P14"/>
  <c r="O14"/>
  <c r="N14"/>
  <c r="F14"/>
  <c r="E14"/>
  <c r="D14"/>
  <c r="C14"/>
  <c r="B14"/>
  <c r="AH13"/>
  <c r="AG13"/>
  <c r="AF13"/>
  <c r="AE13"/>
  <c r="AD13"/>
  <c r="AB13"/>
  <c r="AA13"/>
  <c r="Z13"/>
  <c r="Y13"/>
  <c r="X13"/>
  <c r="Q13"/>
  <c r="P13"/>
  <c r="O13"/>
  <c r="N13"/>
  <c r="D13"/>
  <c r="AH12"/>
  <c r="AG12"/>
  <c r="AF12"/>
  <c r="AE12"/>
  <c r="AD12"/>
  <c r="AB12"/>
  <c r="AA12"/>
  <c r="Z12"/>
  <c r="Y12"/>
  <c r="X12"/>
  <c r="V12"/>
  <c r="U12"/>
  <c r="T12"/>
  <c r="S12"/>
  <c r="Q12"/>
  <c r="P12"/>
  <c r="O12"/>
  <c r="N12"/>
  <c r="F12"/>
  <c r="E12"/>
  <c r="D12"/>
  <c r="C12"/>
  <c r="B12"/>
  <c r="AH11"/>
  <c r="AG11"/>
  <c r="AF11"/>
  <c r="AE11"/>
  <c r="AD11"/>
  <c r="AB11"/>
  <c r="AA11"/>
  <c r="Z11"/>
  <c r="Y11"/>
  <c r="X11"/>
  <c r="Q11"/>
  <c r="P11"/>
  <c r="O11"/>
  <c r="N11"/>
  <c r="F11"/>
  <c r="E11"/>
  <c r="D11"/>
  <c r="C11"/>
  <c r="B11"/>
  <c r="AH10"/>
  <c r="AG10"/>
  <c r="AF10"/>
  <c r="AE10"/>
  <c r="AD10"/>
  <c r="AB10"/>
  <c r="AA10"/>
  <c r="Z10"/>
  <c r="Y10"/>
  <c r="X10"/>
  <c r="Q10"/>
  <c r="P10"/>
  <c r="O10"/>
  <c r="N10"/>
  <c r="F10"/>
  <c r="E10"/>
  <c r="D10"/>
  <c r="C10"/>
  <c r="B10"/>
  <c r="AH9"/>
  <c r="AG9"/>
  <c r="AF9"/>
  <c r="AE9"/>
  <c r="AD9"/>
  <c r="AB9"/>
  <c r="AA9"/>
  <c r="Z9"/>
  <c r="Y9"/>
  <c r="X9"/>
  <c r="Q9"/>
  <c r="P9"/>
  <c r="O9"/>
  <c r="N9"/>
  <c r="D9"/>
  <c r="AH8"/>
  <c r="AG8"/>
  <c r="AF8"/>
  <c r="AE8"/>
  <c r="AD8"/>
  <c r="AB8"/>
  <c r="AA8"/>
  <c r="Z8"/>
  <c r="Y8"/>
  <c r="X8"/>
  <c r="V8"/>
  <c r="U8"/>
  <c r="T8"/>
  <c r="S8"/>
  <c r="Q8"/>
  <c r="P8"/>
  <c r="O8"/>
  <c r="N8"/>
  <c r="F8"/>
  <c r="E8"/>
  <c r="D8"/>
  <c r="C8"/>
  <c r="B8"/>
  <c r="AH7"/>
  <c r="AG7"/>
  <c r="AF7"/>
  <c r="AE7"/>
  <c r="AD7"/>
  <c r="AB7"/>
  <c r="AA7"/>
  <c r="Z7"/>
  <c r="Y7"/>
  <c r="X7"/>
  <c r="Q7"/>
  <c r="P7"/>
  <c r="O7"/>
  <c r="N7"/>
  <c r="F7"/>
  <c r="E7"/>
  <c r="D7"/>
  <c r="C7"/>
  <c r="B7"/>
  <c r="AH6"/>
  <c r="AG6"/>
  <c r="AF6"/>
  <c r="AE6"/>
  <c r="AD6"/>
  <c r="AB6"/>
  <c r="AA6"/>
  <c r="Z6"/>
  <c r="Y6"/>
  <c r="X6"/>
  <c r="Q6"/>
  <c r="P6"/>
  <c r="O6"/>
  <c r="N6"/>
  <c r="F6"/>
  <c r="E6"/>
  <c r="D6"/>
  <c r="C6"/>
  <c r="B6"/>
  <c r="AH5"/>
  <c r="AG5"/>
  <c r="AF5"/>
  <c r="AE5"/>
  <c r="AD5"/>
  <c r="AB5"/>
  <c r="AA5"/>
  <c r="Z5"/>
  <c r="Y5"/>
  <c r="X5"/>
  <c r="Q5"/>
  <c r="P5"/>
  <c r="O5"/>
  <c r="N5"/>
  <c r="L5"/>
  <c r="K5"/>
  <c r="J5"/>
  <c r="I5"/>
  <c r="F5"/>
  <c r="E5"/>
  <c r="D5"/>
  <c r="C5"/>
  <c r="B5"/>
  <c r="Q4"/>
  <c r="P4"/>
  <c r="O4"/>
  <c r="N4"/>
  <c r="L4"/>
  <c r="K4"/>
  <c r="J4"/>
  <c r="I4"/>
  <c r="F4"/>
  <c r="E4"/>
  <c r="D4"/>
  <c r="C4"/>
  <c r="B4"/>
  <c r="AH3"/>
  <c r="AG3"/>
  <c r="AF3"/>
  <c r="AE3"/>
  <c r="AD3"/>
  <c r="AB3"/>
  <c r="AA3"/>
  <c r="Z3"/>
  <c r="Y3"/>
  <c r="X3"/>
  <c r="E13" i="76"/>
  <c r="B13"/>
  <c r="E12"/>
  <c r="B12"/>
  <c r="E11"/>
  <c r="B11"/>
  <c r="E10"/>
  <c r="B10"/>
  <c r="E9"/>
  <c r="B9"/>
  <c r="E8"/>
  <c r="B8"/>
  <c r="E7"/>
  <c r="B7"/>
  <c r="E6"/>
  <c r="B6"/>
  <c r="B2"/>
  <c r="E2"/>
  <c r="B3"/>
  <c r="I5" i="3"/>
  <c r="K5"/>
  <c r="I4" i="6"/>
  <c r="G3" i="43"/>
  <c r="G2"/>
  <c r="N104" i="46"/>
  <c r="B113" i="43"/>
  <c r="I118"/>
  <c r="J118"/>
  <c r="K118"/>
  <c r="L118"/>
  <c r="M118"/>
  <c r="G118"/>
  <c r="H118"/>
  <c r="D118"/>
  <c r="E118"/>
  <c r="F118"/>
  <c r="B118"/>
  <c r="C118"/>
  <c r="I117"/>
  <c r="J117"/>
  <c r="K117"/>
  <c r="L117"/>
  <c r="M117"/>
  <c r="D117"/>
  <c r="E117"/>
  <c r="F117"/>
  <c r="G117"/>
  <c r="H117"/>
  <c r="B117"/>
  <c r="C117"/>
  <c r="I116"/>
  <c r="J116"/>
  <c r="K116"/>
  <c r="L116"/>
  <c r="M116"/>
  <c r="D116"/>
  <c r="E116"/>
  <c r="F116"/>
  <c r="G116"/>
  <c r="H116"/>
  <c r="B116"/>
  <c r="C116"/>
  <c r="I115"/>
  <c r="J115"/>
  <c r="K115"/>
  <c r="L115"/>
  <c r="M115"/>
  <c r="D115"/>
  <c r="E115"/>
  <c r="F115"/>
  <c r="G115"/>
  <c r="H115"/>
  <c r="B115"/>
  <c r="C115"/>
  <c r="H113"/>
  <c r="F113"/>
  <c r="D113"/>
  <c r="N101"/>
  <c r="N109"/>
  <c r="M101"/>
  <c r="M109"/>
  <c r="L101"/>
  <c r="L109"/>
  <c r="K101"/>
  <c r="K109"/>
  <c r="J101"/>
  <c r="J109"/>
  <c r="I101"/>
  <c r="I109"/>
  <c r="H101"/>
  <c r="H109"/>
  <c r="G101"/>
  <c r="G109"/>
  <c r="F101"/>
  <c r="F109"/>
  <c r="E101"/>
  <c r="E109"/>
  <c r="D101"/>
  <c r="D109"/>
  <c r="C101"/>
  <c r="C109"/>
  <c r="N108"/>
  <c r="M108"/>
  <c r="L108"/>
  <c r="K108"/>
  <c r="J108"/>
  <c r="I108"/>
  <c r="H108"/>
  <c r="G108"/>
  <c r="F108"/>
  <c r="E108"/>
  <c r="D108"/>
  <c r="C108"/>
  <c r="N107"/>
  <c r="M107"/>
  <c r="L107"/>
  <c r="K107"/>
  <c r="J107"/>
  <c r="I107"/>
  <c r="H107"/>
  <c r="G107"/>
  <c r="F107"/>
  <c r="E107"/>
  <c r="D107"/>
  <c r="C107"/>
  <c r="N106"/>
  <c r="M106"/>
  <c r="L106"/>
  <c r="K106"/>
  <c r="J106"/>
  <c r="I106"/>
  <c r="H106"/>
  <c r="G106"/>
  <c r="F106"/>
  <c r="E106"/>
  <c r="D106"/>
  <c r="C106"/>
  <c r="N105"/>
  <c r="M105"/>
  <c r="L105"/>
  <c r="K105"/>
  <c r="J105"/>
  <c r="I105"/>
  <c r="H105"/>
  <c r="G105"/>
  <c r="F105"/>
  <c r="E105"/>
  <c r="D105"/>
  <c r="C105"/>
  <c r="N104"/>
  <c r="M104"/>
  <c r="L104"/>
  <c r="K104"/>
  <c r="J104"/>
  <c r="I104"/>
  <c r="H104"/>
  <c r="G104"/>
  <c r="F104"/>
  <c r="E104"/>
  <c r="D104"/>
  <c r="C104"/>
  <c r="N103"/>
  <c r="M103"/>
  <c r="L103"/>
  <c r="K103"/>
  <c r="J103"/>
  <c r="I103"/>
  <c r="H103"/>
  <c r="G103"/>
  <c r="F103"/>
  <c r="E103"/>
  <c r="D103"/>
  <c r="C103"/>
  <c r="N102"/>
  <c r="M102"/>
  <c r="L102"/>
  <c r="K102"/>
  <c r="J102"/>
  <c r="I102"/>
  <c r="H102"/>
  <c r="G102"/>
  <c r="F102"/>
  <c r="E102"/>
  <c r="D102"/>
  <c r="C102"/>
  <c r="N100"/>
  <c r="M100"/>
  <c r="L100"/>
  <c r="K100"/>
  <c r="J100"/>
  <c r="I100"/>
  <c r="H100"/>
  <c r="G100"/>
  <c r="F100"/>
  <c r="E100"/>
  <c r="D100"/>
  <c r="C100"/>
  <c r="N99"/>
  <c r="M99"/>
  <c r="L99"/>
  <c r="K99"/>
  <c r="J99"/>
  <c r="I99"/>
  <c r="H99"/>
  <c r="G99"/>
  <c r="F99"/>
  <c r="E99"/>
  <c r="D99"/>
  <c r="C99"/>
  <c r="N88"/>
  <c r="M88"/>
  <c r="K88"/>
  <c r="J88"/>
  <c r="F81"/>
  <c r="H88"/>
  <c r="D88"/>
  <c r="B88"/>
  <c r="N87"/>
  <c r="M87"/>
  <c r="K87"/>
  <c r="J87"/>
  <c r="H87"/>
  <c r="D87"/>
  <c r="N86"/>
  <c r="M86"/>
  <c r="K86"/>
  <c r="J86"/>
  <c r="H86"/>
  <c r="D86"/>
  <c r="B86"/>
  <c r="N85"/>
  <c r="M85"/>
  <c r="K85"/>
  <c r="J85"/>
  <c r="H85"/>
  <c r="D85"/>
  <c r="B85"/>
  <c r="N84"/>
  <c r="M84"/>
  <c r="K84"/>
  <c r="J84"/>
  <c r="H84"/>
  <c r="D84"/>
  <c r="B84"/>
  <c r="N83"/>
  <c r="M83"/>
  <c r="K83"/>
  <c r="J83"/>
  <c r="H83"/>
  <c r="D83"/>
  <c r="B83"/>
  <c r="N82"/>
  <c r="M82"/>
  <c r="K82"/>
  <c r="J82"/>
  <c r="H82"/>
  <c r="D82"/>
  <c r="B82"/>
  <c r="N81"/>
  <c r="M81"/>
  <c r="K81"/>
  <c r="J81"/>
  <c r="H81"/>
  <c r="E81"/>
  <c r="D81"/>
  <c r="B81"/>
  <c r="B79"/>
  <c r="N78"/>
  <c r="M78"/>
  <c r="K78"/>
  <c r="J78"/>
  <c r="F70"/>
  <c r="H78"/>
  <c r="D78"/>
  <c r="N77"/>
  <c r="M77"/>
  <c r="K77"/>
  <c r="J77"/>
  <c r="H77"/>
  <c r="D77"/>
  <c r="B77"/>
  <c r="N76"/>
  <c r="M76"/>
  <c r="K76"/>
  <c r="J76"/>
  <c r="H76"/>
  <c r="D76"/>
  <c r="N75"/>
  <c r="M75"/>
  <c r="K75"/>
  <c r="J75"/>
  <c r="H75"/>
  <c r="D75"/>
  <c r="B75"/>
  <c r="N74"/>
  <c r="M74"/>
  <c r="K74"/>
  <c r="J74"/>
  <c r="H74"/>
  <c r="D74"/>
  <c r="B74"/>
  <c r="N73"/>
  <c r="M73"/>
  <c r="K73"/>
  <c r="J73"/>
  <c r="H73"/>
  <c r="D73"/>
  <c r="B73"/>
  <c r="N72"/>
  <c r="M72"/>
  <c r="K72"/>
  <c r="J72"/>
  <c r="H72"/>
  <c r="D72"/>
  <c r="B72"/>
  <c r="N71"/>
  <c r="M71"/>
  <c r="K71"/>
  <c r="J71"/>
  <c r="H71"/>
  <c r="D71"/>
  <c r="B71"/>
  <c r="N70"/>
  <c r="M70"/>
  <c r="K70"/>
  <c r="J70"/>
  <c r="H70"/>
  <c r="E70"/>
  <c r="D70"/>
  <c r="B70"/>
  <c r="B68"/>
  <c r="N67"/>
  <c r="M67"/>
  <c r="K67"/>
  <c r="J67"/>
  <c r="F59"/>
  <c r="H67"/>
  <c r="D67"/>
  <c r="B67"/>
  <c r="N66"/>
  <c r="M66"/>
  <c r="K66"/>
  <c r="J66"/>
  <c r="H66"/>
  <c r="D66"/>
  <c r="B66"/>
  <c r="N65"/>
  <c r="M65"/>
  <c r="K65"/>
  <c r="J65"/>
  <c r="H65"/>
  <c r="D65"/>
  <c r="B65"/>
  <c r="N64"/>
  <c r="M64"/>
  <c r="K64"/>
  <c r="J64"/>
  <c r="H64"/>
  <c r="D64"/>
  <c r="N63"/>
  <c r="M63"/>
  <c r="K63"/>
  <c r="J63"/>
  <c r="H63"/>
  <c r="D63"/>
  <c r="B63"/>
  <c r="N62"/>
  <c r="M62"/>
  <c r="K62"/>
  <c r="J62"/>
  <c r="H62"/>
  <c r="D62"/>
  <c r="N61"/>
  <c r="M61"/>
  <c r="K61"/>
  <c r="J61"/>
  <c r="H61"/>
  <c r="D61"/>
  <c r="B61"/>
  <c r="N60"/>
  <c r="M60"/>
  <c r="K60"/>
  <c r="J60"/>
  <c r="H60"/>
  <c r="D60"/>
  <c r="B60"/>
  <c r="N59"/>
  <c r="M59"/>
  <c r="K59"/>
  <c r="J59"/>
  <c r="H59"/>
  <c r="E59"/>
  <c r="D59"/>
  <c r="B59"/>
  <c r="B57"/>
  <c r="N56"/>
  <c r="M56"/>
  <c r="K56"/>
  <c r="J56"/>
  <c r="F48"/>
  <c r="H56"/>
  <c r="D56"/>
  <c r="B56"/>
  <c r="N55"/>
  <c r="M55"/>
  <c r="K55"/>
  <c r="J55"/>
  <c r="H55"/>
  <c r="D55"/>
  <c r="B55"/>
  <c r="N54"/>
  <c r="M54"/>
  <c r="K54"/>
  <c r="J54"/>
  <c r="H54"/>
  <c r="D54"/>
  <c r="B54"/>
  <c r="N53"/>
  <c r="M53"/>
  <c r="K53"/>
  <c r="J53"/>
  <c r="H53"/>
  <c r="D53"/>
  <c r="N52"/>
  <c r="M52"/>
  <c r="K52"/>
  <c r="J52"/>
  <c r="H52"/>
  <c r="D52"/>
  <c r="B52"/>
  <c r="N51"/>
  <c r="M51"/>
  <c r="K51"/>
  <c r="J51"/>
  <c r="H51"/>
  <c r="D51"/>
  <c r="N50"/>
  <c r="M50"/>
  <c r="K50"/>
  <c r="J50"/>
  <c r="H50"/>
  <c r="D50"/>
  <c r="B50"/>
  <c r="N49"/>
  <c r="M49"/>
  <c r="K49"/>
  <c r="J49"/>
  <c r="H49"/>
  <c r="D49"/>
  <c r="B49"/>
  <c r="N48"/>
  <c r="M48"/>
  <c r="K48"/>
  <c r="J48"/>
  <c r="H48"/>
  <c r="E48"/>
  <c r="D48"/>
  <c r="B48"/>
  <c r="B46"/>
  <c r="C10"/>
  <c r="C11"/>
  <c r="E8"/>
  <c r="G39"/>
  <c r="I39"/>
  <c r="H39"/>
  <c r="F39"/>
  <c r="C6"/>
  <c r="G17"/>
  <c r="H17"/>
  <c r="I17"/>
  <c r="J17"/>
  <c r="C17"/>
  <c r="C16"/>
  <c r="C5"/>
  <c r="G19"/>
  <c r="M20"/>
  <c r="M19"/>
  <c r="C19"/>
  <c r="G20"/>
  <c r="I20"/>
  <c r="C20"/>
  <c r="C24"/>
  <c r="C39"/>
  <c r="E39"/>
  <c r="F38"/>
  <c r="C38"/>
  <c r="G38"/>
  <c r="I38"/>
  <c r="H38"/>
  <c r="E38"/>
  <c r="F37"/>
  <c r="C37"/>
  <c r="G37"/>
  <c r="I37"/>
  <c r="H37"/>
  <c r="E37"/>
  <c r="D5"/>
  <c r="F36"/>
  <c r="C36"/>
  <c r="G36"/>
  <c r="I36"/>
  <c r="H36"/>
  <c r="E36"/>
  <c r="F35"/>
  <c r="C35"/>
  <c r="G35"/>
  <c r="I35"/>
  <c r="H35"/>
  <c r="E35"/>
  <c r="F34"/>
  <c r="C34"/>
  <c r="G34"/>
  <c r="I34"/>
  <c r="H34"/>
  <c r="E34"/>
  <c r="F33"/>
  <c r="C33"/>
  <c r="G33"/>
  <c r="I33"/>
  <c r="H33"/>
  <c r="E33"/>
  <c r="C18"/>
  <c r="C23"/>
  <c r="C21"/>
  <c r="C29"/>
  <c r="C30"/>
  <c r="E30"/>
  <c r="E29"/>
  <c r="C27"/>
  <c r="C26"/>
  <c r="P25"/>
  <c r="P24"/>
  <c r="P23"/>
  <c r="P22"/>
  <c r="J22"/>
  <c r="H22"/>
  <c r="G22"/>
  <c r="F22"/>
  <c r="E22"/>
  <c r="D22"/>
  <c r="P21"/>
  <c r="J20"/>
  <c r="E20"/>
  <c r="O19"/>
  <c r="I19"/>
  <c r="P17"/>
  <c r="O17"/>
  <c r="N17"/>
  <c r="M17"/>
  <c r="E17"/>
  <c r="T16"/>
  <c r="V16"/>
  <c r="T15"/>
  <c r="V15"/>
  <c r="F15"/>
  <c r="E15"/>
  <c r="D15"/>
  <c r="C15"/>
  <c r="T14"/>
  <c r="V14"/>
  <c r="AJ11"/>
  <c r="AJ13"/>
  <c r="AI11"/>
  <c r="AI13"/>
  <c r="AH11"/>
  <c r="AH13"/>
  <c r="AG11"/>
  <c r="AG13"/>
  <c r="AF11"/>
  <c r="AF13"/>
  <c r="AE11"/>
  <c r="AE13"/>
  <c r="AD11"/>
  <c r="AD13"/>
  <c r="AC11"/>
  <c r="AC13"/>
  <c r="AB11"/>
  <c r="AB13"/>
  <c r="AA11"/>
  <c r="AA13"/>
  <c r="Z11"/>
  <c r="Z13"/>
  <c r="Y11"/>
  <c r="Y13"/>
  <c r="T13"/>
  <c r="V13"/>
  <c r="AJ12"/>
  <c r="AI12"/>
  <c r="AH12"/>
  <c r="AG12"/>
  <c r="AF12"/>
  <c r="AE12"/>
  <c r="AD12"/>
  <c r="AC12"/>
  <c r="AB12"/>
  <c r="AA12"/>
  <c r="Z12"/>
  <c r="Y12"/>
  <c r="T12"/>
  <c r="V12"/>
  <c r="I2"/>
  <c r="N12"/>
  <c r="M12"/>
  <c r="C12"/>
  <c r="T11"/>
  <c r="V11"/>
  <c r="N11"/>
  <c r="M11"/>
  <c r="E11"/>
  <c r="AJ10"/>
  <c r="AI10"/>
  <c r="AH10"/>
  <c r="AG10"/>
  <c r="AF10"/>
  <c r="AE10"/>
  <c r="AD10"/>
  <c r="AC10"/>
  <c r="AB10"/>
  <c r="AA10"/>
  <c r="Z10"/>
  <c r="Y10"/>
  <c r="T10"/>
  <c r="V10"/>
  <c r="N10"/>
  <c r="M10"/>
  <c r="E10"/>
  <c r="AJ9"/>
  <c r="AI9"/>
  <c r="AH9"/>
  <c r="AG9"/>
  <c r="AF9"/>
  <c r="AE9"/>
  <c r="AD9"/>
  <c r="AC9"/>
  <c r="AB9"/>
  <c r="AA9"/>
  <c r="Z9"/>
  <c r="T9"/>
  <c r="V9"/>
  <c r="N9"/>
  <c r="M9"/>
  <c r="E9"/>
  <c r="C9"/>
  <c r="T8"/>
  <c r="V8"/>
  <c r="N8"/>
  <c r="M8"/>
  <c r="Z7"/>
  <c r="X7"/>
  <c r="S7"/>
  <c r="T7"/>
  <c r="V7"/>
  <c r="N7"/>
  <c r="M7"/>
  <c r="C7"/>
  <c r="A7"/>
  <c r="S6"/>
  <c r="T6"/>
  <c r="V6"/>
  <c r="N6"/>
  <c r="M6"/>
  <c r="S5"/>
  <c r="T5"/>
  <c r="V5"/>
  <c r="N5"/>
  <c r="M5"/>
  <c r="S4"/>
  <c r="T4"/>
  <c r="V4"/>
  <c r="N4"/>
  <c r="M4"/>
  <c r="S3"/>
  <c r="T3"/>
  <c r="V3"/>
  <c r="N3"/>
  <c r="M3"/>
  <c r="B2"/>
  <c r="B3"/>
  <c r="S2"/>
  <c r="T2"/>
  <c r="V2"/>
  <c r="N2"/>
  <c r="M2"/>
  <c r="N1"/>
  <c r="M1"/>
  <c r="D1"/>
  <c r="B120" i="40"/>
  <c r="B118"/>
  <c r="B116"/>
  <c r="M115"/>
  <c r="L115"/>
  <c r="K115"/>
  <c r="J115"/>
  <c r="I115"/>
  <c r="H115"/>
  <c r="G115"/>
  <c r="F115"/>
  <c r="E115"/>
  <c r="D115"/>
  <c r="M113"/>
  <c r="L113"/>
  <c r="K113"/>
  <c r="J113"/>
  <c r="I113"/>
  <c r="H113"/>
  <c r="G113"/>
  <c r="F113"/>
  <c r="E113"/>
  <c r="D113"/>
  <c r="M111"/>
  <c r="L111"/>
  <c r="K111"/>
  <c r="J111"/>
  <c r="I111"/>
  <c r="H111"/>
  <c r="G111"/>
  <c r="F111"/>
  <c r="E111"/>
  <c r="D111"/>
  <c r="M107"/>
  <c r="L107"/>
  <c r="K107"/>
  <c r="J107"/>
  <c r="I107"/>
  <c r="H107"/>
  <c r="G107"/>
  <c r="F107"/>
  <c r="E107"/>
  <c r="D107"/>
  <c r="C107"/>
  <c r="B105"/>
  <c r="B103"/>
  <c r="B101"/>
  <c r="M100"/>
  <c r="L100"/>
  <c r="K100"/>
  <c r="J100"/>
  <c r="I100"/>
  <c r="H100"/>
  <c r="G100"/>
  <c r="F100"/>
  <c r="E100"/>
  <c r="D100"/>
  <c r="M98"/>
  <c r="L98"/>
  <c r="K98"/>
  <c r="J98"/>
  <c r="I98"/>
  <c r="H98"/>
  <c r="G98"/>
  <c r="F98"/>
  <c r="E98"/>
  <c r="D98"/>
  <c r="M96"/>
  <c r="L96"/>
  <c r="K96"/>
  <c r="J96"/>
  <c r="I96"/>
  <c r="H96"/>
  <c r="G96"/>
  <c r="F96"/>
  <c r="E96"/>
  <c r="D96"/>
  <c r="B95"/>
  <c r="G94"/>
  <c r="F94"/>
  <c r="E94"/>
  <c r="D94"/>
  <c r="G92"/>
  <c r="F92"/>
  <c r="E92"/>
  <c r="D92"/>
  <c r="G90"/>
  <c r="F90"/>
  <c r="E90"/>
  <c r="D90"/>
  <c r="G88"/>
  <c r="F88"/>
  <c r="E88"/>
  <c r="D88"/>
  <c r="G86"/>
  <c r="F86"/>
  <c r="E86"/>
  <c r="D86"/>
  <c r="G84"/>
  <c r="F84"/>
  <c r="E84"/>
  <c r="D84"/>
  <c r="B81"/>
  <c r="B79"/>
  <c r="B77"/>
  <c r="M76"/>
  <c r="L76"/>
  <c r="K76"/>
  <c r="J76"/>
  <c r="I76"/>
  <c r="H76"/>
  <c r="G76"/>
  <c r="F76"/>
  <c r="E76"/>
  <c r="D76"/>
  <c r="M74"/>
  <c r="L74"/>
  <c r="K74"/>
  <c r="J74"/>
  <c r="I74"/>
  <c r="H74"/>
  <c r="G74"/>
  <c r="F74"/>
  <c r="E74"/>
  <c r="D74"/>
  <c r="C74"/>
  <c r="B66"/>
  <c r="C7"/>
  <c r="C63"/>
  <c r="D63"/>
  <c r="E63"/>
  <c r="F63"/>
  <c r="G63"/>
  <c r="H63"/>
  <c r="I63"/>
  <c r="J63"/>
  <c r="K63"/>
  <c r="L63"/>
  <c r="M63"/>
  <c r="N63"/>
  <c r="O63"/>
  <c r="O65"/>
  <c r="N65"/>
  <c r="M65"/>
  <c r="L65"/>
  <c r="K65"/>
  <c r="J65"/>
  <c r="I65"/>
  <c r="H65"/>
  <c r="G65"/>
  <c r="F65"/>
  <c r="E65"/>
  <c r="D65"/>
  <c r="C65"/>
  <c r="F7"/>
  <c r="AA7"/>
  <c r="R42"/>
  <c r="R43"/>
  <c r="C43"/>
  <c r="E61"/>
  <c r="F61"/>
  <c r="H60"/>
  <c r="I60"/>
  <c r="C60"/>
  <c r="B60"/>
  <c r="BB5" i="3"/>
  <c r="BC5"/>
  <c r="E15" i="6"/>
  <c r="E60" i="40"/>
  <c r="F60"/>
  <c r="H59"/>
  <c r="I59"/>
  <c r="C59"/>
  <c r="B59"/>
  <c r="E14" i="6"/>
  <c r="E59" i="40"/>
  <c r="F59"/>
  <c r="H58"/>
  <c r="I58"/>
  <c r="C58"/>
  <c r="B58"/>
  <c r="E13" i="6"/>
  <c r="E58" i="40"/>
  <c r="F58"/>
  <c r="H57"/>
  <c r="I57"/>
  <c r="C57"/>
  <c r="B57"/>
  <c r="E12" i="6"/>
  <c r="E57" i="40"/>
  <c r="F57"/>
  <c r="H56"/>
  <c r="I56"/>
  <c r="C56"/>
  <c r="B56"/>
  <c r="E11" i="6"/>
  <c r="E56" i="40"/>
  <c r="F56"/>
  <c r="H55"/>
  <c r="I55"/>
  <c r="C55"/>
  <c r="B55"/>
  <c r="F55"/>
  <c r="H54"/>
  <c r="I54"/>
  <c r="C54"/>
  <c r="B54"/>
  <c r="F54"/>
  <c r="H53"/>
  <c r="I53"/>
  <c r="C53"/>
  <c r="B53"/>
  <c r="F53"/>
  <c r="H52"/>
  <c r="I52"/>
  <c r="C52"/>
  <c r="B52"/>
  <c r="F52"/>
  <c r="B51"/>
  <c r="E8" i="6"/>
  <c r="E51" i="40"/>
  <c r="F51"/>
  <c r="J50"/>
  <c r="J48"/>
  <c r="I48"/>
  <c r="H48"/>
  <c r="G48"/>
  <c r="F48"/>
  <c r="E48"/>
  <c r="J7"/>
  <c r="AC7"/>
  <c r="V42"/>
  <c r="I42"/>
  <c r="E42"/>
  <c r="I47"/>
  <c r="J47"/>
  <c r="H7"/>
  <c r="AB7"/>
  <c r="T42"/>
  <c r="G42"/>
  <c r="G47"/>
  <c r="H47"/>
  <c r="E47"/>
  <c r="F47"/>
  <c r="I46"/>
  <c r="J46"/>
  <c r="G46"/>
  <c r="H46"/>
  <c r="E46"/>
  <c r="F46"/>
  <c r="P43"/>
  <c r="P42"/>
  <c r="C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C30"/>
  <c r="J30"/>
  <c r="AC30"/>
  <c r="H30"/>
  <c r="AB30"/>
  <c r="F30"/>
  <c r="AA30"/>
  <c r="Z30"/>
  <c r="W30"/>
  <c r="U30"/>
  <c r="S30"/>
  <c r="Q30"/>
  <c r="AC28"/>
  <c r="AB28"/>
  <c r="AA28"/>
  <c r="Z28"/>
  <c r="W28"/>
  <c r="U28"/>
  <c r="S28"/>
  <c r="Q28"/>
  <c r="J28"/>
  <c r="H28"/>
  <c r="F28"/>
  <c r="C28"/>
  <c r="AC27"/>
  <c r="AB27"/>
  <c r="AA27"/>
  <c r="Z27"/>
  <c r="W27"/>
  <c r="U27"/>
  <c r="S27"/>
  <c r="Q27"/>
  <c r="J27"/>
  <c r="H27"/>
  <c r="F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Z10"/>
  <c r="Q10"/>
  <c r="AC9"/>
  <c r="AB9"/>
  <c r="AA9"/>
  <c r="Z9"/>
  <c r="W9"/>
  <c r="U9"/>
  <c r="S9"/>
  <c r="Q9"/>
  <c r="J9"/>
  <c r="H9"/>
  <c r="F9"/>
  <c r="AC8"/>
  <c r="AB8"/>
  <c r="AA8"/>
  <c r="W8"/>
  <c r="U8"/>
  <c r="S8"/>
  <c r="J8"/>
  <c r="H8"/>
  <c r="F8"/>
  <c r="W7"/>
  <c r="U7"/>
  <c r="S7"/>
  <c r="B2"/>
  <c r="B3"/>
  <c r="B131" i="39"/>
  <c r="B129"/>
  <c r="B127"/>
  <c r="M126"/>
  <c r="L126"/>
  <c r="K126"/>
  <c r="J126"/>
  <c r="I126"/>
  <c r="H126"/>
  <c r="G126"/>
  <c r="F126"/>
  <c r="E126"/>
  <c r="D126"/>
  <c r="M124"/>
  <c r="L124"/>
  <c r="K124"/>
  <c r="J124"/>
  <c r="I124"/>
  <c r="H124"/>
  <c r="G124"/>
  <c r="F124"/>
  <c r="E124"/>
  <c r="D124"/>
  <c r="M122"/>
  <c r="L122"/>
  <c r="K122"/>
  <c r="J122"/>
  <c r="I122"/>
  <c r="H122"/>
  <c r="G122"/>
  <c r="F122"/>
  <c r="E122"/>
  <c r="D122"/>
  <c r="M120"/>
  <c r="L120"/>
  <c r="K120"/>
  <c r="J120"/>
  <c r="I120"/>
  <c r="H120"/>
  <c r="G120"/>
  <c r="F120"/>
  <c r="E120"/>
  <c r="D120"/>
  <c r="M116"/>
  <c r="L116"/>
  <c r="K116"/>
  <c r="J116"/>
  <c r="I116"/>
  <c r="H116"/>
  <c r="G116"/>
  <c r="F116"/>
  <c r="E116"/>
  <c r="D116"/>
  <c r="C116"/>
  <c r="B114"/>
  <c r="B112"/>
  <c r="B110"/>
  <c r="M109"/>
  <c r="L109"/>
  <c r="K109"/>
  <c r="J109"/>
  <c r="I109"/>
  <c r="H109"/>
  <c r="G109"/>
  <c r="F109"/>
  <c r="E109"/>
  <c r="D109"/>
  <c r="M107"/>
  <c r="L107"/>
  <c r="K107"/>
  <c r="J107"/>
  <c r="I107"/>
  <c r="H107"/>
  <c r="G107"/>
  <c r="F107"/>
  <c r="E107"/>
  <c r="D107"/>
  <c r="M105"/>
  <c r="L105"/>
  <c r="K105"/>
  <c r="J105"/>
  <c r="I105"/>
  <c r="H105"/>
  <c r="G105"/>
  <c r="F105"/>
  <c r="E105"/>
  <c r="D105"/>
  <c r="B104"/>
  <c r="G103"/>
  <c r="F103"/>
  <c r="E103"/>
  <c r="D103"/>
  <c r="G101"/>
  <c r="F101"/>
  <c r="E101"/>
  <c r="D101"/>
  <c r="G99"/>
  <c r="F99"/>
  <c r="E99"/>
  <c r="D99"/>
  <c r="G97"/>
  <c r="F97"/>
  <c r="E97"/>
  <c r="D97"/>
  <c r="G95"/>
  <c r="F95"/>
  <c r="E95"/>
  <c r="D95"/>
  <c r="G93"/>
  <c r="F93"/>
  <c r="E93"/>
  <c r="D93"/>
  <c r="G91"/>
  <c r="F91"/>
  <c r="E91"/>
  <c r="D91"/>
  <c r="G89"/>
  <c r="F89"/>
  <c r="E89"/>
  <c r="D89"/>
  <c r="B86"/>
  <c r="B84"/>
  <c r="B82"/>
  <c r="M81"/>
  <c r="L81"/>
  <c r="K81"/>
  <c r="J81"/>
  <c r="I81"/>
  <c r="H81"/>
  <c r="G81"/>
  <c r="F81"/>
  <c r="E81"/>
  <c r="D81"/>
  <c r="M79"/>
  <c r="L79"/>
  <c r="K79"/>
  <c r="J79"/>
  <c r="I79"/>
  <c r="H79"/>
  <c r="G79"/>
  <c r="F79"/>
  <c r="E79"/>
  <c r="D79"/>
  <c r="C79"/>
  <c r="B71"/>
  <c r="C7"/>
  <c r="C68"/>
  <c r="D68"/>
  <c r="E68"/>
  <c r="F68"/>
  <c r="G68"/>
  <c r="H68"/>
  <c r="I68"/>
  <c r="J68"/>
  <c r="K68"/>
  <c r="L68"/>
  <c r="M68"/>
  <c r="N68"/>
  <c r="O68"/>
  <c r="O70"/>
  <c r="N70"/>
  <c r="M70"/>
  <c r="L70"/>
  <c r="K70"/>
  <c r="J70"/>
  <c r="I70"/>
  <c r="H70"/>
  <c r="G70"/>
  <c r="F70"/>
  <c r="E70"/>
  <c r="D70"/>
  <c r="C70"/>
  <c r="F7"/>
  <c r="AA7"/>
  <c r="R47"/>
  <c r="R48"/>
  <c r="C48"/>
  <c r="B56"/>
  <c r="E56"/>
  <c r="F56"/>
  <c r="F66"/>
  <c r="E61"/>
  <c r="E62"/>
  <c r="E63"/>
  <c r="E64"/>
  <c r="E65"/>
  <c r="E66"/>
  <c r="H65"/>
  <c r="I65"/>
  <c r="C65"/>
  <c r="B65"/>
  <c r="F65"/>
  <c r="H64"/>
  <c r="I64"/>
  <c r="C64"/>
  <c r="B64"/>
  <c r="F64"/>
  <c r="H63"/>
  <c r="I63"/>
  <c r="C63"/>
  <c r="B63"/>
  <c r="F63"/>
  <c r="H62"/>
  <c r="I62"/>
  <c r="C62"/>
  <c r="B62"/>
  <c r="F62"/>
  <c r="H61"/>
  <c r="I61"/>
  <c r="C61"/>
  <c r="B61"/>
  <c r="F61"/>
  <c r="H60"/>
  <c r="I60"/>
  <c r="C60"/>
  <c r="B60"/>
  <c r="F60"/>
  <c r="H59"/>
  <c r="I59"/>
  <c r="C59"/>
  <c r="B59"/>
  <c r="F59"/>
  <c r="H58"/>
  <c r="I58"/>
  <c r="C58"/>
  <c r="B58"/>
  <c r="F58"/>
  <c r="H57"/>
  <c r="I57"/>
  <c r="C57"/>
  <c r="B57"/>
  <c r="F57"/>
  <c r="J55"/>
  <c r="J53"/>
  <c r="I53"/>
  <c r="H53"/>
  <c r="G53"/>
  <c r="F53"/>
  <c r="E53"/>
  <c r="J7"/>
  <c r="AC7"/>
  <c r="V47"/>
  <c r="I47"/>
  <c r="E47"/>
  <c r="I52"/>
  <c r="J52"/>
  <c r="H7"/>
  <c r="AB7"/>
  <c r="T47"/>
  <c r="G47"/>
  <c r="G52"/>
  <c r="H52"/>
  <c r="E52"/>
  <c r="F52"/>
  <c r="I51"/>
  <c r="J51"/>
  <c r="G51"/>
  <c r="H51"/>
  <c r="E51"/>
  <c r="F51"/>
  <c r="P48"/>
  <c r="P47"/>
  <c r="C47"/>
  <c r="V46"/>
  <c r="T46"/>
  <c r="R46"/>
  <c r="P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2"/>
  <c r="AB32"/>
  <c r="AA32"/>
  <c r="Z32"/>
  <c r="W32"/>
  <c r="U32"/>
  <c r="S32"/>
  <c r="Q32"/>
  <c r="J32"/>
  <c r="H32"/>
  <c r="F32"/>
  <c r="AC31"/>
  <c r="AB31"/>
  <c r="AA31"/>
  <c r="Z31"/>
  <c r="W31"/>
  <c r="U31"/>
  <c r="S31"/>
  <c r="Q31"/>
  <c r="J31"/>
  <c r="H31"/>
  <c r="F31"/>
  <c r="AC29"/>
  <c r="AB29"/>
  <c r="AA29"/>
  <c r="Z29"/>
  <c r="W29"/>
  <c r="U29"/>
  <c r="S29"/>
  <c r="Q29"/>
  <c r="J29"/>
  <c r="H29"/>
  <c r="F29"/>
  <c r="C29"/>
  <c r="AC27"/>
  <c r="AB27"/>
  <c r="AA27"/>
  <c r="Z27"/>
  <c r="W27"/>
  <c r="U27"/>
  <c r="S27"/>
  <c r="Q27"/>
  <c r="J27"/>
  <c r="H27"/>
  <c r="F27"/>
  <c r="C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Z10"/>
  <c r="Q10"/>
  <c r="AC9"/>
  <c r="AB9"/>
  <c r="AA9"/>
  <c r="Z9"/>
  <c r="W9"/>
  <c r="U9"/>
  <c r="S9"/>
  <c r="Q9"/>
  <c r="J9"/>
  <c r="H9"/>
  <c r="F9"/>
  <c r="AC8"/>
  <c r="AB8"/>
  <c r="AA8"/>
  <c r="W8"/>
  <c r="U8"/>
  <c r="S8"/>
  <c r="J8"/>
  <c r="H8"/>
  <c r="F8"/>
  <c r="W7"/>
  <c r="U7"/>
  <c r="S7"/>
  <c r="B2"/>
  <c r="B3"/>
  <c r="B95" i="36"/>
  <c r="B93"/>
  <c r="B91"/>
  <c r="M86"/>
  <c r="L86"/>
  <c r="K86"/>
  <c r="J86"/>
  <c r="I86"/>
  <c r="H86"/>
  <c r="G86"/>
  <c r="F86"/>
  <c r="E86"/>
  <c r="D86"/>
  <c r="C86"/>
  <c r="M85"/>
  <c r="L85"/>
  <c r="K85"/>
  <c r="J85"/>
  <c r="I85"/>
  <c r="H85"/>
  <c r="G85"/>
  <c r="F85"/>
  <c r="E85"/>
  <c r="D85"/>
  <c r="M83"/>
  <c r="L83"/>
  <c r="K83"/>
  <c r="J83"/>
  <c r="I83"/>
  <c r="H83"/>
  <c r="G83"/>
  <c r="F83"/>
  <c r="E83"/>
  <c r="D83"/>
  <c r="M81"/>
  <c r="L81"/>
  <c r="K81"/>
  <c r="J81"/>
  <c r="I81"/>
  <c r="H81"/>
  <c r="G81"/>
  <c r="F81"/>
  <c r="E81"/>
  <c r="D81"/>
  <c r="G79"/>
  <c r="F79"/>
  <c r="E79"/>
  <c r="D79"/>
  <c r="C79"/>
  <c r="M78"/>
  <c r="L78"/>
  <c r="K78"/>
  <c r="J78"/>
  <c r="I78"/>
  <c r="H78"/>
  <c r="G78"/>
  <c r="F78"/>
  <c r="E78"/>
  <c r="D78"/>
  <c r="B75"/>
  <c r="B73"/>
  <c r="B71"/>
  <c r="D70"/>
  <c r="G68"/>
  <c r="F68"/>
  <c r="E68"/>
  <c r="D68"/>
  <c r="G66"/>
  <c r="F66"/>
  <c r="E66"/>
  <c r="D66"/>
  <c r="G64"/>
  <c r="F64"/>
  <c r="E64"/>
  <c r="D64"/>
  <c r="G62"/>
  <c r="F62"/>
  <c r="E62"/>
  <c r="D62"/>
  <c r="B59"/>
  <c r="B57"/>
  <c r="B55"/>
  <c r="I54"/>
  <c r="H54"/>
  <c r="G54"/>
  <c r="F54"/>
  <c r="C51"/>
  <c r="C7"/>
  <c r="C46"/>
  <c r="D46"/>
  <c r="E46"/>
  <c r="F46"/>
  <c r="G46"/>
  <c r="H46"/>
  <c r="I46"/>
  <c r="J46"/>
  <c r="K46"/>
  <c r="L46"/>
  <c r="M46"/>
  <c r="N46"/>
  <c r="O46"/>
  <c r="J42"/>
  <c r="I42"/>
  <c r="H42"/>
  <c r="G42"/>
  <c r="F42"/>
  <c r="E42"/>
  <c r="J7"/>
  <c r="AC7"/>
  <c r="V36"/>
  <c r="I36"/>
  <c r="F7"/>
  <c r="AA7"/>
  <c r="R36"/>
  <c r="E36"/>
  <c r="I41"/>
  <c r="J41"/>
  <c r="H7"/>
  <c r="AB7"/>
  <c r="T36"/>
  <c r="G36"/>
  <c r="G41"/>
  <c r="H41"/>
  <c r="E41"/>
  <c r="F41"/>
  <c r="I40"/>
  <c r="J40"/>
  <c r="G40"/>
  <c r="H40"/>
  <c r="E40"/>
  <c r="F40"/>
  <c r="R37"/>
  <c r="P37"/>
  <c r="C37"/>
  <c r="P36"/>
  <c r="C36"/>
  <c r="V35"/>
  <c r="T35"/>
  <c r="R35"/>
  <c r="P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W7"/>
  <c r="U7"/>
  <c r="S7"/>
  <c r="D3"/>
  <c r="D2"/>
  <c r="B2"/>
  <c r="B3"/>
  <c r="B101" i="35"/>
  <c r="B99"/>
  <c r="B97"/>
  <c r="G96"/>
  <c r="F96"/>
  <c r="E96"/>
  <c r="D96"/>
  <c r="M94"/>
  <c r="L94"/>
  <c r="K94"/>
  <c r="J94"/>
  <c r="I94"/>
  <c r="H94"/>
  <c r="G94"/>
  <c r="F94"/>
  <c r="E94"/>
  <c r="D94"/>
  <c r="M90"/>
  <c r="L90"/>
  <c r="K90"/>
  <c r="J90"/>
  <c r="I90"/>
  <c r="H90"/>
  <c r="G90"/>
  <c r="F90"/>
  <c r="E90"/>
  <c r="D90"/>
  <c r="C90"/>
  <c r="M89"/>
  <c r="L89"/>
  <c r="K89"/>
  <c r="J89"/>
  <c r="I89"/>
  <c r="H89"/>
  <c r="G89"/>
  <c r="F89"/>
  <c r="E89"/>
  <c r="D89"/>
  <c r="M87"/>
  <c r="L87"/>
  <c r="K87"/>
  <c r="J87"/>
  <c r="I87"/>
  <c r="H87"/>
  <c r="G87"/>
  <c r="F87"/>
  <c r="E87"/>
  <c r="D87"/>
  <c r="G85"/>
  <c r="F85"/>
  <c r="E85"/>
  <c r="D85"/>
  <c r="C85"/>
  <c r="M84"/>
  <c r="L84"/>
  <c r="K84"/>
  <c r="J84"/>
  <c r="I84"/>
  <c r="H84"/>
  <c r="G84"/>
  <c r="F84"/>
  <c r="E84"/>
  <c r="D84"/>
  <c r="M80"/>
  <c r="L80"/>
  <c r="K80"/>
  <c r="J80"/>
  <c r="I80"/>
  <c r="H80"/>
  <c r="G80"/>
  <c r="F80"/>
  <c r="E80"/>
  <c r="D80"/>
  <c r="C79"/>
  <c r="B77"/>
  <c r="B75"/>
  <c r="B73"/>
  <c r="G72"/>
  <c r="F72"/>
  <c r="E72"/>
  <c r="D72"/>
  <c r="G70"/>
  <c r="F70"/>
  <c r="E70"/>
  <c r="D70"/>
  <c r="G68"/>
  <c r="F68"/>
  <c r="E68"/>
  <c r="D68"/>
  <c r="G66"/>
  <c r="F66"/>
  <c r="E66"/>
  <c r="D66"/>
  <c r="G64"/>
  <c r="F64"/>
  <c r="E64"/>
  <c r="D64"/>
  <c r="B61"/>
  <c r="B59"/>
  <c r="B57"/>
  <c r="I56"/>
  <c r="H56"/>
  <c r="G56"/>
  <c r="F56"/>
  <c r="C53"/>
  <c r="C7"/>
  <c r="C48"/>
  <c r="D48"/>
  <c r="E48"/>
  <c r="F48"/>
  <c r="G48"/>
  <c r="H48"/>
  <c r="I48"/>
  <c r="J48"/>
  <c r="K48"/>
  <c r="L48"/>
  <c r="M48"/>
  <c r="N48"/>
  <c r="O48"/>
  <c r="J44"/>
  <c r="I44"/>
  <c r="H44"/>
  <c r="G44"/>
  <c r="F44"/>
  <c r="E44"/>
  <c r="J7"/>
  <c r="AC7"/>
  <c r="V38"/>
  <c r="I38"/>
  <c r="F7"/>
  <c r="AA7"/>
  <c r="R38"/>
  <c r="E38"/>
  <c r="I43"/>
  <c r="J43"/>
  <c r="H7"/>
  <c r="AB7"/>
  <c r="T38"/>
  <c r="G38"/>
  <c r="G43"/>
  <c r="H43"/>
  <c r="E43"/>
  <c r="F43"/>
  <c r="I42"/>
  <c r="J42"/>
  <c r="G42"/>
  <c r="H42"/>
  <c r="E42"/>
  <c r="F42"/>
  <c r="R39"/>
  <c r="P39"/>
  <c r="C39"/>
  <c r="P38"/>
  <c r="C38"/>
  <c r="B38"/>
  <c r="V37"/>
  <c r="T37"/>
  <c r="R37"/>
  <c r="P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C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W7"/>
  <c r="U7"/>
  <c r="S7"/>
  <c r="F3"/>
  <c r="D3"/>
  <c r="D2"/>
  <c r="B2"/>
  <c r="B3"/>
  <c r="B112" i="37"/>
  <c r="B110"/>
  <c r="B108"/>
  <c r="M107"/>
  <c r="L107"/>
  <c r="K107"/>
  <c r="J107"/>
  <c r="I107"/>
  <c r="H107"/>
  <c r="G107"/>
  <c r="F107"/>
  <c r="E107"/>
  <c r="D107"/>
  <c r="G105"/>
  <c r="F105"/>
  <c r="E105"/>
  <c r="D105"/>
  <c r="M103"/>
  <c r="L103"/>
  <c r="K103"/>
  <c r="J103"/>
  <c r="I103"/>
  <c r="H103"/>
  <c r="G103"/>
  <c r="F103"/>
  <c r="E103"/>
  <c r="D103"/>
  <c r="M101"/>
  <c r="L101"/>
  <c r="K101"/>
  <c r="J101"/>
  <c r="I101"/>
  <c r="H101"/>
  <c r="G101"/>
  <c r="F101"/>
  <c r="E101"/>
  <c r="D101"/>
  <c r="M99"/>
  <c r="L99"/>
  <c r="K99"/>
  <c r="J99"/>
  <c r="I99"/>
  <c r="H99"/>
  <c r="G99"/>
  <c r="F99"/>
  <c r="E99"/>
  <c r="D99"/>
  <c r="G97"/>
  <c r="F97"/>
  <c r="E97"/>
  <c r="D97"/>
  <c r="C97"/>
  <c r="M96"/>
  <c r="L96"/>
  <c r="K96"/>
  <c r="J96"/>
  <c r="I96"/>
  <c r="H96"/>
  <c r="G96"/>
  <c r="F96"/>
  <c r="E96"/>
  <c r="D96"/>
  <c r="M94"/>
  <c r="L94"/>
  <c r="K94"/>
  <c r="J94"/>
  <c r="I94"/>
  <c r="H94"/>
  <c r="G94"/>
  <c r="F94"/>
  <c r="E94"/>
  <c r="D94"/>
  <c r="M90"/>
  <c r="L90"/>
  <c r="K90"/>
  <c r="J90"/>
  <c r="I90"/>
  <c r="H90"/>
  <c r="G90"/>
  <c r="F90"/>
  <c r="E90"/>
  <c r="D90"/>
  <c r="C90"/>
  <c r="M89"/>
  <c r="L89"/>
  <c r="K89"/>
  <c r="J89"/>
  <c r="I89"/>
  <c r="H89"/>
  <c r="G89"/>
  <c r="F89"/>
  <c r="E89"/>
  <c r="D89"/>
  <c r="B86"/>
  <c r="B84"/>
  <c r="B82"/>
  <c r="B80"/>
  <c r="G79"/>
  <c r="F79"/>
  <c r="E79"/>
  <c r="D79"/>
  <c r="G77"/>
  <c r="F77"/>
  <c r="E77"/>
  <c r="D77"/>
  <c r="G75"/>
  <c r="F75"/>
  <c r="E75"/>
  <c r="D75"/>
  <c r="G73"/>
  <c r="F73"/>
  <c r="E73"/>
  <c r="D73"/>
  <c r="G71"/>
  <c r="F71"/>
  <c r="E71"/>
  <c r="D71"/>
  <c r="B68"/>
  <c r="B66"/>
  <c r="B64"/>
  <c r="M63"/>
  <c r="L63"/>
  <c r="K63"/>
  <c r="J63"/>
  <c r="I63"/>
  <c r="H63"/>
  <c r="G63"/>
  <c r="F63"/>
  <c r="E63"/>
  <c r="D63"/>
  <c r="M61"/>
  <c r="L61"/>
  <c r="K61"/>
  <c r="J61"/>
  <c r="I61"/>
  <c r="H61"/>
  <c r="G61"/>
  <c r="F61"/>
  <c r="E61"/>
  <c r="D61"/>
  <c r="C61"/>
  <c r="I60"/>
  <c r="H60"/>
  <c r="G60"/>
  <c r="F60"/>
  <c r="C57"/>
  <c r="C7"/>
  <c r="C52"/>
  <c r="D52"/>
  <c r="E52"/>
  <c r="F52"/>
  <c r="G52"/>
  <c r="H52"/>
  <c r="I52"/>
  <c r="J52"/>
  <c r="K52"/>
  <c r="L52"/>
  <c r="M52"/>
  <c r="N52"/>
  <c r="O52"/>
  <c r="J48"/>
  <c r="I48"/>
  <c r="H48"/>
  <c r="G48"/>
  <c r="F48"/>
  <c r="E48"/>
  <c r="J7"/>
  <c r="AC7"/>
  <c r="V42"/>
  <c r="I42"/>
  <c r="F7"/>
  <c r="AA7"/>
  <c r="R42"/>
  <c r="E42"/>
  <c r="I47"/>
  <c r="J47"/>
  <c r="H7"/>
  <c r="AB7"/>
  <c r="T42"/>
  <c r="G42"/>
  <c r="G47"/>
  <c r="H47"/>
  <c r="E47"/>
  <c r="F47"/>
  <c r="I46"/>
  <c r="J46"/>
  <c r="G46"/>
  <c r="H46"/>
  <c r="E46"/>
  <c r="F46"/>
  <c r="R43"/>
  <c r="P43"/>
  <c r="C43"/>
  <c r="P42"/>
  <c r="C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W7"/>
  <c r="U7"/>
  <c r="S7"/>
  <c r="D3"/>
  <c r="D2"/>
  <c r="B2"/>
  <c r="B3"/>
  <c r="B131" i="34"/>
  <c r="B129"/>
  <c r="B127"/>
  <c r="G126"/>
  <c r="F126"/>
  <c r="E126"/>
  <c r="D126"/>
  <c r="M124"/>
  <c r="L124"/>
  <c r="K124"/>
  <c r="J124"/>
  <c r="I124"/>
  <c r="H124"/>
  <c r="G124"/>
  <c r="F124"/>
  <c r="E124"/>
  <c r="D124"/>
  <c r="M120"/>
  <c r="L120"/>
  <c r="K120"/>
  <c r="J120"/>
  <c r="I120"/>
  <c r="H120"/>
  <c r="G120"/>
  <c r="F120"/>
  <c r="E120"/>
  <c r="D120"/>
  <c r="G118"/>
  <c r="F118"/>
  <c r="E118"/>
  <c r="D118"/>
  <c r="M116"/>
  <c r="L116"/>
  <c r="K116"/>
  <c r="J116"/>
  <c r="I116"/>
  <c r="H116"/>
  <c r="G116"/>
  <c r="F116"/>
  <c r="E116"/>
  <c r="D116"/>
  <c r="M114"/>
  <c r="L114"/>
  <c r="K114"/>
  <c r="J114"/>
  <c r="I114"/>
  <c r="H114"/>
  <c r="G114"/>
  <c r="F114"/>
  <c r="E114"/>
  <c r="D114"/>
  <c r="M112"/>
  <c r="L112"/>
  <c r="K112"/>
  <c r="J112"/>
  <c r="I112"/>
  <c r="H112"/>
  <c r="G112"/>
  <c r="F112"/>
  <c r="E112"/>
  <c r="D112"/>
  <c r="G110"/>
  <c r="F110"/>
  <c r="E110"/>
  <c r="D110"/>
  <c r="C110"/>
  <c r="M109"/>
  <c r="L109"/>
  <c r="K109"/>
  <c r="J109"/>
  <c r="I109"/>
  <c r="H109"/>
  <c r="G109"/>
  <c r="F109"/>
  <c r="E109"/>
  <c r="D109"/>
  <c r="M107"/>
  <c r="L107"/>
  <c r="K107"/>
  <c r="J107"/>
  <c r="I107"/>
  <c r="H107"/>
  <c r="G107"/>
  <c r="F107"/>
  <c r="E107"/>
  <c r="D107"/>
  <c r="M103"/>
  <c r="L103"/>
  <c r="K103"/>
  <c r="J103"/>
  <c r="I103"/>
  <c r="H103"/>
  <c r="G103"/>
  <c r="F103"/>
  <c r="E103"/>
  <c r="D103"/>
  <c r="C103"/>
  <c r="D102"/>
  <c r="E102"/>
  <c r="F102"/>
  <c r="G102"/>
  <c r="H102"/>
  <c r="I102"/>
  <c r="J102"/>
  <c r="K102"/>
  <c r="L102"/>
  <c r="M102"/>
  <c r="B99"/>
  <c r="B97"/>
  <c r="B95"/>
  <c r="B93"/>
  <c r="D92"/>
  <c r="E92"/>
  <c r="F92"/>
  <c r="G92"/>
  <c r="H92"/>
  <c r="I92"/>
  <c r="J92"/>
  <c r="K92"/>
  <c r="L92"/>
  <c r="M92"/>
  <c r="B91"/>
  <c r="D90"/>
  <c r="E90"/>
  <c r="F90"/>
  <c r="G90"/>
  <c r="H90"/>
  <c r="I90"/>
  <c r="J90"/>
  <c r="K90"/>
  <c r="L90"/>
  <c r="M90"/>
  <c r="B89"/>
  <c r="D88"/>
  <c r="E88"/>
  <c r="F88"/>
  <c r="G88"/>
  <c r="H88"/>
  <c r="I88"/>
  <c r="J88"/>
  <c r="K88"/>
  <c r="L88"/>
  <c r="M88"/>
  <c r="G86"/>
  <c r="F86"/>
  <c r="E86"/>
  <c r="D86"/>
  <c r="G84"/>
  <c r="F84"/>
  <c r="E84"/>
  <c r="D84"/>
  <c r="G82"/>
  <c r="F82"/>
  <c r="E82"/>
  <c r="D82"/>
  <c r="G80"/>
  <c r="F80"/>
  <c r="E80"/>
  <c r="D80"/>
  <c r="G78"/>
  <c r="F78"/>
  <c r="E78"/>
  <c r="D78"/>
  <c r="B75"/>
  <c r="B73"/>
  <c r="B71"/>
  <c r="D70"/>
  <c r="E70"/>
  <c r="F70"/>
  <c r="G70"/>
  <c r="H70"/>
  <c r="I70"/>
  <c r="J70"/>
  <c r="K70"/>
  <c r="L70"/>
  <c r="M70"/>
  <c r="M68"/>
  <c r="L68"/>
  <c r="K68"/>
  <c r="J68"/>
  <c r="I68"/>
  <c r="H68"/>
  <c r="G68"/>
  <c r="F68"/>
  <c r="E68"/>
  <c r="D68"/>
  <c r="C68"/>
  <c r="I67"/>
  <c r="H67"/>
  <c r="G67"/>
  <c r="F67"/>
  <c r="C64"/>
  <c r="C7"/>
  <c r="C59"/>
  <c r="D59"/>
  <c r="E59"/>
  <c r="F59"/>
  <c r="G59"/>
  <c r="H59"/>
  <c r="I59"/>
  <c r="J59"/>
  <c r="K59"/>
  <c r="L59"/>
  <c r="M59"/>
  <c r="N59"/>
  <c r="O59"/>
  <c r="I55"/>
  <c r="J55"/>
  <c r="G55"/>
  <c r="H55"/>
  <c r="E55"/>
  <c r="F55"/>
  <c r="J7"/>
  <c r="AC7"/>
  <c r="J8"/>
  <c r="AC8"/>
  <c r="J10"/>
  <c r="AC10"/>
  <c r="J11"/>
  <c r="AC11"/>
  <c r="V48"/>
  <c r="J34"/>
  <c r="AC34"/>
  <c r="V49"/>
  <c r="I49"/>
  <c r="F7"/>
  <c r="AA7"/>
  <c r="F8"/>
  <c r="AA8"/>
  <c r="F10"/>
  <c r="AA10"/>
  <c r="F11"/>
  <c r="AA11"/>
  <c r="R48"/>
  <c r="F40"/>
  <c r="AA40"/>
  <c r="F34"/>
  <c r="AA34"/>
  <c r="R49"/>
  <c r="E49"/>
  <c r="I54"/>
  <c r="J54"/>
  <c r="H7"/>
  <c r="AB7"/>
  <c r="H8"/>
  <c r="AB8"/>
  <c r="H10"/>
  <c r="AB10"/>
  <c r="H11"/>
  <c r="AB11"/>
  <c r="T48"/>
  <c r="H34"/>
  <c r="AB34"/>
  <c r="T49"/>
  <c r="G49"/>
  <c r="G54"/>
  <c r="H54"/>
  <c r="E54"/>
  <c r="F54"/>
  <c r="I53"/>
  <c r="J53"/>
  <c r="G53"/>
  <c r="H53"/>
  <c r="E53"/>
  <c r="F53"/>
  <c r="R50"/>
  <c r="P50"/>
  <c r="C50"/>
  <c r="P49"/>
  <c r="C49"/>
  <c r="P48"/>
  <c r="J47"/>
  <c r="AC47"/>
  <c r="H47"/>
  <c r="AB47"/>
  <c r="F47"/>
  <c r="AA47"/>
  <c r="Q47"/>
  <c r="Z47"/>
  <c r="W47"/>
  <c r="U47"/>
  <c r="S47"/>
  <c r="J46"/>
  <c r="AC46"/>
  <c r="H46"/>
  <c r="AB46"/>
  <c r="F46"/>
  <c r="AA46"/>
  <c r="Q46"/>
  <c r="Z46"/>
  <c r="W46"/>
  <c r="U46"/>
  <c r="S46"/>
  <c r="J45"/>
  <c r="AC45"/>
  <c r="H45"/>
  <c r="AB45"/>
  <c r="F45"/>
  <c r="AA45"/>
  <c r="Q45"/>
  <c r="Z45"/>
  <c r="W45"/>
  <c r="U45"/>
  <c r="S45"/>
  <c r="J44"/>
  <c r="AC44"/>
  <c r="H44"/>
  <c r="AB44"/>
  <c r="F44"/>
  <c r="AA44"/>
  <c r="Z44"/>
  <c r="W44"/>
  <c r="U44"/>
  <c r="S44"/>
  <c r="Q44"/>
  <c r="J43"/>
  <c r="AC43"/>
  <c r="H43"/>
  <c r="AB43"/>
  <c r="F43"/>
  <c r="AA43"/>
  <c r="Z43"/>
  <c r="W43"/>
  <c r="U43"/>
  <c r="S43"/>
  <c r="Q43"/>
  <c r="J42"/>
  <c r="AC42"/>
  <c r="H42"/>
  <c r="AB42"/>
  <c r="F42"/>
  <c r="AA42"/>
  <c r="Z42"/>
  <c r="W42"/>
  <c r="U42"/>
  <c r="S42"/>
  <c r="Q42"/>
  <c r="J41"/>
  <c r="AC41"/>
  <c r="H41"/>
  <c r="AB41"/>
  <c r="F41"/>
  <c r="AA41"/>
  <c r="Z41"/>
  <c r="W41"/>
  <c r="U41"/>
  <c r="S41"/>
  <c r="Q41"/>
  <c r="J40"/>
  <c r="AC40"/>
  <c r="H40"/>
  <c r="AB40"/>
  <c r="Z40"/>
  <c r="W40"/>
  <c r="U40"/>
  <c r="S40"/>
  <c r="Q40"/>
  <c r="J39"/>
  <c r="AC39"/>
  <c r="H39"/>
  <c r="AB39"/>
  <c r="F39"/>
  <c r="AA39"/>
  <c r="Z39"/>
  <c r="W39"/>
  <c r="U39"/>
  <c r="S39"/>
  <c r="Q39"/>
  <c r="J38"/>
  <c r="AC38"/>
  <c r="H38"/>
  <c r="AB38"/>
  <c r="F38"/>
  <c r="AA38"/>
  <c r="Z38"/>
  <c r="W38"/>
  <c r="U38"/>
  <c r="S38"/>
  <c r="Q38"/>
  <c r="J37"/>
  <c r="AC37"/>
  <c r="H37"/>
  <c r="AB37"/>
  <c r="F37"/>
  <c r="AA37"/>
  <c r="Z37"/>
  <c r="W37"/>
  <c r="U37"/>
  <c r="S37"/>
  <c r="Q37"/>
  <c r="J36"/>
  <c r="AC36"/>
  <c r="H36"/>
  <c r="AB36"/>
  <c r="F36"/>
  <c r="AA36"/>
  <c r="Z36"/>
  <c r="W36"/>
  <c r="U36"/>
  <c r="S36"/>
  <c r="Q36"/>
  <c r="J35"/>
  <c r="AC35"/>
  <c r="H35"/>
  <c r="AB35"/>
  <c r="F35"/>
  <c r="AA35"/>
  <c r="Z35"/>
  <c r="W35"/>
  <c r="U35"/>
  <c r="S35"/>
  <c r="Q35"/>
  <c r="Q34"/>
  <c r="Z34"/>
  <c r="W34"/>
  <c r="U34"/>
  <c r="S34"/>
  <c r="J33"/>
  <c r="AC33"/>
  <c r="H33"/>
  <c r="AB33"/>
  <c r="F33"/>
  <c r="AA33"/>
  <c r="Z33"/>
  <c r="W33"/>
  <c r="U33"/>
  <c r="S33"/>
  <c r="Q33"/>
  <c r="J32"/>
  <c r="AC32"/>
  <c r="H32"/>
  <c r="AB32"/>
  <c r="F32"/>
  <c r="AA32"/>
  <c r="Q32"/>
  <c r="Z32"/>
  <c r="W32"/>
  <c r="U32"/>
  <c r="S32"/>
  <c r="J31"/>
  <c r="AC31"/>
  <c r="H31"/>
  <c r="AB31"/>
  <c r="F31"/>
  <c r="AA31"/>
  <c r="Q31"/>
  <c r="Z31"/>
  <c r="W31"/>
  <c r="U31"/>
  <c r="S31"/>
  <c r="J30"/>
  <c r="AC30"/>
  <c r="H30"/>
  <c r="AB30"/>
  <c r="F30"/>
  <c r="AA30"/>
  <c r="Q30"/>
  <c r="Z30"/>
  <c r="W30"/>
  <c r="U30"/>
  <c r="S30"/>
  <c r="J29"/>
  <c r="AC29"/>
  <c r="H29"/>
  <c r="AB29"/>
  <c r="F29"/>
  <c r="AA29"/>
  <c r="Q29"/>
  <c r="Z29"/>
  <c r="W29"/>
  <c r="U29"/>
  <c r="S29"/>
  <c r="J28"/>
  <c r="AC28"/>
  <c r="H28"/>
  <c r="AB28"/>
  <c r="F28"/>
  <c r="AA28"/>
  <c r="Q28"/>
  <c r="Z28"/>
  <c r="W28"/>
  <c r="U28"/>
  <c r="S28"/>
  <c r="J27"/>
  <c r="AC27"/>
  <c r="H27"/>
  <c r="AB27"/>
  <c r="F27"/>
  <c r="AA27"/>
  <c r="Q27"/>
  <c r="Z27"/>
  <c r="W27"/>
  <c r="U27"/>
  <c r="S27"/>
  <c r="J25"/>
  <c r="AC25"/>
  <c r="H25"/>
  <c r="AB25"/>
  <c r="F25"/>
  <c r="AA25"/>
  <c r="Q25"/>
  <c r="Z25"/>
  <c r="W25"/>
  <c r="U25"/>
  <c r="S25"/>
  <c r="J23"/>
  <c r="AC23"/>
  <c r="H23"/>
  <c r="AB23"/>
  <c r="F23"/>
  <c r="AA23"/>
  <c r="Z23"/>
  <c r="W23"/>
  <c r="U23"/>
  <c r="S23"/>
  <c r="Q23"/>
  <c r="C23"/>
  <c r="J21"/>
  <c r="AC21"/>
  <c r="H21"/>
  <c r="AB21"/>
  <c r="F21"/>
  <c r="AA21"/>
  <c r="Z21"/>
  <c r="W21"/>
  <c r="U21"/>
  <c r="S21"/>
  <c r="Q21"/>
  <c r="C21"/>
  <c r="J19"/>
  <c r="AC19"/>
  <c r="H19"/>
  <c r="AB19"/>
  <c r="F19"/>
  <c r="AA19"/>
  <c r="Z19"/>
  <c r="W19"/>
  <c r="U19"/>
  <c r="S19"/>
  <c r="Q19"/>
  <c r="C19"/>
  <c r="J17"/>
  <c r="AC17"/>
  <c r="H17"/>
  <c r="AB17"/>
  <c r="F17"/>
  <c r="AA17"/>
  <c r="Z17"/>
  <c r="W17"/>
  <c r="U17"/>
  <c r="S17"/>
  <c r="Q17"/>
  <c r="C17"/>
  <c r="J15"/>
  <c r="AC15"/>
  <c r="H15"/>
  <c r="AB15"/>
  <c r="F15"/>
  <c r="AA15"/>
  <c r="Z15"/>
  <c r="W15"/>
  <c r="U15"/>
  <c r="S15"/>
  <c r="Q15"/>
  <c r="C15"/>
  <c r="J14"/>
  <c r="AC14"/>
  <c r="H14"/>
  <c r="AB14"/>
  <c r="F14"/>
  <c r="AA14"/>
  <c r="Q14"/>
  <c r="Z14"/>
  <c r="W14"/>
  <c r="U14"/>
  <c r="S14"/>
  <c r="J13"/>
  <c r="AC13"/>
  <c r="H13"/>
  <c r="AB13"/>
  <c r="F13"/>
  <c r="AA13"/>
  <c r="Q13"/>
  <c r="Z13"/>
  <c r="W13"/>
  <c r="U13"/>
  <c r="S13"/>
  <c r="J12"/>
  <c r="AC12"/>
  <c r="H12"/>
  <c r="AB12"/>
  <c r="F12"/>
  <c r="AA12"/>
  <c r="Q12"/>
  <c r="Z12"/>
  <c r="W12"/>
  <c r="U12"/>
  <c r="S12"/>
  <c r="Z11"/>
  <c r="W11"/>
  <c r="U11"/>
  <c r="S11"/>
  <c r="Q11"/>
  <c r="Z10"/>
  <c r="W10"/>
  <c r="U10"/>
  <c r="S10"/>
  <c r="Q10"/>
  <c r="J9"/>
  <c r="AC9"/>
  <c r="H9"/>
  <c r="AB9"/>
  <c r="F9"/>
  <c r="AA9"/>
  <c r="Z9"/>
  <c r="W9"/>
  <c r="U9"/>
  <c r="S9"/>
  <c r="Q9"/>
  <c r="W8"/>
  <c r="U8"/>
  <c r="S8"/>
  <c r="W7"/>
  <c r="U7"/>
  <c r="S7"/>
  <c r="D3"/>
  <c r="D2"/>
  <c r="B2"/>
  <c r="B3"/>
  <c r="K145" i="21"/>
  <c r="C145"/>
  <c r="K144"/>
  <c r="K143"/>
  <c r="J142"/>
  <c r="K141"/>
  <c r="J140"/>
  <c r="K139"/>
  <c r="B130"/>
  <c r="B128"/>
  <c r="B126"/>
  <c r="G125"/>
  <c r="F125"/>
  <c r="E125"/>
  <c r="D125"/>
  <c r="M123"/>
  <c r="L123"/>
  <c r="K123"/>
  <c r="J123"/>
  <c r="I123"/>
  <c r="H123"/>
  <c r="G123"/>
  <c r="F123"/>
  <c r="E123"/>
  <c r="D123"/>
  <c r="M119"/>
  <c r="L119"/>
  <c r="K119"/>
  <c r="J119"/>
  <c r="I119"/>
  <c r="H119"/>
  <c r="G119"/>
  <c r="F119"/>
  <c r="E119"/>
  <c r="D119"/>
  <c r="G117"/>
  <c r="F117"/>
  <c r="E117"/>
  <c r="D117"/>
  <c r="M115"/>
  <c r="L115"/>
  <c r="K115"/>
  <c r="J115"/>
  <c r="I115"/>
  <c r="H115"/>
  <c r="G115"/>
  <c r="F115"/>
  <c r="E115"/>
  <c r="D115"/>
  <c r="H113"/>
  <c r="G113"/>
  <c r="F113"/>
  <c r="E113"/>
  <c r="D113"/>
  <c r="H111"/>
  <c r="G111"/>
  <c r="F111"/>
  <c r="E111"/>
  <c r="D111"/>
  <c r="C111"/>
  <c r="M110"/>
  <c r="L110"/>
  <c r="K110"/>
  <c r="J110"/>
  <c r="I110"/>
  <c r="H110"/>
  <c r="G110"/>
  <c r="F110"/>
  <c r="E110"/>
  <c r="D110"/>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B90"/>
  <c r="M89"/>
  <c r="L89"/>
  <c r="K89"/>
  <c r="J89"/>
  <c r="I89"/>
  <c r="H89"/>
  <c r="G89"/>
  <c r="F89"/>
  <c r="E89"/>
  <c r="D89"/>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F66"/>
  <c r="E66"/>
  <c r="D66"/>
  <c r="C63"/>
  <c r="C7"/>
  <c r="C58"/>
  <c r="D58"/>
  <c r="E58"/>
  <c r="F58"/>
  <c r="G58"/>
  <c r="H58"/>
  <c r="I58"/>
  <c r="J58"/>
  <c r="K58"/>
  <c r="L58"/>
  <c r="M58"/>
  <c r="N58"/>
  <c r="O58"/>
  <c r="J54"/>
  <c r="I54"/>
  <c r="H54"/>
  <c r="G54"/>
  <c r="F54"/>
  <c r="E54"/>
  <c r="J7"/>
  <c r="AC7"/>
  <c r="V48"/>
  <c r="I48"/>
  <c r="F7"/>
  <c r="AA7"/>
  <c r="R48"/>
  <c r="E48"/>
  <c r="I53"/>
  <c r="J53"/>
  <c r="H7"/>
  <c r="AB7"/>
  <c r="T48"/>
  <c r="G48"/>
  <c r="G53"/>
  <c r="H53"/>
  <c r="E53"/>
  <c r="F53"/>
  <c r="I52"/>
  <c r="J52"/>
  <c r="G52"/>
  <c r="H52"/>
  <c r="E52"/>
  <c r="F52"/>
  <c r="R49"/>
  <c r="P49"/>
  <c r="C49"/>
  <c r="P48"/>
  <c r="C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W7"/>
  <c r="U7"/>
  <c r="S7"/>
  <c r="D3"/>
  <c r="D2"/>
  <c r="B2"/>
  <c r="B3"/>
  <c r="C32" i="66"/>
  <c r="C31"/>
  <c r="C30"/>
  <c r="C27"/>
  <c r="E26"/>
  <c r="I23"/>
  <c r="I21"/>
  <c r="I20"/>
  <c r="D20"/>
  <c r="I19"/>
  <c r="I18"/>
  <c r="I17"/>
  <c r="I15"/>
  <c r="E15"/>
  <c r="I14"/>
  <c r="I13"/>
  <c r="I12"/>
  <c r="I10"/>
  <c r="E10"/>
  <c r="I9"/>
  <c r="I8"/>
  <c r="I7"/>
  <c r="I6"/>
  <c r="I5"/>
  <c r="I4"/>
  <c r="I3"/>
  <c r="D1"/>
  <c r="A13" i="70"/>
  <c r="E13"/>
  <c r="AO13" i="1"/>
  <c r="B13" i="70"/>
  <c r="A12"/>
  <c r="E12"/>
  <c r="AO12" i="1"/>
  <c r="B12" i="70"/>
  <c r="A11"/>
  <c r="E11"/>
  <c r="AO11" i="1"/>
  <c r="B11" i="70"/>
  <c r="A10"/>
  <c r="E10"/>
  <c r="AO10" i="1"/>
  <c r="B10" i="70"/>
  <c r="A9"/>
  <c r="E9"/>
  <c r="AO9" i="1"/>
  <c r="B9" i="70"/>
  <c r="A8"/>
  <c r="E8"/>
  <c r="AO8" i="1"/>
  <c r="B8" i="70"/>
  <c r="A7"/>
  <c r="E7"/>
  <c r="AO7" i="1"/>
  <c r="B7" i="70"/>
  <c r="A6"/>
  <c r="S6" i="1"/>
  <c r="E6" i="70"/>
  <c r="AO6" i="1"/>
  <c r="B6" i="70"/>
  <c r="B2"/>
  <c r="B3"/>
  <c r="E2"/>
  <c r="G1" i="67"/>
  <c r="S8" i="1"/>
  <c r="F23" i="67"/>
  <c r="F21"/>
  <c r="F28"/>
  <c r="C28"/>
  <c r="F32"/>
  <c r="F33"/>
  <c r="R8" i="1"/>
  <c r="F34" i="67"/>
  <c r="AE8" i="1"/>
  <c r="C83" i="67"/>
  <c r="C82"/>
  <c r="C76"/>
  <c r="C75"/>
  <c r="C80"/>
  <c r="C79"/>
  <c r="Q65"/>
  <c r="L51"/>
  <c r="J50"/>
  <c r="J51"/>
  <c r="L57"/>
  <c r="L47"/>
  <c r="L58"/>
  <c r="L59"/>
  <c r="M47"/>
  <c r="L60"/>
  <c r="Q66"/>
  <c r="Q75"/>
  <c r="Q74"/>
  <c r="P74"/>
  <c r="Q73"/>
  <c r="Q72"/>
  <c r="Q71"/>
  <c r="F71"/>
  <c r="F51"/>
  <c r="F50"/>
  <c r="C49"/>
  <c r="C53"/>
  <c r="C48"/>
  <c r="F60"/>
  <c r="C60"/>
  <c r="C57"/>
  <c r="F61"/>
  <c r="C61"/>
  <c r="F63"/>
  <c r="F62"/>
  <c r="C62"/>
  <c r="C59"/>
  <c r="F64"/>
  <c r="C64"/>
  <c r="C56"/>
  <c r="F65"/>
  <c r="C65"/>
  <c r="F66"/>
  <c r="C66"/>
  <c r="C58"/>
  <c r="C67"/>
  <c r="F70"/>
  <c r="F68"/>
  <c r="F69"/>
  <c r="C68"/>
  <c r="C71"/>
  <c r="Q70"/>
  <c r="Q69"/>
  <c r="Q68"/>
  <c r="Q67"/>
  <c r="Q56"/>
  <c r="Q57"/>
  <c r="Q62"/>
  <c r="Q61"/>
  <c r="P61"/>
  <c r="Q60"/>
  <c r="J57"/>
  <c r="J55"/>
  <c r="J58"/>
  <c r="J59"/>
  <c r="J53"/>
  <c r="Q59"/>
  <c r="N59"/>
  <c r="M59"/>
  <c r="K59"/>
  <c r="F59"/>
  <c r="Q58"/>
  <c r="L56"/>
  <c r="I54"/>
  <c r="Q47"/>
  <c r="Q48"/>
  <c r="Q53"/>
  <c r="Q52"/>
  <c r="Q51"/>
  <c r="Q50"/>
  <c r="Q49"/>
  <c r="D46"/>
  <c r="C45"/>
  <c r="C46"/>
  <c r="C43"/>
  <c r="F31"/>
  <c r="M29"/>
  <c r="M28"/>
  <c r="M27"/>
  <c r="M26"/>
  <c r="M18"/>
  <c r="J18"/>
  <c r="J19"/>
  <c r="M21"/>
  <c r="J20"/>
  <c r="J17"/>
  <c r="J14"/>
  <c r="M22"/>
  <c r="J22"/>
  <c r="J15"/>
  <c r="J13"/>
  <c r="M23"/>
  <c r="J23"/>
  <c r="M24"/>
  <c r="J24"/>
  <c r="J16"/>
  <c r="J25"/>
  <c r="D24"/>
  <c r="D23"/>
  <c r="D22"/>
  <c r="M20"/>
  <c r="F20"/>
  <c r="M19"/>
  <c r="F18"/>
  <c r="M17"/>
  <c r="F17"/>
  <c r="F15"/>
  <c r="B2"/>
  <c r="F1"/>
  <c r="C83" i="15"/>
  <c r="C82"/>
  <c r="C76"/>
  <c r="C75"/>
  <c r="C80"/>
  <c r="C79"/>
  <c r="Q65"/>
  <c r="L60"/>
  <c r="Q66"/>
  <c r="Q75"/>
  <c r="L47"/>
  <c r="L59"/>
  <c r="Q74"/>
  <c r="P74"/>
  <c r="L58"/>
  <c r="Q73"/>
  <c r="Q72"/>
  <c r="Q71"/>
  <c r="F71"/>
  <c r="F51"/>
  <c r="F50"/>
  <c r="C49"/>
  <c r="C53"/>
  <c r="C48"/>
  <c r="F60"/>
  <c r="C60"/>
  <c r="C57"/>
  <c r="F61"/>
  <c r="C61"/>
  <c r="F63"/>
  <c r="F62"/>
  <c r="C62"/>
  <c r="C59"/>
  <c r="F64"/>
  <c r="C64"/>
  <c r="C56"/>
  <c r="F65"/>
  <c r="C65"/>
  <c r="F66"/>
  <c r="C66"/>
  <c r="C58"/>
  <c r="C67"/>
  <c r="F68"/>
  <c r="F69"/>
  <c r="C68"/>
  <c r="C71"/>
  <c r="Q70"/>
  <c r="Q69"/>
  <c r="Q68"/>
  <c r="L51"/>
  <c r="Q67"/>
  <c r="Q56"/>
  <c r="Q57"/>
  <c r="Q62"/>
  <c r="Q61"/>
  <c r="P61"/>
  <c r="Q60"/>
  <c r="Q59"/>
  <c r="N59"/>
  <c r="M59"/>
  <c r="K59"/>
  <c r="J59"/>
  <c r="F59"/>
  <c r="Q58"/>
  <c r="J57"/>
  <c r="J55"/>
  <c r="J58"/>
  <c r="L57"/>
  <c r="L56"/>
  <c r="I54"/>
  <c r="Q47"/>
  <c r="Q48"/>
  <c r="Q53"/>
  <c r="Q52"/>
  <c r="Q51"/>
  <c r="Q50"/>
  <c r="J50"/>
  <c r="Q49"/>
  <c r="M47"/>
  <c r="D46"/>
  <c r="C46"/>
  <c r="C43"/>
  <c r="F31"/>
  <c r="M29"/>
  <c r="M28"/>
  <c r="M27"/>
  <c r="M26"/>
  <c r="M18"/>
  <c r="J18"/>
  <c r="J19"/>
  <c r="M21"/>
  <c r="J20"/>
  <c r="J17"/>
  <c r="J14"/>
  <c r="M22"/>
  <c r="J22"/>
  <c r="J15"/>
  <c r="J13"/>
  <c r="M23"/>
  <c r="J23"/>
  <c r="M24"/>
  <c r="J24"/>
  <c r="J16"/>
  <c r="J25"/>
  <c r="D24"/>
  <c r="D23"/>
  <c r="D22"/>
  <c r="M20"/>
  <c r="F20"/>
  <c r="M19"/>
  <c r="F18"/>
  <c r="M17"/>
  <c r="F17"/>
  <c r="F15"/>
  <c r="B130" i="33"/>
  <c r="B128"/>
  <c r="B126"/>
  <c r="G125"/>
  <c r="F125"/>
  <c r="E125"/>
  <c r="D125"/>
  <c r="M123"/>
  <c r="L123"/>
  <c r="K123"/>
  <c r="J123"/>
  <c r="I123"/>
  <c r="H123"/>
  <c r="G123"/>
  <c r="F123"/>
  <c r="E123"/>
  <c r="D123"/>
  <c r="M121"/>
  <c r="L121"/>
  <c r="K121"/>
  <c r="J121"/>
  <c r="I121"/>
  <c r="H121"/>
  <c r="G121"/>
  <c r="F121"/>
  <c r="E121"/>
  <c r="D121"/>
  <c r="G117"/>
  <c r="F117"/>
  <c r="E117"/>
  <c r="D117"/>
  <c r="M115"/>
  <c r="L115"/>
  <c r="K115"/>
  <c r="J115"/>
  <c r="I115"/>
  <c r="H115"/>
  <c r="G115"/>
  <c r="F115"/>
  <c r="E115"/>
  <c r="D115"/>
  <c r="M113"/>
  <c r="L113"/>
  <c r="K113"/>
  <c r="J113"/>
  <c r="I113"/>
  <c r="H113"/>
  <c r="G113"/>
  <c r="F113"/>
  <c r="E113"/>
  <c r="D113"/>
  <c r="M111"/>
  <c r="L111"/>
  <c r="K111"/>
  <c r="J111"/>
  <c r="I111"/>
  <c r="H111"/>
  <c r="G111"/>
  <c r="F111"/>
  <c r="E111"/>
  <c r="D111"/>
  <c r="G109"/>
  <c r="F109"/>
  <c r="E109"/>
  <c r="D109"/>
  <c r="C109"/>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M91"/>
  <c r="L91"/>
  <c r="K91"/>
  <c r="J91"/>
  <c r="I91"/>
  <c r="H91"/>
  <c r="G91"/>
  <c r="F91"/>
  <c r="E91"/>
  <c r="D91"/>
  <c r="B90"/>
  <c r="B88"/>
  <c r="F87"/>
  <c r="G87"/>
  <c r="H87"/>
  <c r="I87"/>
  <c r="J87"/>
  <c r="K87"/>
  <c r="L87"/>
  <c r="M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C63"/>
  <c r="J54"/>
  <c r="I54"/>
  <c r="H54"/>
  <c r="G54"/>
  <c r="F54"/>
  <c r="E54"/>
  <c r="I48"/>
  <c r="E48"/>
  <c r="I53"/>
  <c r="J53"/>
  <c r="G48"/>
  <c r="G53"/>
  <c r="H53"/>
  <c r="E53"/>
  <c r="F53"/>
  <c r="I52"/>
  <c r="J52"/>
  <c r="G52"/>
  <c r="H52"/>
  <c r="E52"/>
  <c r="F52"/>
  <c r="P49"/>
  <c r="P48"/>
  <c r="C48"/>
  <c r="V47"/>
  <c r="T47"/>
  <c r="R47"/>
  <c r="P47"/>
  <c r="I47"/>
  <c r="G47"/>
  <c r="E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Z36"/>
  <c r="W36"/>
  <c r="U36"/>
  <c r="S36"/>
  <c r="Q36"/>
  <c r="Z35"/>
  <c r="W35"/>
  <c r="U35"/>
  <c r="S35"/>
  <c r="Q35"/>
  <c r="AC34"/>
  <c r="AB34"/>
  <c r="AA34"/>
  <c r="Z34"/>
  <c r="W34"/>
  <c r="U34"/>
  <c r="S34"/>
  <c r="Q34"/>
  <c r="J34"/>
  <c r="H34"/>
  <c r="F34"/>
  <c r="Q33"/>
  <c r="Z33"/>
  <c r="W33"/>
  <c r="U33"/>
  <c r="S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Q28"/>
  <c r="Z28"/>
  <c r="W28"/>
  <c r="U28"/>
  <c r="S28"/>
  <c r="AC27"/>
  <c r="AB27"/>
  <c r="AA27"/>
  <c r="Z27"/>
  <c r="W27"/>
  <c r="U27"/>
  <c r="S27"/>
  <c r="Q27"/>
  <c r="J27"/>
  <c r="H27"/>
  <c r="F27"/>
  <c r="AC26"/>
  <c r="AB26"/>
  <c r="AA26"/>
  <c r="Z26"/>
  <c r="W26"/>
  <c r="U26"/>
  <c r="S26"/>
  <c r="Q26"/>
  <c r="J26"/>
  <c r="H26"/>
  <c r="F26"/>
  <c r="Q25"/>
  <c r="Z25"/>
  <c r="W25"/>
  <c r="U25"/>
  <c r="S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B11"/>
  <c r="AA11"/>
  <c r="Z11"/>
  <c r="W11"/>
  <c r="U11"/>
  <c r="S11"/>
  <c r="Q11"/>
  <c r="H11"/>
  <c r="F11"/>
  <c r="AC10"/>
  <c r="AB10"/>
  <c r="AA10"/>
  <c r="Z10"/>
  <c r="W10"/>
  <c r="U10"/>
  <c r="S10"/>
  <c r="Q10"/>
  <c r="J10"/>
  <c r="H10"/>
  <c r="F10"/>
  <c r="AC9"/>
  <c r="AB9"/>
  <c r="AA9"/>
  <c r="Z9"/>
  <c r="W9"/>
  <c r="U9"/>
  <c r="S9"/>
  <c r="Q9"/>
  <c r="J9"/>
  <c r="H9"/>
  <c r="F9"/>
  <c r="AC8"/>
  <c r="AB8"/>
  <c r="AA8"/>
  <c r="W8"/>
  <c r="U8"/>
  <c r="S8"/>
  <c r="J8"/>
  <c r="H8"/>
  <c r="F8"/>
  <c r="W7"/>
  <c r="U7"/>
  <c r="S7"/>
  <c r="D3"/>
  <c r="D2"/>
  <c r="B2"/>
  <c r="P6" i="1"/>
  <c r="P7"/>
  <c r="P8"/>
  <c r="P9"/>
  <c r="P10"/>
  <c r="P11"/>
  <c r="P12"/>
  <c r="P13"/>
  <c r="P14"/>
  <c r="P16"/>
  <c r="C11" i="12"/>
  <c r="F12"/>
  <c r="C12"/>
  <c r="F13"/>
  <c r="C13"/>
  <c r="D14"/>
  <c r="F11"/>
  <c r="E14"/>
  <c r="C14"/>
  <c r="F15"/>
  <c r="C15"/>
  <c r="C16"/>
  <c r="D17"/>
  <c r="E17"/>
  <c r="C17"/>
  <c r="D19"/>
  <c r="E19"/>
  <c r="C19"/>
  <c r="D20"/>
  <c r="E20"/>
  <c r="C20"/>
  <c r="C18"/>
  <c r="C21"/>
  <c r="F22"/>
  <c r="C22"/>
  <c r="F23"/>
  <c r="C23"/>
  <c r="F25"/>
  <c r="C27"/>
  <c r="C25"/>
  <c r="F28"/>
  <c r="C30"/>
  <c r="C28"/>
  <c r="F24"/>
  <c r="C24"/>
  <c r="C26"/>
  <c r="D25"/>
  <c r="C29"/>
  <c r="D28"/>
  <c r="C32"/>
  <c r="F31"/>
  <c r="C31"/>
  <c r="G27"/>
  <c r="G26"/>
  <c r="G25"/>
  <c r="K7"/>
  <c r="J7"/>
  <c r="I7"/>
  <c r="H7"/>
  <c r="G7"/>
  <c r="F7"/>
  <c r="E7"/>
  <c r="D7"/>
  <c r="C7"/>
  <c r="C4"/>
  <c r="B2"/>
  <c r="B3"/>
  <c r="K1"/>
  <c r="C34" i="69"/>
  <c r="F35"/>
  <c r="C35"/>
  <c r="AP6" i="1"/>
  <c r="AP7"/>
  <c r="AP8"/>
  <c r="AP9"/>
  <c r="AP10"/>
  <c r="AP11"/>
  <c r="AP12"/>
  <c r="AP13"/>
  <c r="F36" i="69"/>
  <c r="C36"/>
  <c r="D9"/>
  <c r="D10"/>
  <c r="D19"/>
  <c r="D37"/>
  <c r="C37"/>
  <c r="C38"/>
  <c r="C33"/>
  <c r="C39"/>
  <c r="F22"/>
  <c r="C42"/>
  <c r="C43"/>
  <c r="C41"/>
  <c r="F27"/>
  <c r="C46"/>
  <c r="C45"/>
  <c r="F21"/>
  <c r="C40"/>
  <c r="C44"/>
  <c r="D41"/>
  <c r="C47"/>
  <c r="D45"/>
  <c r="C49"/>
  <c r="C51"/>
  <c r="C9"/>
  <c r="C10"/>
  <c r="C8"/>
  <c r="C5"/>
  <c r="E19"/>
  <c r="C19"/>
  <c r="F20"/>
  <c r="C20"/>
  <c r="C23"/>
  <c r="C24"/>
  <c r="C25"/>
  <c r="C22"/>
  <c r="C28"/>
  <c r="C27"/>
  <c r="C26"/>
  <c r="D22"/>
  <c r="C21"/>
  <c r="C29"/>
  <c r="D27"/>
  <c r="C31"/>
  <c r="C52"/>
  <c r="C57"/>
  <c r="C56"/>
  <c r="F50"/>
  <c r="F30"/>
  <c r="C48"/>
  <c r="G41"/>
  <c r="F38"/>
  <c r="E37"/>
  <c r="C30"/>
  <c r="G22"/>
  <c r="E10"/>
  <c r="E9"/>
  <c r="F7"/>
  <c r="C7"/>
  <c r="B2"/>
  <c r="B3"/>
  <c r="E2"/>
  <c r="H1"/>
  <c r="G1"/>
  <c r="F34" i="68"/>
  <c r="C34"/>
  <c r="F35"/>
  <c r="C35"/>
  <c r="F36"/>
  <c r="C36"/>
  <c r="D9"/>
  <c r="D10"/>
  <c r="D19"/>
  <c r="D37"/>
  <c r="E37"/>
  <c r="C37"/>
  <c r="F38"/>
  <c r="C38"/>
  <c r="C33"/>
  <c r="C39"/>
  <c r="F22"/>
  <c r="C42"/>
  <c r="C43"/>
  <c r="C41"/>
  <c r="F27"/>
  <c r="C46"/>
  <c r="C45"/>
  <c r="F21"/>
  <c r="C40"/>
  <c r="C44"/>
  <c r="D41"/>
  <c r="C47"/>
  <c r="D45"/>
  <c r="C49"/>
  <c r="C51"/>
  <c r="E19"/>
  <c r="C19"/>
  <c r="F7"/>
  <c r="C7"/>
  <c r="C8"/>
  <c r="C5"/>
  <c r="F20"/>
  <c r="C20"/>
  <c r="C23"/>
  <c r="C24"/>
  <c r="C25"/>
  <c r="C22"/>
  <c r="C28"/>
  <c r="C27"/>
  <c r="C26"/>
  <c r="D22"/>
  <c r="C21"/>
  <c r="C29"/>
  <c r="D27"/>
  <c r="C31"/>
  <c r="C52"/>
  <c r="C57"/>
  <c r="C56"/>
  <c r="F50"/>
  <c r="F30"/>
  <c r="C48"/>
  <c r="G41"/>
  <c r="C30"/>
  <c r="G22"/>
  <c r="E10"/>
  <c r="C10"/>
  <c r="E9"/>
  <c r="C9"/>
  <c r="B2"/>
  <c r="B3"/>
  <c r="E2"/>
  <c r="G1"/>
  <c r="E111" i="9"/>
  <c r="H111"/>
  <c r="D126"/>
  <c r="D127"/>
  <c r="A126"/>
  <c r="E109"/>
  <c r="H109"/>
  <c r="D124"/>
  <c r="D125"/>
  <c r="A124"/>
  <c r="C19"/>
  <c r="D19"/>
  <c r="G19"/>
  <c r="C32"/>
  <c r="H118"/>
  <c r="H101"/>
  <c r="H107"/>
  <c r="D122"/>
  <c r="D123"/>
  <c r="E107"/>
  <c r="A122"/>
  <c r="D121"/>
  <c r="A120"/>
  <c r="K120"/>
  <c r="D120"/>
  <c r="H119"/>
  <c r="D35"/>
  <c r="C35"/>
  <c r="F118"/>
  <c r="F119"/>
  <c r="C34"/>
  <c r="D118"/>
  <c r="D119"/>
  <c r="I118"/>
  <c r="G118"/>
  <c r="E118"/>
  <c r="M19"/>
  <c r="C118"/>
  <c r="M18"/>
  <c r="B118"/>
  <c r="S2" i="4"/>
  <c r="A118" i="9"/>
  <c r="H112"/>
  <c r="H110"/>
  <c r="H108"/>
  <c r="H106"/>
  <c r="H105"/>
  <c r="C105"/>
  <c r="H104"/>
  <c r="C104"/>
  <c r="H103"/>
  <c r="D103"/>
  <c r="C103"/>
  <c r="H102"/>
  <c r="D102"/>
  <c r="C102"/>
  <c r="D101"/>
  <c r="C101"/>
  <c r="D45"/>
  <c r="C85"/>
  <c r="D93"/>
  <c r="C93"/>
  <c r="C86"/>
  <c r="C95"/>
  <c r="C96"/>
  <c r="E96"/>
  <c r="E97"/>
  <c r="C97"/>
  <c r="D89"/>
  <c r="C89"/>
  <c r="C87"/>
  <c r="C91"/>
  <c r="C94"/>
  <c r="C92"/>
  <c r="E90"/>
  <c r="C72"/>
  <c r="D78"/>
  <c r="C78"/>
  <c r="C76"/>
  <c r="D77"/>
  <c r="C77"/>
  <c r="C74"/>
  <c r="C73"/>
  <c r="C79"/>
  <c r="C80"/>
  <c r="E80"/>
  <c r="E81"/>
  <c r="C81"/>
  <c r="H77"/>
  <c r="M49"/>
  <c r="L63"/>
  <c r="M63"/>
  <c r="L64"/>
  <c r="M64"/>
  <c r="L65"/>
  <c r="M65"/>
  <c r="L66"/>
  <c r="M66"/>
  <c r="L67"/>
  <c r="M67"/>
  <c r="L68"/>
  <c r="M68"/>
  <c r="M69"/>
  <c r="N69"/>
  <c r="D68"/>
  <c r="C64"/>
  <c r="C63"/>
  <c r="C67"/>
  <c r="C68"/>
  <c r="D55"/>
  <c r="M53"/>
  <c r="D58"/>
  <c r="D56"/>
  <c r="M54"/>
  <c r="D48"/>
  <c r="M52"/>
  <c r="M56"/>
  <c r="N57"/>
  <c r="N59"/>
  <c r="N61"/>
  <c r="J56"/>
  <c r="J57"/>
  <c r="J59"/>
  <c r="J61"/>
  <c r="N60"/>
  <c r="F59"/>
  <c r="E59"/>
  <c r="D59"/>
  <c r="N58"/>
  <c r="P57"/>
  <c r="N56"/>
  <c r="K56"/>
  <c r="F56"/>
  <c r="O55"/>
  <c r="N55"/>
  <c r="M55"/>
  <c r="K55"/>
  <c r="J55"/>
  <c r="I55"/>
  <c r="F55"/>
  <c r="O54"/>
  <c r="N54"/>
  <c r="F54"/>
  <c r="D54"/>
  <c r="O53"/>
  <c r="N53"/>
  <c r="F53"/>
  <c r="D53"/>
  <c r="F48"/>
  <c r="O52"/>
  <c r="N52"/>
  <c r="F52"/>
  <c r="D52"/>
  <c r="K49"/>
  <c r="M48"/>
  <c r="E48"/>
  <c r="M47"/>
  <c r="D34"/>
  <c r="F33"/>
  <c r="D30"/>
  <c r="C30"/>
  <c r="B30"/>
  <c r="D27"/>
  <c r="C25"/>
  <c r="C24"/>
  <c r="D22"/>
  <c r="G21"/>
  <c r="D21"/>
  <c r="C21"/>
  <c r="L19"/>
  <c r="L18"/>
  <c r="L4"/>
  <c r="K4"/>
  <c r="A2"/>
  <c r="H1"/>
  <c r="F23" i="74"/>
  <c r="E23"/>
  <c r="F22"/>
  <c r="E22"/>
  <c r="F21"/>
  <c r="E21"/>
  <c r="F20"/>
  <c r="E20"/>
  <c r="F19"/>
  <c r="E19"/>
  <c r="F18"/>
  <c r="E18"/>
  <c r="F17"/>
  <c r="E17"/>
  <c r="F16"/>
  <c r="E16"/>
  <c r="D14"/>
  <c r="D15"/>
  <c r="G15"/>
  <c r="F15"/>
  <c r="E15"/>
  <c r="C14"/>
  <c r="I14"/>
  <c r="H14"/>
  <c r="G14"/>
  <c r="F14"/>
  <c r="E14"/>
  <c r="B8"/>
  <c r="B2"/>
  <c r="D8"/>
  <c r="B1"/>
  <c r="C8"/>
  <c r="B7"/>
  <c r="D7"/>
  <c r="C7"/>
  <c r="B6"/>
  <c r="D6"/>
  <c r="C6"/>
  <c r="B5"/>
  <c r="D5"/>
  <c r="C5"/>
  <c r="B3"/>
  <c r="C24" i="20"/>
  <c r="C22"/>
  <c r="C21"/>
  <c r="G20"/>
  <c r="C20"/>
  <c r="G19"/>
  <c r="G18"/>
  <c r="C18"/>
  <c r="C17"/>
  <c r="G16"/>
  <c r="C16"/>
  <c r="G15"/>
  <c r="C15"/>
  <c r="B52" i="1"/>
  <c r="B43"/>
  <c r="B41"/>
  <c r="B31"/>
  <c r="B28"/>
  <c r="B27"/>
  <c r="B24"/>
  <c r="B23"/>
  <c r="B22"/>
  <c r="T6"/>
  <c r="K20" i="6"/>
  <c r="S7" i="1"/>
  <c r="T7"/>
  <c r="T8"/>
  <c r="S9"/>
  <c r="T9"/>
  <c r="S10"/>
  <c r="T10"/>
  <c r="S11"/>
  <c r="T11"/>
  <c r="S12"/>
  <c r="T12"/>
  <c r="S13"/>
  <c r="T13"/>
  <c r="T16"/>
  <c r="S16"/>
  <c r="D20" i="6"/>
  <c r="L20"/>
  <c r="M20"/>
  <c r="I20"/>
  <c r="H20"/>
  <c r="R20"/>
  <c r="R7" i="1"/>
  <c r="R9"/>
  <c r="R10"/>
  <c r="R11"/>
  <c r="R12"/>
  <c r="R13"/>
  <c r="R16"/>
  <c r="O6"/>
  <c r="O7"/>
  <c r="O8"/>
  <c r="O9"/>
  <c r="O10"/>
  <c r="O11"/>
  <c r="O12"/>
  <c r="O13"/>
  <c r="O14"/>
  <c r="O16"/>
  <c r="L16"/>
  <c r="F29" i="6"/>
  <c r="G29"/>
  <c r="E29"/>
  <c r="K15" i="1"/>
  <c r="K16"/>
  <c r="H16"/>
  <c r="AR13"/>
  <c r="AQ13"/>
  <c r="AG13"/>
  <c r="AE13"/>
  <c r="D13"/>
  <c r="F13"/>
  <c r="G13"/>
  <c r="B13"/>
  <c r="E13"/>
  <c r="AR12"/>
  <c r="AQ12"/>
  <c r="AG12"/>
  <c r="AE12"/>
  <c r="D12"/>
  <c r="F12"/>
  <c r="G12"/>
  <c r="B12"/>
  <c r="E12"/>
  <c r="AR11"/>
  <c r="AQ11"/>
  <c r="AG11"/>
  <c r="AE11"/>
  <c r="D11"/>
  <c r="F11"/>
  <c r="G11"/>
  <c r="B11"/>
  <c r="E11"/>
  <c r="AR10"/>
  <c r="AQ10"/>
  <c r="AG10"/>
  <c r="AE10"/>
  <c r="D10"/>
  <c r="F10"/>
  <c r="G10"/>
  <c r="B10"/>
  <c r="E10"/>
  <c r="AR9"/>
  <c r="AQ9"/>
  <c r="AG9"/>
  <c r="AE9"/>
  <c r="D9"/>
  <c r="F9"/>
  <c r="G9"/>
  <c r="B9"/>
  <c r="E9"/>
  <c r="AR8"/>
  <c r="AQ8"/>
  <c r="AG8"/>
  <c r="D8"/>
  <c r="F8"/>
  <c r="G8"/>
  <c r="B8"/>
  <c r="E8"/>
  <c r="AR7"/>
  <c r="AQ7"/>
  <c r="AG7"/>
  <c r="AE7"/>
  <c r="N7"/>
  <c r="D7"/>
  <c r="F7"/>
  <c r="G7"/>
  <c r="B7"/>
  <c r="E7"/>
  <c r="AR6"/>
  <c r="AQ6"/>
  <c r="AG6"/>
  <c r="N6"/>
  <c r="D6"/>
  <c r="F6"/>
  <c r="G6"/>
  <c r="B6"/>
  <c r="E6"/>
  <c r="T4"/>
  <c r="E32" i="6"/>
  <c r="G27"/>
  <c r="G30"/>
  <c r="G31"/>
  <c r="F27"/>
  <c r="F30"/>
  <c r="F31"/>
  <c r="E30"/>
  <c r="E31"/>
  <c r="D21"/>
  <c r="D22"/>
  <c r="D23"/>
  <c r="D24"/>
  <c r="D25"/>
  <c r="D26"/>
  <c r="D27"/>
  <c r="D28"/>
  <c r="D29"/>
  <c r="D30"/>
  <c r="D31"/>
  <c r="S19"/>
  <c r="S20"/>
  <c r="K21"/>
  <c r="L21"/>
  <c r="M21"/>
  <c r="I21"/>
  <c r="S21"/>
  <c r="K22"/>
  <c r="L22"/>
  <c r="M22"/>
  <c r="I22"/>
  <c r="S22"/>
  <c r="K23"/>
  <c r="L23"/>
  <c r="M23"/>
  <c r="I23"/>
  <c r="S23"/>
  <c r="K24"/>
  <c r="L24"/>
  <c r="M24"/>
  <c r="I24"/>
  <c r="S24"/>
  <c r="K25"/>
  <c r="L25"/>
  <c r="M25"/>
  <c r="I25"/>
  <c r="S25"/>
  <c r="K26"/>
  <c r="L26"/>
  <c r="M26"/>
  <c r="I26"/>
  <c r="S26"/>
  <c r="S27"/>
  <c r="H21"/>
  <c r="R21"/>
  <c r="H22"/>
  <c r="R22"/>
  <c r="H23"/>
  <c r="R23"/>
  <c r="H24"/>
  <c r="R24"/>
  <c r="H25"/>
  <c r="R25"/>
  <c r="H26"/>
  <c r="R26"/>
  <c r="R27"/>
  <c r="P27"/>
  <c r="O27"/>
  <c r="N27"/>
  <c r="M27"/>
  <c r="L27"/>
  <c r="K27"/>
  <c r="I27"/>
  <c r="H27"/>
  <c r="P26"/>
  <c r="E26"/>
  <c r="P25"/>
  <c r="E25"/>
  <c r="P24"/>
  <c r="E24"/>
  <c r="P23"/>
  <c r="E23"/>
  <c r="P22"/>
  <c r="E22"/>
  <c r="P21"/>
  <c r="E21"/>
  <c r="P20"/>
  <c r="E20"/>
  <c r="P19"/>
  <c r="E10"/>
  <c r="E16"/>
  <c r="D8"/>
  <c r="D9"/>
  <c r="D10"/>
  <c r="D11"/>
  <c r="D12"/>
  <c r="D13"/>
  <c r="D14"/>
  <c r="D15"/>
  <c r="D16"/>
  <c r="I6"/>
  <c r="D6"/>
  <c r="I5"/>
  <c r="D5"/>
  <c r="I3"/>
  <c r="BT587" i="3"/>
  <c r="BS587"/>
  <c r="BR587"/>
  <c r="BQ587"/>
  <c r="BP587"/>
  <c r="BO587"/>
  <c r="BN587"/>
  <c r="BM587"/>
  <c r="BL587"/>
  <c r="BK587"/>
  <c r="BJ587"/>
  <c r="BI587"/>
  <c r="BH587"/>
  <c r="BG587"/>
  <c r="BF587"/>
  <c r="BE587"/>
  <c r="BD587"/>
  <c r="BC587"/>
  <c r="BB587"/>
  <c r="BA587"/>
  <c r="AZ587"/>
  <c r="AY587"/>
  <c r="AX587"/>
  <c r="AW587"/>
  <c r="AV587"/>
  <c r="AC587"/>
  <c r="H587"/>
  <c r="G587"/>
  <c r="E587"/>
  <c r="BT586"/>
  <c r="BS586"/>
  <c r="BR586"/>
  <c r="BQ586"/>
  <c r="BP586"/>
  <c r="BO586"/>
  <c r="BN586"/>
  <c r="BM586"/>
  <c r="BL586"/>
  <c r="BK586"/>
  <c r="BJ586"/>
  <c r="BI586"/>
  <c r="BH586"/>
  <c r="BG586"/>
  <c r="BF586"/>
  <c r="BE586"/>
  <c r="BD586"/>
  <c r="BC586"/>
  <c r="BB586"/>
  <c r="BA586"/>
  <c r="AZ586"/>
  <c r="AY586"/>
  <c r="AX586"/>
  <c r="AW586"/>
  <c r="AV586"/>
  <c r="AC586"/>
  <c r="H586"/>
  <c r="G586"/>
  <c r="E586"/>
  <c r="BT585"/>
  <c r="BS585"/>
  <c r="BR585"/>
  <c r="BQ585"/>
  <c r="BP585"/>
  <c r="BO585"/>
  <c r="BN585"/>
  <c r="BM585"/>
  <c r="BL585"/>
  <c r="BK585"/>
  <c r="BJ585"/>
  <c r="BI585"/>
  <c r="BH585"/>
  <c r="BG585"/>
  <c r="BF585"/>
  <c r="BE585"/>
  <c r="BD585"/>
  <c r="BC585"/>
  <c r="BB585"/>
  <c r="BA585"/>
  <c r="AZ585"/>
  <c r="AY585"/>
  <c r="AX585"/>
  <c r="AW585"/>
  <c r="AV585"/>
  <c r="AC585"/>
  <c r="H585"/>
  <c r="G585"/>
  <c r="E585"/>
  <c r="BT584"/>
  <c r="BS584"/>
  <c r="BR584"/>
  <c r="BQ584"/>
  <c r="BP584"/>
  <c r="BO584"/>
  <c r="BN584"/>
  <c r="BM584"/>
  <c r="BL584"/>
  <c r="BK584"/>
  <c r="BJ584"/>
  <c r="BI584"/>
  <c r="BH584"/>
  <c r="BG584"/>
  <c r="BF584"/>
  <c r="BE584"/>
  <c r="BD584"/>
  <c r="BC584"/>
  <c r="BB584"/>
  <c r="BA584"/>
  <c r="AZ584"/>
  <c r="AY584"/>
  <c r="AX584"/>
  <c r="AW584"/>
  <c r="AV584"/>
  <c r="AC584"/>
  <c r="H584"/>
  <c r="G584"/>
  <c r="E584"/>
  <c r="BT583"/>
  <c r="BS583"/>
  <c r="BR583"/>
  <c r="BQ583"/>
  <c r="BP583"/>
  <c r="BO583"/>
  <c r="BN583"/>
  <c r="BM583"/>
  <c r="BL583"/>
  <c r="BK583"/>
  <c r="BJ583"/>
  <c r="BI583"/>
  <c r="BH583"/>
  <c r="BG583"/>
  <c r="BF583"/>
  <c r="BE583"/>
  <c r="BD583"/>
  <c r="BC583"/>
  <c r="BB583"/>
  <c r="BA583"/>
  <c r="AZ583"/>
  <c r="AY583"/>
  <c r="AX583"/>
  <c r="AW583"/>
  <c r="AV583"/>
  <c r="AC583"/>
  <c r="H583"/>
  <c r="G583"/>
  <c r="E583"/>
  <c r="BT582"/>
  <c r="BS582"/>
  <c r="BR582"/>
  <c r="BQ582"/>
  <c r="BP582"/>
  <c r="BO582"/>
  <c r="BN582"/>
  <c r="BM582"/>
  <c r="BL582"/>
  <c r="BK582"/>
  <c r="BJ582"/>
  <c r="BI582"/>
  <c r="BH582"/>
  <c r="BG582"/>
  <c r="BF582"/>
  <c r="BE582"/>
  <c r="BD582"/>
  <c r="BC582"/>
  <c r="BB582"/>
  <c r="BA582"/>
  <c r="AZ582"/>
  <c r="AY582"/>
  <c r="AX582"/>
  <c r="AW582"/>
  <c r="AV582"/>
  <c r="AC582"/>
  <c r="H582"/>
  <c r="G582"/>
  <c r="E582"/>
  <c r="BT581"/>
  <c r="BS581"/>
  <c r="BR581"/>
  <c r="BQ581"/>
  <c r="BP581"/>
  <c r="BO581"/>
  <c r="BN581"/>
  <c r="BM581"/>
  <c r="BL581"/>
  <c r="BK581"/>
  <c r="BJ581"/>
  <c r="BI581"/>
  <c r="BH581"/>
  <c r="BG581"/>
  <c r="BF581"/>
  <c r="BE581"/>
  <c r="BD581"/>
  <c r="BC581"/>
  <c r="BB581"/>
  <c r="BA581"/>
  <c r="AZ581"/>
  <c r="AY581"/>
  <c r="AX581"/>
  <c r="AW581"/>
  <c r="AV581"/>
  <c r="AC581"/>
  <c r="H581"/>
  <c r="G581"/>
  <c r="E581"/>
  <c r="BT580"/>
  <c r="BS580"/>
  <c r="BR580"/>
  <c r="BQ580"/>
  <c r="BP580"/>
  <c r="BO580"/>
  <c r="BN580"/>
  <c r="BM580"/>
  <c r="BL580"/>
  <c r="BK580"/>
  <c r="BJ580"/>
  <c r="BI580"/>
  <c r="BH580"/>
  <c r="BG580"/>
  <c r="BF580"/>
  <c r="BE580"/>
  <c r="BD580"/>
  <c r="BC580"/>
  <c r="BB580"/>
  <c r="BA580"/>
  <c r="AZ580"/>
  <c r="AY580"/>
  <c r="AX580"/>
  <c r="AW580"/>
  <c r="AV580"/>
  <c r="AC580"/>
  <c r="H580"/>
  <c r="G580"/>
  <c r="E580"/>
  <c r="BT579"/>
  <c r="BS579"/>
  <c r="BR579"/>
  <c r="BQ579"/>
  <c r="BP579"/>
  <c r="BO579"/>
  <c r="BN579"/>
  <c r="BM579"/>
  <c r="BL579"/>
  <c r="BK579"/>
  <c r="BJ579"/>
  <c r="BI579"/>
  <c r="BH579"/>
  <c r="BG579"/>
  <c r="BF579"/>
  <c r="BE579"/>
  <c r="BD579"/>
  <c r="BC579"/>
  <c r="BB579"/>
  <c r="BA579"/>
  <c r="AZ579"/>
  <c r="AY579"/>
  <c r="AX579"/>
  <c r="AW579"/>
  <c r="AV579"/>
  <c r="AC579"/>
  <c r="H579"/>
  <c r="G579"/>
  <c r="E579"/>
  <c r="BT578"/>
  <c r="BS578"/>
  <c r="BR578"/>
  <c r="BQ578"/>
  <c r="BP578"/>
  <c r="BO578"/>
  <c r="BN578"/>
  <c r="BM578"/>
  <c r="BL578"/>
  <c r="BK578"/>
  <c r="BJ578"/>
  <c r="BI578"/>
  <c r="BH578"/>
  <c r="BG578"/>
  <c r="BF578"/>
  <c r="BE578"/>
  <c r="BD578"/>
  <c r="BC578"/>
  <c r="BB578"/>
  <c r="BA578"/>
  <c r="AZ578"/>
  <c r="AY578"/>
  <c r="AX578"/>
  <c r="AW578"/>
  <c r="AV578"/>
  <c r="AC578"/>
  <c r="H578"/>
  <c r="G578"/>
  <c r="E578"/>
  <c r="BT577"/>
  <c r="BS577"/>
  <c r="BR577"/>
  <c r="BQ577"/>
  <c r="BP577"/>
  <c r="BO577"/>
  <c r="BN577"/>
  <c r="BM577"/>
  <c r="BL577"/>
  <c r="BK577"/>
  <c r="BJ577"/>
  <c r="BI577"/>
  <c r="BH577"/>
  <c r="BG577"/>
  <c r="BF577"/>
  <c r="BE577"/>
  <c r="BD577"/>
  <c r="BC577"/>
  <c r="BB577"/>
  <c r="BA577"/>
  <c r="AZ577"/>
  <c r="AY577"/>
  <c r="AX577"/>
  <c r="AW577"/>
  <c r="AV577"/>
  <c r="AC577"/>
  <c r="H577"/>
  <c r="G577"/>
  <c r="E577"/>
  <c r="BT576"/>
  <c r="BS576"/>
  <c r="BR576"/>
  <c r="BQ576"/>
  <c r="BP576"/>
  <c r="BO576"/>
  <c r="BN576"/>
  <c r="BM576"/>
  <c r="BL576"/>
  <c r="BK576"/>
  <c r="BJ576"/>
  <c r="BI576"/>
  <c r="BH576"/>
  <c r="BG576"/>
  <c r="BF576"/>
  <c r="BE576"/>
  <c r="BD576"/>
  <c r="BC576"/>
  <c r="BB576"/>
  <c r="BA576"/>
  <c r="AZ576"/>
  <c r="AY576"/>
  <c r="AX576"/>
  <c r="AW576"/>
  <c r="AV576"/>
  <c r="AC576"/>
  <c r="H576"/>
  <c r="G576"/>
  <c r="E576"/>
  <c r="BT575"/>
  <c r="BS575"/>
  <c r="BR575"/>
  <c r="BQ575"/>
  <c r="BP575"/>
  <c r="BO575"/>
  <c r="BN575"/>
  <c r="BM575"/>
  <c r="BL575"/>
  <c r="BK575"/>
  <c r="BJ575"/>
  <c r="BI575"/>
  <c r="BH575"/>
  <c r="BG575"/>
  <c r="BF575"/>
  <c r="BE575"/>
  <c r="BD575"/>
  <c r="BC575"/>
  <c r="BB575"/>
  <c r="BA575"/>
  <c r="AZ575"/>
  <c r="AY575"/>
  <c r="AX575"/>
  <c r="AW575"/>
  <c r="AV575"/>
  <c r="AC575"/>
  <c r="H575"/>
  <c r="G575"/>
  <c r="E575"/>
  <c r="BT574"/>
  <c r="BS574"/>
  <c r="BR574"/>
  <c r="BQ574"/>
  <c r="BP574"/>
  <c r="BO574"/>
  <c r="BN574"/>
  <c r="BM574"/>
  <c r="BL574"/>
  <c r="BK574"/>
  <c r="BJ574"/>
  <c r="BI574"/>
  <c r="BH574"/>
  <c r="BG574"/>
  <c r="BF574"/>
  <c r="BE574"/>
  <c r="BD574"/>
  <c r="BC574"/>
  <c r="BB574"/>
  <c r="BA574"/>
  <c r="AZ574"/>
  <c r="AY574"/>
  <c r="AX574"/>
  <c r="AW574"/>
  <c r="AV574"/>
  <c r="AC574"/>
  <c r="H574"/>
  <c r="G574"/>
  <c r="E574"/>
  <c r="BT573"/>
  <c r="BS573"/>
  <c r="BR573"/>
  <c r="BQ573"/>
  <c r="BP573"/>
  <c r="BO573"/>
  <c r="BN573"/>
  <c r="BM573"/>
  <c r="BL573"/>
  <c r="BK573"/>
  <c r="BJ573"/>
  <c r="BI573"/>
  <c r="BH573"/>
  <c r="BG573"/>
  <c r="BF573"/>
  <c r="BE573"/>
  <c r="BD573"/>
  <c r="BC573"/>
  <c r="BB573"/>
  <c r="BA573"/>
  <c r="AZ573"/>
  <c r="AY573"/>
  <c r="AX573"/>
  <c r="AW573"/>
  <c r="AV573"/>
  <c r="AC573"/>
  <c r="H573"/>
  <c r="G573"/>
  <c r="E573"/>
  <c r="BT572"/>
  <c r="BS572"/>
  <c r="BR572"/>
  <c r="BQ572"/>
  <c r="BP572"/>
  <c r="BO572"/>
  <c r="BN572"/>
  <c r="BM572"/>
  <c r="BL572"/>
  <c r="BK572"/>
  <c r="BJ572"/>
  <c r="BI572"/>
  <c r="BH572"/>
  <c r="BG572"/>
  <c r="BF572"/>
  <c r="BE572"/>
  <c r="BD572"/>
  <c r="BC572"/>
  <c r="BB572"/>
  <c r="BA572"/>
  <c r="AZ572"/>
  <c r="AY572"/>
  <c r="AX572"/>
  <c r="AW572"/>
  <c r="AV572"/>
  <c r="AC572"/>
  <c r="H572"/>
  <c r="G572"/>
  <c r="E572"/>
  <c r="BT571"/>
  <c r="BS571"/>
  <c r="BR571"/>
  <c r="BQ571"/>
  <c r="BP571"/>
  <c r="BO571"/>
  <c r="BN571"/>
  <c r="BM571"/>
  <c r="BL571"/>
  <c r="BK571"/>
  <c r="BJ571"/>
  <c r="BI571"/>
  <c r="BH571"/>
  <c r="BG571"/>
  <c r="BF571"/>
  <c r="BE571"/>
  <c r="BD571"/>
  <c r="BC571"/>
  <c r="BB571"/>
  <c r="BA571"/>
  <c r="AZ571"/>
  <c r="AY571"/>
  <c r="AX571"/>
  <c r="AW571"/>
  <c r="AV571"/>
  <c r="AC571"/>
  <c r="H571"/>
  <c r="G571"/>
  <c r="E571"/>
  <c r="BT570"/>
  <c r="BS570"/>
  <c r="BR570"/>
  <c r="BQ570"/>
  <c r="BP570"/>
  <c r="BO570"/>
  <c r="BN570"/>
  <c r="BM570"/>
  <c r="BL570"/>
  <c r="BK570"/>
  <c r="BJ570"/>
  <c r="BI570"/>
  <c r="BH570"/>
  <c r="BG570"/>
  <c r="BF570"/>
  <c r="BE570"/>
  <c r="BD570"/>
  <c r="BC570"/>
  <c r="BB570"/>
  <c r="BA570"/>
  <c r="AZ570"/>
  <c r="AY570"/>
  <c r="AX570"/>
  <c r="AW570"/>
  <c r="AV570"/>
  <c r="AC570"/>
  <c r="H570"/>
  <c r="G570"/>
  <c r="E570"/>
  <c r="BT569"/>
  <c r="BS569"/>
  <c r="BR569"/>
  <c r="BQ569"/>
  <c r="BP569"/>
  <c r="BO569"/>
  <c r="BN569"/>
  <c r="BM569"/>
  <c r="BL569"/>
  <c r="BK569"/>
  <c r="BJ569"/>
  <c r="BI569"/>
  <c r="BH569"/>
  <c r="BG569"/>
  <c r="BF569"/>
  <c r="BE569"/>
  <c r="BD569"/>
  <c r="BC569"/>
  <c r="BB569"/>
  <c r="BA569"/>
  <c r="AZ569"/>
  <c r="AY569"/>
  <c r="AX569"/>
  <c r="AW569"/>
  <c r="AV569"/>
  <c r="AC569"/>
  <c r="H569"/>
  <c r="G569"/>
  <c r="E569"/>
  <c r="BT568"/>
  <c r="BS568"/>
  <c r="BR568"/>
  <c r="BQ568"/>
  <c r="BP568"/>
  <c r="BO568"/>
  <c r="BN568"/>
  <c r="BM568"/>
  <c r="BL568"/>
  <c r="BK568"/>
  <c r="BJ568"/>
  <c r="BI568"/>
  <c r="BH568"/>
  <c r="BG568"/>
  <c r="BF568"/>
  <c r="BE568"/>
  <c r="BD568"/>
  <c r="BC568"/>
  <c r="BB568"/>
  <c r="BA568"/>
  <c r="AZ568"/>
  <c r="AY568"/>
  <c r="AX568"/>
  <c r="AW568"/>
  <c r="AV568"/>
  <c r="AC568"/>
  <c r="H568"/>
  <c r="G568"/>
  <c r="E568"/>
  <c r="BT567"/>
  <c r="BS567"/>
  <c r="BR567"/>
  <c r="BQ567"/>
  <c r="BP567"/>
  <c r="BO567"/>
  <c r="BN567"/>
  <c r="BM567"/>
  <c r="BL567"/>
  <c r="BK567"/>
  <c r="BJ567"/>
  <c r="BI567"/>
  <c r="BH567"/>
  <c r="BG567"/>
  <c r="BF567"/>
  <c r="BE567"/>
  <c r="BD567"/>
  <c r="BC567"/>
  <c r="BB567"/>
  <c r="BA567"/>
  <c r="AZ567"/>
  <c r="AY567"/>
  <c r="AX567"/>
  <c r="AW567"/>
  <c r="AV567"/>
  <c r="AC567"/>
  <c r="H567"/>
  <c r="G567"/>
  <c r="E567"/>
  <c r="BT566"/>
  <c r="BS566"/>
  <c r="BR566"/>
  <c r="BQ566"/>
  <c r="BP566"/>
  <c r="BO566"/>
  <c r="BN566"/>
  <c r="BM566"/>
  <c r="BL566"/>
  <c r="BK566"/>
  <c r="BJ566"/>
  <c r="BI566"/>
  <c r="BH566"/>
  <c r="BG566"/>
  <c r="BF566"/>
  <c r="BE566"/>
  <c r="BD566"/>
  <c r="BC566"/>
  <c r="BB566"/>
  <c r="BA566"/>
  <c r="AZ566"/>
  <c r="AY566"/>
  <c r="AX566"/>
  <c r="AW566"/>
  <c r="AV566"/>
  <c r="AC566"/>
  <c r="H566"/>
  <c r="G566"/>
  <c r="E566"/>
  <c r="BT565"/>
  <c r="BS565"/>
  <c r="BR565"/>
  <c r="BQ565"/>
  <c r="BP565"/>
  <c r="BO565"/>
  <c r="BN565"/>
  <c r="BM565"/>
  <c r="BL565"/>
  <c r="BK565"/>
  <c r="BJ565"/>
  <c r="BI565"/>
  <c r="BH565"/>
  <c r="BG565"/>
  <c r="BF565"/>
  <c r="BE565"/>
  <c r="BD565"/>
  <c r="BC565"/>
  <c r="BB565"/>
  <c r="BA565"/>
  <c r="AZ565"/>
  <c r="AY565"/>
  <c r="AX565"/>
  <c r="AW565"/>
  <c r="AV565"/>
  <c r="AC565"/>
  <c r="H565"/>
  <c r="G565"/>
  <c r="E565"/>
  <c r="BT564"/>
  <c r="BS564"/>
  <c r="BR564"/>
  <c r="BQ564"/>
  <c r="BP564"/>
  <c r="BO564"/>
  <c r="BN564"/>
  <c r="BM564"/>
  <c r="BL564"/>
  <c r="BK564"/>
  <c r="BJ564"/>
  <c r="BI564"/>
  <c r="BH564"/>
  <c r="BG564"/>
  <c r="BF564"/>
  <c r="BE564"/>
  <c r="BD564"/>
  <c r="BC564"/>
  <c r="BB564"/>
  <c r="BA564"/>
  <c r="AZ564"/>
  <c r="AY564"/>
  <c r="AX564"/>
  <c r="AW564"/>
  <c r="AV564"/>
  <c r="AC564"/>
  <c r="H564"/>
  <c r="G564"/>
  <c r="E564"/>
  <c r="BT563"/>
  <c r="BS563"/>
  <c r="BR563"/>
  <c r="BQ563"/>
  <c r="BP563"/>
  <c r="BO563"/>
  <c r="BN563"/>
  <c r="BM563"/>
  <c r="BL563"/>
  <c r="BK563"/>
  <c r="BJ563"/>
  <c r="BI563"/>
  <c r="BH563"/>
  <c r="BG563"/>
  <c r="BF563"/>
  <c r="BE563"/>
  <c r="BD563"/>
  <c r="BC563"/>
  <c r="BB563"/>
  <c r="BA563"/>
  <c r="AZ563"/>
  <c r="AY563"/>
  <c r="AX563"/>
  <c r="AW563"/>
  <c r="AV563"/>
  <c r="AC563"/>
  <c r="H563"/>
  <c r="G563"/>
  <c r="E563"/>
  <c r="BT562"/>
  <c r="BS562"/>
  <c r="BR562"/>
  <c r="BQ562"/>
  <c r="BP562"/>
  <c r="BO562"/>
  <c r="BN562"/>
  <c r="BM562"/>
  <c r="BL562"/>
  <c r="BK562"/>
  <c r="BJ562"/>
  <c r="BI562"/>
  <c r="BH562"/>
  <c r="BG562"/>
  <c r="BF562"/>
  <c r="BE562"/>
  <c r="BD562"/>
  <c r="BC562"/>
  <c r="BB562"/>
  <c r="BA562"/>
  <c r="AZ562"/>
  <c r="AY562"/>
  <c r="AX562"/>
  <c r="AW562"/>
  <c r="AV562"/>
  <c r="AC562"/>
  <c r="H562"/>
  <c r="G562"/>
  <c r="E562"/>
  <c r="BT561"/>
  <c r="BS561"/>
  <c r="BR561"/>
  <c r="BQ561"/>
  <c r="BP561"/>
  <c r="BO561"/>
  <c r="BN561"/>
  <c r="BM561"/>
  <c r="BL561"/>
  <c r="BK561"/>
  <c r="BJ561"/>
  <c r="BI561"/>
  <c r="BH561"/>
  <c r="BG561"/>
  <c r="BF561"/>
  <c r="BE561"/>
  <c r="BD561"/>
  <c r="BC561"/>
  <c r="BB561"/>
  <c r="BA561"/>
  <c r="AZ561"/>
  <c r="AY561"/>
  <c r="AX561"/>
  <c r="AW561"/>
  <c r="AV561"/>
  <c r="AC561"/>
  <c r="H561"/>
  <c r="G561"/>
  <c r="E561"/>
  <c r="BT560"/>
  <c r="BS560"/>
  <c r="BR560"/>
  <c r="BQ560"/>
  <c r="BP560"/>
  <c r="BO560"/>
  <c r="BN560"/>
  <c r="BM560"/>
  <c r="BL560"/>
  <c r="BK560"/>
  <c r="BJ560"/>
  <c r="BI560"/>
  <c r="BH560"/>
  <c r="BG560"/>
  <c r="BF560"/>
  <c r="BE560"/>
  <c r="BD560"/>
  <c r="BC560"/>
  <c r="BB560"/>
  <c r="BA560"/>
  <c r="AZ560"/>
  <c r="AY560"/>
  <c r="AX560"/>
  <c r="AW560"/>
  <c r="AV560"/>
  <c r="AC560"/>
  <c r="H560"/>
  <c r="G560"/>
  <c r="E560"/>
  <c r="BT559"/>
  <c r="BS559"/>
  <c r="BR559"/>
  <c r="BQ559"/>
  <c r="BP559"/>
  <c r="BO559"/>
  <c r="BN559"/>
  <c r="BM559"/>
  <c r="BL559"/>
  <c r="BK559"/>
  <c r="BJ559"/>
  <c r="BI559"/>
  <c r="BH559"/>
  <c r="BG559"/>
  <c r="BF559"/>
  <c r="BE559"/>
  <c r="BD559"/>
  <c r="BC559"/>
  <c r="BB559"/>
  <c r="BA559"/>
  <c r="AZ559"/>
  <c r="AY559"/>
  <c r="AX559"/>
  <c r="AW559"/>
  <c r="AV559"/>
  <c r="AC559"/>
  <c r="H559"/>
  <c r="G559"/>
  <c r="E559"/>
  <c r="BT558"/>
  <c r="BS558"/>
  <c r="BR558"/>
  <c r="BQ558"/>
  <c r="BP558"/>
  <c r="BO558"/>
  <c r="BN558"/>
  <c r="BM558"/>
  <c r="BL558"/>
  <c r="BK558"/>
  <c r="BJ558"/>
  <c r="BI558"/>
  <c r="BH558"/>
  <c r="BG558"/>
  <c r="BF558"/>
  <c r="BE558"/>
  <c r="BD558"/>
  <c r="BC558"/>
  <c r="BB558"/>
  <c r="BA558"/>
  <c r="AZ558"/>
  <c r="AY558"/>
  <c r="AX558"/>
  <c r="AW558"/>
  <c r="AV558"/>
  <c r="AC558"/>
  <c r="H558"/>
  <c r="G558"/>
  <c r="E558"/>
  <c r="BT557"/>
  <c r="BS557"/>
  <c r="BR557"/>
  <c r="BQ557"/>
  <c r="BP557"/>
  <c r="BO557"/>
  <c r="BN557"/>
  <c r="BM557"/>
  <c r="BL557"/>
  <c r="BK557"/>
  <c r="BJ557"/>
  <c r="BI557"/>
  <c r="BH557"/>
  <c r="BG557"/>
  <c r="BF557"/>
  <c r="BE557"/>
  <c r="BD557"/>
  <c r="BC557"/>
  <c r="BB557"/>
  <c r="BA557"/>
  <c r="AZ557"/>
  <c r="AY557"/>
  <c r="AX557"/>
  <c r="AW557"/>
  <c r="AV557"/>
  <c r="AC557"/>
  <c r="H557"/>
  <c r="G557"/>
  <c r="E557"/>
  <c r="BT556"/>
  <c r="BS556"/>
  <c r="BR556"/>
  <c r="BQ556"/>
  <c r="BP556"/>
  <c r="BO556"/>
  <c r="BN556"/>
  <c r="BM556"/>
  <c r="BL556"/>
  <c r="BK556"/>
  <c r="BJ556"/>
  <c r="BI556"/>
  <c r="BH556"/>
  <c r="BG556"/>
  <c r="BF556"/>
  <c r="BE556"/>
  <c r="BD556"/>
  <c r="BC556"/>
  <c r="BB556"/>
  <c r="BA556"/>
  <c r="AZ556"/>
  <c r="AY556"/>
  <c r="AX556"/>
  <c r="AW556"/>
  <c r="AV556"/>
  <c r="AC556"/>
  <c r="H556"/>
  <c r="G556"/>
  <c r="E556"/>
  <c r="BT555"/>
  <c r="BS555"/>
  <c r="BR555"/>
  <c r="BQ555"/>
  <c r="BP555"/>
  <c r="BO555"/>
  <c r="BN555"/>
  <c r="BM555"/>
  <c r="BL555"/>
  <c r="BK555"/>
  <c r="BJ555"/>
  <c r="BI555"/>
  <c r="BH555"/>
  <c r="BG555"/>
  <c r="BF555"/>
  <c r="BE555"/>
  <c r="BD555"/>
  <c r="BC555"/>
  <c r="BB555"/>
  <c r="BA555"/>
  <c r="AZ555"/>
  <c r="AY555"/>
  <c r="AX555"/>
  <c r="AW555"/>
  <c r="AV555"/>
  <c r="AC555"/>
  <c r="H555"/>
  <c r="G555"/>
  <c r="E555"/>
  <c r="BT554"/>
  <c r="BS554"/>
  <c r="BR554"/>
  <c r="BQ554"/>
  <c r="BP554"/>
  <c r="BO554"/>
  <c r="BN554"/>
  <c r="BM554"/>
  <c r="BL554"/>
  <c r="BK554"/>
  <c r="BJ554"/>
  <c r="BI554"/>
  <c r="BH554"/>
  <c r="BG554"/>
  <c r="BF554"/>
  <c r="BE554"/>
  <c r="BD554"/>
  <c r="BC554"/>
  <c r="BB554"/>
  <c r="BA554"/>
  <c r="AZ554"/>
  <c r="AY554"/>
  <c r="AX554"/>
  <c r="AW554"/>
  <c r="AV554"/>
  <c r="AC554"/>
  <c r="H554"/>
  <c r="G554"/>
  <c r="E554"/>
  <c r="BT553"/>
  <c r="BS553"/>
  <c r="BR553"/>
  <c r="BQ553"/>
  <c r="BP553"/>
  <c r="BO553"/>
  <c r="BN553"/>
  <c r="BM553"/>
  <c r="BL553"/>
  <c r="BK553"/>
  <c r="BJ553"/>
  <c r="BI553"/>
  <c r="BH553"/>
  <c r="BG553"/>
  <c r="BF553"/>
  <c r="BE553"/>
  <c r="BD553"/>
  <c r="BC553"/>
  <c r="BB553"/>
  <c r="BA553"/>
  <c r="AZ553"/>
  <c r="AY553"/>
  <c r="AX553"/>
  <c r="AW553"/>
  <c r="AV553"/>
  <c r="AC553"/>
  <c r="H553"/>
  <c r="G553"/>
  <c r="E553"/>
  <c r="BT552"/>
  <c r="BS552"/>
  <c r="BR552"/>
  <c r="BQ552"/>
  <c r="BP552"/>
  <c r="BO552"/>
  <c r="BN552"/>
  <c r="BM552"/>
  <c r="BL552"/>
  <c r="BK552"/>
  <c r="BJ552"/>
  <c r="BI552"/>
  <c r="BH552"/>
  <c r="BG552"/>
  <c r="BF552"/>
  <c r="BE552"/>
  <c r="BD552"/>
  <c r="BC552"/>
  <c r="BB552"/>
  <c r="BA552"/>
  <c r="AZ552"/>
  <c r="AY552"/>
  <c r="AX552"/>
  <c r="AW552"/>
  <c r="AV552"/>
  <c r="AC552"/>
  <c r="H552"/>
  <c r="G552"/>
  <c r="E552"/>
  <c r="BT551"/>
  <c r="BS551"/>
  <c r="BR551"/>
  <c r="BQ551"/>
  <c r="BP551"/>
  <c r="BO551"/>
  <c r="BN551"/>
  <c r="BM551"/>
  <c r="BL551"/>
  <c r="BK551"/>
  <c r="BJ551"/>
  <c r="BI551"/>
  <c r="BH551"/>
  <c r="BG551"/>
  <c r="BF551"/>
  <c r="BE551"/>
  <c r="BD551"/>
  <c r="BC551"/>
  <c r="BB551"/>
  <c r="BA551"/>
  <c r="AZ551"/>
  <c r="AY551"/>
  <c r="AX551"/>
  <c r="AW551"/>
  <c r="AV551"/>
  <c r="AC551"/>
  <c r="H551"/>
  <c r="G551"/>
  <c r="E551"/>
  <c r="BT550"/>
  <c r="BS550"/>
  <c r="BR550"/>
  <c r="BQ550"/>
  <c r="BP550"/>
  <c r="BO550"/>
  <c r="BN550"/>
  <c r="BM550"/>
  <c r="BL550"/>
  <c r="BK550"/>
  <c r="BJ550"/>
  <c r="BI550"/>
  <c r="BH550"/>
  <c r="BG550"/>
  <c r="BF550"/>
  <c r="BE550"/>
  <c r="BD550"/>
  <c r="BC550"/>
  <c r="BB550"/>
  <c r="BA550"/>
  <c r="AZ550"/>
  <c r="AY550"/>
  <c r="AX550"/>
  <c r="AW550"/>
  <c r="AV550"/>
  <c r="AC550"/>
  <c r="H550"/>
  <c r="G550"/>
  <c r="E550"/>
  <c r="BT549"/>
  <c r="BS549"/>
  <c r="BR549"/>
  <c r="BQ549"/>
  <c r="BP549"/>
  <c r="BO549"/>
  <c r="BN549"/>
  <c r="BM549"/>
  <c r="BL549"/>
  <c r="BK549"/>
  <c r="BJ549"/>
  <c r="BI549"/>
  <c r="BH549"/>
  <c r="BG549"/>
  <c r="BF549"/>
  <c r="BE549"/>
  <c r="BD549"/>
  <c r="BC549"/>
  <c r="BB549"/>
  <c r="BA549"/>
  <c r="AZ549"/>
  <c r="AY549"/>
  <c r="AX549"/>
  <c r="AW549"/>
  <c r="AV549"/>
  <c r="AC549"/>
  <c r="H549"/>
  <c r="G549"/>
  <c r="E549"/>
  <c r="BT548"/>
  <c r="BS548"/>
  <c r="BR548"/>
  <c r="BQ548"/>
  <c r="BP548"/>
  <c r="BO548"/>
  <c r="BN548"/>
  <c r="BM548"/>
  <c r="BL548"/>
  <c r="BK548"/>
  <c r="BJ548"/>
  <c r="BI548"/>
  <c r="BH548"/>
  <c r="BG548"/>
  <c r="BF548"/>
  <c r="BE548"/>
  <c r="BD548"/>
  <c r="BC548"/>
  <c r="BB548"/>
  <c r="BA548"/>
  <c r="AZ548"/>
  <c r="AY548"/>
  <c r="AX548"/>
  <c r="AW548"/>
  <c r="AV548"/>
  <c r="AC548"/>
  <c r="H548"/>
  <c r="G548"/>
  <c r="E548"/>
  <c r="BT547"/>
  <c r="BS547"/>
  <c r="BR547"/>
  <c r="BQ547"/>
  <c r="BP547"/>
  <c r="BO547"/>
  <c r="BN547"/>
  <c r="BM547"/>
  <c r="BL547"/>
  <c r="BK547"/>
  <c r="BJ547"/>
  <c r="BI547"/>
  <c r="BH547"/>
  <c r="BG547"/>
  <c r="BF547"/>
  <c r="BE547"/>
  <c r="BD547"/>
  <c r="BC547"/>
  <c r="BB547"/>
  <c r="BA547"/>
  <c r="AZ547"/>
  <c r="AY547"/>
  <c r="AX547"/>
  <c r="AW547"/>
  <c r="AV547"/>
  <c r="AC547"/>
  <c r="H547"/>
  <c r="G547"/>
  <c r="E547"/>
  <c r="BT546"/>
  <c r="BS546"/>
  <c r="BR546"/>
  <c r="BQ546"/>
  <c r="BP546"/>
  <c r="BO546"/>
  <c r="BN546"/>
  <c r="BM546"/>
  <c r="BL546"/>
  <c r="BK546"/>
  <c r="BJ546"/>
  <c r="BI546"/>
  <c r="BH546"/>
  <c r="BG546"/>
  <c r="BF546"/>
  <c r="BE546"/>
  <c r="BD546"/>
  <c r="BC546"/>
  <c r="BB546"/>
  <c r="BA546"/>
  <c r="AZ546"/>
  <c r="AY546"/>
  <c r="AX546"/>
  <c r="AW546"/>
  <c r="AV546"/>
  <c r="AC546"/>
  <c r="H546"/>
  <c r="G546"/>
  <c r="E546"/>
  <c r="BT545"/>
  <c r="BS545"/>
  <c r="BR545"/>
  <c r="BQ545"/>
  <c r="BP545"/>
  <c r="BO545"/>
  <c r="BN545"/>
  <c r="BM545"/>
  <c r="BL545"/>
  <c r="BK545"/>
  <c r="BJ545"/>
  <c r="BI545"/>
  <c r="BH545"/>
  <c r="BG545"/>
  <c r="BF545"/>
  <c r="BE545"/>
  <c r="BD545"/>
  <c r="BC545"/>
  <c r="BB545"/>
  <c r="BA545"/>
  <c r="AZ545"/>
  <c r="AY545"/>
  <c r="AX545"/>
  <c r="AW545"/>
  <c r="AV545"/>
  <c r="AC545"/>
  <c r="H545"/>
  <c r="G545"/>
  <c r="E545"/>
  <c r="BT544"/>
  <c r="BS544"/>
  <c r="BR544"/>
  <c r="BQ544"/>
  <c r="BP544"/>
  <c r="BO544"/>
  <c r="BN544"/>
  <c r="BM544"/>
  <c r="BL544"/>
  <c r="BK544"/>
  <c r="BJ544"/>
  <c r="BI544"/>
  <c r="BH544"/>
  <c r="BG544"/>
  <c r="BF544"/>
  <c r="BE544"/>
  <c r="BD544"/>
  <c r="BC544"/>
  <c r="BB544"/>
  <c r="BA544"/>
  <c r="AZ544"/>
  <c r="AY544"/>
  <c r="AX544"/>
  <c r="AW544"/>
  <c r="AV544"/>
  <c r="AC544"/>
  <c r="H544"/>
  <c r="G544"/>
  <c r="E544"/>
  <c r="BT543"/>
  <c r="BS543"/>
  <c r="BR543"/>
  <c r="BQ543"/>
  <c r="BP543"/>
  <c r="BO543"/>
  <c r="BN543"/>
  <c r="BM543"/>
  <c r="BL543"/>
  <c r="BK543"/>
  <c r="BJ543"/>
  <c r="BI543"/>
  <c r="BH543"/>
  <c r="BG543"/>
  <c r="BF543"/>
  <c r="BE543"/>
  <c r="BD543"/>
  <c r="BC543"/>
  <c r="BB543"/>
  <c r="BA543"/>
  <c r="AZ543"/>
  <c r="AY543"/>
  <c r="AX543"/>
  <c r="AW543"/>
  <c r="AV543"/>
  <c r="AC543"/>
  <c r="H543"/>
  <c r="G543"/>
  <c r="E543"/>
  <c r="BT542"/>
  <c r="BS542"/>
  <c r="BR542"/>
  <c r="BQ542"/>
  <c r="BP542"/>
  <c r="BO542"/>
  <c r="BN542"/>
  <c r="BM542"/>
  <c r="BL542"/>
  <c r="BK542"/>
  <c r="BJ542"/>
  <c r="BI542"/>
  <c r="BH542"/>
  <c r="BG542"/>
  <c r="BF542"/>
  <c r="BE542"/>
  <c r="BD542"/>
  <c r="BC542"/>
  <c r="BB542"/>
  <c r="BA542"/>
  <c r="AZ542"/>
  <c r="AY542"/>
  <c r="AX542"/>
  <c r="AW542"/>
  <c r="AV542"/>
  <c r="AC542"/>
  <c r="H542"/>
  <c r="G542"/>
  <c r="E542"/>
  <c r="BT541"/>
  <c r="BS541"/>
  <c r="BR541"/>
  <c r="BQ541"/>
  <c r="BP541"/>
  <c r="BO541"/>
  <c r="BN541"/>
  <c r="BM541"/>
  <c r="BL541"/>
  <c r="BK541"/>
  <c r="BJ541"/>
  <c r="BI541"/>
  <c r="BH541"/>
  <c r="BG541"/>
  <c r="BF541"/>
  <c r="BE541"/>
  <c r="BD541"/>
  <c r="BC541"/>
  <c r="BB541"/>
  <c r="BA541"/>
  <c r="AZ541"/>
  <c r="AY541"/>
  <c r="AX541"/>
  <c r="AW541"/>
  <c r="AV541"/>
  <c r="AC541"/>
  <c r="H541"/>
  <c r="G541"/>
  <c r="E541"/>
  <c r="BT540"/>
  <c r="BS540"/>
  <c r="BR540"/>
  <c r="BQ540"/>
  <c r="BP540"/>
  <c r="BO540"/>
  <c r="BN540"/>
  <c r="BM540"/>
  <c r="BL540"/>
  <c r="BK540"/>
  <c r="BJ540"/>
  <c r="BI540"/>
  <c r="BH540"/>
  <c r="BG540"/>
  <c r="BF540"/>
  <c r="BE540"/>
  <c r="BD540"/>
  <c r="BC540"/>
  <c r="BB540"/>
  <c r="BA540"/>
  <c r="AZ540"/>
  <c r="AY540"/>
  <c r="AX540"/>
  <c r="AW540"/>
  <c r="AV540"/>
  <c r="AC540"/>
  <c r="H540"/>
  <c r="G540"/>
  <c r="E540"/>
  <c r="BT539"/>
  <c r="BS539"/>
  <c r="BR539"/>
  <c r="BQ539"/>
  <c r="BP539"/>
  <c r="BO539"/>
  <c r="BN539"/>
  <c r="BM539"/>
  <c r="BL539"/>
  <c r="BK539"/>
  <c r="BJ539"/>
  <c r="BI539"/>
  <c r="BH539"/>
  <c r="BG539"/>
  <c r="BF539"/>
  <c r="BE539"/>
  <c r="BD539"/>
  <c r="BC539"/>
  <c r="BB539"/>
  <c r="BA539"/>
  <c r="AZ539"/>
  <c r="AY539"/>
  <c r="AX539"/>
  <c r="AW539"/>
  <c r="AV539"/>
  <c r="AC539"/>
  <c r="H539"/>
  <c r="G539"/>
  <c r="E539"/>
  <c r="BT538"/>
  <c r="BS538"/>
  <c r="BR538"/>
  <c r="BQ538"/>
  <c r="BP538"/>
  <c r="BO538"/>
  <c r="BN538"/>
  <c r="BM538"/>
  <c r="BL538"/>
  <c r="BK538"/>
  <c r="BJ538"/>
  <c r="BI538"/>
  <c r="BH538"/>
  <c r="BG538"/>
  <c r="BF538"/>
  <c r="BE538"/>
  <c r="BD538"/>
  <c r="BC538"/>
  <c r="BB538"/>
  <c r="BA538"/>
  <c r="AZ538"/>
  <c r="AY538"/>
  <c r="AX538"/>
  <c r="AW538"/>
  <c r="AV538"/>
  <c r="AC538"/>
  <c r="H538"/>
  <c r="G538"/>
  <c r="E538"/>
  <c r="BT537"/>
  <c r="BS537"/>
  <c r="BR537"/>
  <c r="BQ537"/>
  <c r="BP537"/>
  <c r="BO537"/>
  <c r="BN537"/>
  <c r="BM537"/>
  <c r="BL537"/>
  <c r="BK537"/>
  <c r="BJ537"/>
  <c r="BI537"/>
  <c r="BH537"/>
  <c r="BG537"/>
  <c r="BF537"/>
  <c r="BE537"/>
  <c r="BD537"/>
  <c r="BC537"/>
  <c r="BB537"/>
  <c r="BA537"/>
  <c r="AZ537"/>
  <c r="AY537"/>
  <c r="AX537"/>
  <c r="AW537"/>
  <c r="AV537"/>
  <c r="AC537"/>
  <c r="H537"/>
  <c r="G537"/>
  <c r="E537"/>
  <c r="BT536"/>
  <c r="BS536"/>
  <c r="BR536"/>
  <c r="BQ536"/>
  <c r="BP536"/>
  <c r="BO536"/>
  <c r="BN536"/>
  <c r="BM536"/>
  <c r="BL536"/>
  <c r="BK536"/>
  <c r="BJ536"/>
  <c r="BI536"/>
  <c r="BH536"/>
  <c r="BG536"/>
  <c r="BF536"/>
  <c r="BE536"/>
  <c r="BD536"/>
  <c r="BC536"/>
  <c r="BB536"/>
  <c r="BA536"/>
  <c r="AZ536"/>
  <c r="AY536"/>
  <c r="AX536"/>
  <c r="AW536"/>
  <c r="AV536"/>
  <c r="AC536"/>
  <c r="H536"/>
  <c r="G536"/>
  <c r="E536"/>
  <c r="BT535"/>
  <c r="BS535"/>
  <c r="BR535"/>
  <c r="BQ535"/>
  <c r="BP535"/>
  <c r="BO535"/>
  <c r="BN535"/>
  <c r="BM535"/>
  <c r="BL535"/>
  <c r="BK535"/>
  <c r="BJ535"/>
  <c r="BI535"/>
  <c r="BH535"/>
  <c r="BG535"/>
  <c r="BF535"/>
  <c r="BE535"/>
  <c r="BD535"/>
  <c r="BC535"/>
  <c r="BB535"/>
  <c r="BA535"/>
  <c r="AZ535"/>
  <c r="AY535"/>
  <c r="AX535"/>
  <c r="AW535"/>
  <c r="AV535"/>
  <c r="AC535"/>
  <c r="H535"/>
  <c r="G535"/>
  <c r="E535"/>
  <c r="BT534"/>
  <c r="BS534"/>
  <c r="BR534"/>
  <c r="BQ534"/>
  <c r="BP534"/>
  <c r="BO534"/>
  <c r="BN534"/>
  <c r="BM534"/>
  <c r="BL534"/>
  <c r="BK534"/>
  <c r="BJ534"/>
  <c r="BI534"/>
  <c r="BH534"/>
  <c r="BG534"/>
  <c r="BF534"/>
  <c r="BE534"/>
  <c r="BD534"/>
  <c r="BC534"/>
  <c r="BB534"/>
  <c r="BA534"/>
  <c r="AZ534"/>
  <c r="AY534"/>
  <c r="AX534"/>
  <c r="AW534"/>
  <c r="AV534"/>
  <c r="AC534"/>
  <c r="H534"/>
  <c r="G534"/>
  <c r="E534"/>
  <c r="BT533"/>
  <c r="BS533"/>
  <c r="BR533"/>
  <c r="BQ533"/>
  <c r="BP533"/>
  <c r="BO533"/>
  <c r="BN533"/>
  <c r="BM533"/>
  <c r="BL533"/>
  <c r="BK533"/>
  <c r="BJ533"/>
  <c r="BI533"/>
  <c r="BH533"/>
  <c r="BG533"/>
  <c r="BF533"/>
  <c r="BE533"/>
  <c r="BD533"/>
  <c r="BC533"/>
  <c r="BB533"/>
  <c r="BA533"/>
  <c r="AZ533"/>
  <c r="AY533"/>
  <c r="AX533"/>
  <c r="AW533"/>
  <c r="AV533"/>
  <c r="AC533"/>
  <c r="H533"/>
  <c r="G533"/>
  <c r="E533"/>
  <c r="BT532"/>
  <c r="BS532"/>
  <c r="BR532"/>
  <c r="BQ532"/>
  <c r="BP532"/>
  <c r="BO532"/>
  <c r="BN532"/>
  <c r="BM532"/>
  <c r="BL532"/>
  <c r="BK532"/>
  <c r="BJ532"/>
  <c r="BI532"/>
  <c r="BH532"/>
  <c r="BG532"/>
  <c r="BF532"/>
  <c r="BE532"/>
  <c r="BD532"/>
  <c r="BC532"/>
  <c r="BB532"/>
  <c r="BA532"/>
  <c r="AZ532"/>
  <c r="AY532"/>
  <c r="AX532"/>
  <c r="AW532"/>
  <c r="AV532"/>
  <c r="AC532"/>
  <c r="H532"/>
  <c r="G532"/>
  <c r="E532"/>
  <c r="BT531"/>
  <c r="BS531"/>
  <c r="BR531"/>
  <c r="BQ531"/>
  <c r="BP531"/>
  <c r="BO531"/>
  <c r="BN531"/>
  <c r="BM531"/>
  <c r="BL531"/>
  <c r="BK531"/>
  <c r="BJ531"/>
  <c r="BI531"/>
  <c r="BH531"/>
  <c r="BG531"/>
  <c r="BF531"/>
  <c r="BE531"/>
  <c r="BD531"/>
  <c r="BC531"/>
  <c r="BB531"/>
  <c r="BA531"/>
  <c r="AZ531"/>
  <c r="AY531"/>
  <c r="AX531"/>
  <c r="AW531"/>
  <c r="AV531"/>
  <c r="AC531"/>
  <c r="H531"/>
  <c r="G531"/>
  <c r="E531"/>
  <c r="BT530"/>
  <c r="BS530"/>
  <c r="BR530"/>
  <c r="BQ530"/>
  <c r="BP530"/>
  <c r="BO530"/>
  <c r="BN530"/>
  <c r="BM530"/>
  <c r="BL530"/>
  <c r="BK530"/>
  <c r="BJ530"/>
  <c r="BI530"/>
  <c r="BH530"/>
  <c r="BG530"/>
  <c r="BF530"/>
  <c r="BE530"/>
  <c r="BD530"/>
  <c r="BC530"/>
  <c r="BB530"/>
  <c r="BA530"/>
  <c r="AZ530"/>
  <c r="AY530"/>
  <c r="AX530"/>
  <c r="AW530"/>
  <c r="AV530"/>
  <c r="AC530"/>
  <c r="H530"/>
  <c r="G530"/>
  <c r="E530"/>
  <c r="BT529"/>
  <c r="BS529"/>
  <c r="BR529"/>
  <c r="BQ529"/>
  <c r="BP529"/>
  <c r="BO529"/>
  <c r="BN529"/>
  <c r="BM529"/>
  <c r="BL529"/>
  <c r="BK529"/>
  <c r="BJ529"/>
  <c r="BI529"/>
  <c r="BH529"/>
  <c r="BG529"/>
  <c r="BF529"/>
  <c r="BE529"/>
  <c r="BD529"/>
  <c r="BC529"/>
  <c r="BB529"/>
  <c r="BA529"/>
  <c r="AZ529"/>
  <c r="AY529"/>
  <c r="AX529"/>
  <c r="AW529"/>
  <c r="AV529"/>
  <c r="AC529"/>
  <c r="H529"/>
  <c r="G529"/>
  <c r="E529"/>
  <c r="BT528"/>
  <c r="BS528"/>
  <c r="BR528"/>
  <c r="BQ528"/>
  <c r="BP528"/>
  <c r="BO528"/>
  <c r="BN528"/>
  <c r="BM528"/>
  <c r="BL528"/>
  <c r="BK528"/>
  <c r="BJ528"/>
  <c r="BI528"/>
  <c r="BH528"/>
  <c r="BG528"/>
  <c r="BF528"/>
  <c r="BE528"/>
  <c r="BD528"/>
  <c r="BC528"/>
  <c r="BB528"/>
  <c r="BA528"/>
  <c r="AZ528"/>
  <c r="AY528"/>
  <c r="AX528"/>
  <c r="AW528"/>
  <c r="AV528"/>
  <c r="AC528"/>
  <c r="H528"/>
  <c r="G528"/>
  <c r="E528"/>
  <c r="BT527"/>
  <c r="BS527"/>
  <c r="BR527"/>
  <c r="BQ527"/>
  <c r="BP527"/>
  <c r="BO527"/>
  <c r="BN527"/>
  <c r="BM527"/>
  <c r="BL527"/>
  <c r="BK527"/>
  <c r="BJ527"/>
  <c r="BI527"/>
  <c r="BH527"/>
  <c r="BG527"/>
  <c r="BF527"/>
  <c r="BE527"/>
  <c r="BD527"/>
  <c r="BC527"/>
  <c r="BB527"/>
  <c r="BA527"/>
  <c r="AZ527"/>
  <c r="AY527"/>
  <c r="AX527"/>
  <c r="AW527"/>
  <c r="AV527"/>
  <c r="AC527"/>
  <c r="H527"/>
  <c r="G527"/>
  <c r="E527"/>
  <c r="BT526"/>
  <c r="BS526"/>
  <c r="BR526"/>
  <c r="BQ526"/>
  <c r="BP526"/>
  <c r="BO526"/>
  <c r="BN526"/>
  <c r="BM526"/>
  <c r="BL526"/>
  <c r="BK526"/>
  <c r="BJ526"/>
  <c r="BI526"/>
  <c r="BH526"/>
  <c r="BG526"/>
  <c r="BF526"/>
  <c r="BE526"/>
  <c r="BD526"/>
  <c r="BC526"/>
  <c r="BB526"/>
  <c r="BA526"/>
  <c r="AZ526"/>
  <c r="AY526"/>
  <c r="AX526"/>
  <c r="AW526"/>
  <c r="AV526"/>
  <c r="AC526"/>
  <c r="H526"/>
  <c r="G526"/>
  <c r="E526"/>
  <c r="BT525"/>
  <c r="BS525"/>
  <c r="BR525"/>
  <c r="BQ525"/>
  <c r="BP525"/>
  <c r="BO525"/>
  <c r="BN525"/>
  <c r="BM525"/>
  <c r="BL525"/>
  <c r="BK525"/>
  <c r="BJ525"/>
  <c r="BI525"/>
  <c r="BH525"/>
  <c r="BG525"/>
  <c r="BF525"/>
  <c r="BE525"/>
  <c r="BD525"/>
  <c r="BC525"/>
  <c r="BB525"/>
  <c r="BA525"/>
  <c r="AZ525"/>
  <c r="AY525"/>
  <c r="AX525"/>
  <c r="AW525"/>
  <c r="AV525"/>
  <c r="AC525"/>
  <c r="H525"/>
  <c r="G525"/>
  <c r="E525"/>
  <c r="BT524"/>
  <c r="BS524"/>
  <c r="BR524"/>
  <c r="BQ524"/>
  <c r="BP524"/>
  <c r="BO524"/>
  <c r="BN524"/>
  <c r="BM524"/>
  <c r="BL524"/>
  <c r="BK524"/>
  <c r="BJ524"/>
  <c r="BI524"/>
  <c r="BH524"/>
  <c r="BG524"/>
  <c r="BF524"/>
  <c r="BE524"/>
  <c r="BD524"/>
  <c r="BC524"/>
  <c r="BB524"/>
  <c r="BA524"/>
  <c r="AZ524"/>
  <c r="AY524"/>
  <c r="AX524"/>
  <c r="AW524"/>
  <c r="AV524"/>
  <c r="AC524"/>
  <c r="H524"/>
  <c r="G524"/>
  <c r="E524"/>
  <c r="BT523"/>
  <c r="BS523"/>
  <c r="BR523"/>
  <c r="BQ523"/>
  <c r="BP523"/>
  <c r="BO523"/>
  <c r="BN523"/>
  <c r="BM523"/>
  <c r="BL523"/>
  <c r="BK523"/>
  <c r="BJ523"/>
  <c r="BI523"/>
  <c r="BH523"/>
  <c r="BG523"/>
  <c r="BF523"/>
  <c r="BE523"/>
  <c r="BD523"/>
  <c r="BC523"/>
  <c r="BB523"/>
  <c r="BA523"/>
  <c r="AZ523"/>
  <c r="AY523"/>
  <c r="AX523"/>
  <c r="AW523"/>
  <c r="AV523"/>
  <c r="AC523"/>
  <c r="H523"/>
  <c r="G523"/>
  <c r="E523"/>
  <c r="BT522"/>
  <c r="BS522"/>
  <c r="BR522"/>
  <c r="BQ522"/>
  <c r="BP522"/>
  <c r="BO522"/>
  <c r="BN522"/>
  <c r="BM522"/>
  <c r="BL522"/>
  <c r="BK522"/>
  <c r="BJ522"/>
  <c r="BI522"/>
  <c r="BH522"/>
  <c r="BG522"/>
  <c r="BF522"/>
  <c r="BE522"/>
  <c r="BD522"/>
  <c r="BC522"/>
  <c r="BB522"/>
  <c r="BA522"/>
  <c r="AZ522"/>
  <c r="AY522"/>
  <c r="AX522"/>
  <c r="AW522"/>
  <c r="AV522"/>
  <c r="AC522"/>
  <c r="H522"/>
  <c r="G522"/>
  <c r="E522"/>
  <c r="BT521"/>
  <c r="BS521"/>
  <c r="BR521"/>
  <c r="BQ521"/>
  <c r="BP521"/>
  <c r="BO521"/>
  <c r="BN521"/>
  <c r="BM521"/>
  <c r="BL521"/>
  <c r="BK521"/>
  <c r="BJ521"/>
  <c r="BI521"/>
  <c r="BH521"/>
  <c r="BG521"/>
  <c r="BF521"/>
  <c r="BE521"/>
  <c r="BD521"/>
  <c r="BC521"/>
  <c r="BB521"/>
  <c r="BA521"/>
  <c r="AZ521"/>
  <c r="AY521"/>
  <c r="AX521"/>
  <c r="AW521"/>
  <c r="AV521"/>
  <c r="AC521"/>
  <c r="H521"/>
  <c r="G521"/>
  <c r="E521"/>
  <c r="BT520"/>
  <c r="BS520"/>
  <c r="BR520"/>
  <c r="BQ520"/>
  <c r="BP520"/>
  <c r="BO520"/>
  <c r="BN520"/>
  <c r="BM520"/>
  <c r="BL520"/>
  <c r="BK520"/>
  <c r="BJ520"/>
  <c r="BI520"/>
  <c r="BH520"/>
  <c r="BG520"/>
  <c r="BF520"/>
  <c r="BE520"/>
  <c r="BD520"/>
  <c r="BC520"/>
  <c r="BB520"/>
  <c r="BA520"/>
  <c r="AZ520"/>
  <c r="AY520"/>
  <c r="AX520"/>
  <c r="AW520"/>
  <c r="AV520"/>
  <c r="AC520"/>
  <c r="H520"/>
  <c r="G520"/>
  <c r="E520"/>
  <c r="BT519"/>
  <c r="BS519"/>
  <c r="BR519"/>
  <c r="BQ519"/>
  <c r="BP519"/>
  <c r="BO519"/>
  <c r="BN519"/>
  <c r="BM519"/>
  <c r="BL519"/>
  <c r="BK519"/>
  <c r="BJ519"/>
  <c r="BI519"/>
  <c r="BH519"/>
  <c r="BG519"/>
  <c r="BF519"/>
  <c r="BE519"/>
  <c r="BD519"/>
  <c r="BC519"/>
  <c r="BB519"/>
  <c r="BA519"/>
  <c r="AZ519"/>
  <c r="AY519"/>
  <c r="AX519"/>
  <c r="AW519"/>
  <c r="AV519"/>
  <c r="AC519"/>
  <c r="H519"/>
  <c r="G519"/>
  <c r="E519"/>
  <c r="BT518"/>
  <c r="BS518"/>
  <c r="BR518"/>
  <c r="BQ518"/>
  <c r="BP518"/>
  <c r="BO518"/>
  <c r="BN518"/>
  <c r="BM518"/>
  <c r="BL518"/>
  <c r="BK518"/>
  <c r="BJ518"/>
  <c r="BI518"/>
  <c r="BH518"/>
  <c r="BG518"/>
  <c r="BF518"/>
  <c r="BE518"/>
  <c r="BD518"/>
  <c r="BC518"/>
  <c r="BB518"/>
  <c r="BA518"/>
  <c r="AZ518"/>
  <c r="AY518"/>
  <c r="AX518"/>
  <c r="AW518"/>
  <c r="AV518"/>
  <c r="AC518"/>
  <c r="H518"/>
  <c r="G518"/>
  <c r="E518"/>
  <c r="BT517"/>
  <c r="BS517"/>
  <c r="BR517"/>
  <c r="BQ517"/>
  <c r="BP517"/>
  <c r="BO517"/>
  <c r="BN517"/>
  <c r="BM517"/>
  <c r="BL517"/>
  <c r="BK517"/>
  <c r="BJ517"/>
  <c r="BI517"/>
  <c r="BH517"/>
  <c r="BG517"/>
  <c r="BF517"/>
  <c r="BE517"/>
  <c r="BD517"/>
  <c r="BC517"/>
  <c r="BB517"/>
  <c r="BA517"/>
  <c r="AZ517"/>
  <c r="AY517"/>
  <c r="AX517"/>
  <c r="AW517"/>
  <c r="AV517"/>
  <c r="AC517"/>
  <c r="H517"/>
  <c r="G517"/>
  <c r="E517"/>
  <c r="BT516"/>
  <c r="BS516"/>
  <c r="BR516"/>
  <c r="BQ516"/>
  <c r="BP516"/>
  <c r="BO516"/>
  <c r="BN516"/>
  <c r="BM516"/>
  <c r="BL516"/>
  <c r="BK516"/>
  <c r="BJ516"/>
  <c r="BI516"/>
  <c r="BH516"/>
  <c r="BG516"/>
  <c r="BF516"/>
  <c r="BE516"/>
  <c r="BD516"/>
  <c r="BC516"/>
  <c r="BB516"/>
  <c r="BA516"/>
  <c r="AZ516"/>
  <c r="AY516"/>
  <c r="AX516"/>
  <c r="AW516"/>
  <c r="AV516"/>
  <c r="AC516"/>
  <c r="H516"/>
  <c r="G516"/>
  <c r="E516"/>
  <c r="BT515"/>
  <c r="BS515"/>
  <c r="BR515"/>
  <c r="BQ515"/>
  <c r="BP515"/>
  <c r="BO515"/>
  <c r="BN515"/>
  <c r="BM515"/>
  <c r="BL515"/>
  <c r="BK515"/>
  <c r="BJ515"/>
  <c r="BI515"/>
  <c r="BH515"/>
  <c r="BG515"/>
  <c r="BF515"/>
  <c r="BE515"/>
  <c r="BD515"/>
  <c r="BC515"/>
  <c r="BB515"/>
  <c r="BA515"/>
  <c r="AZ515"/>
  <c r="AY515"/>
  <c r="AX515"/>
  <c r="AW515"/>
  <c r="AV515"/>
  <c r="AC515"/>
  <c r="H515"/>
  <c r="G515"/>
  <c r="E515"/>
  <c r="BT514"/>
  <c r="BS514"/>
  <c r="BR514"/>
  <c r="BQ514"/>
  <c r="BP514"/>
  <c r="BO514"/>
  <c r="BN514"/>
  <c r="BM514"/>
  <c r="BL514"/>
  <c r="BK514"/>
  <c r="BJ514"/>
  <c r="BI514"/>
  <c r="BH514"/>
  <c r="BG514"/>
  <c r="BF514"/>
  <c r="BE514"/>
  <c r="BD514"/>
  <c r="BC514"/>
  <c r="BB514"/>
  <c r="BA514"/>
  <c r="AZ514"/>
  <c r="AY514"/>
  <c r="AX514"/>
  <c r="AW514"/>
  <c r="AV514"/>
  <c r="AC514"/>
  <c r="H514"/>
  <c r="G514"/>
  <c r="E514"/>
  <c r="BT513"/>
  <c r="BS513"/>
  <c r="BR513"/>
  <c r="BQ513"/>
  <c r="BP513"/>
  <c r="BO513"/>
  <c r="BN513"/>
  <c r="BM513"/>
  <c r="BL513"/>
  <c r="BK513"/>
  <c r="BJ513"/>
  <c r="BI513"/>
  <c r="BH513"/>
  <c r="BG513"/>
  <c r="BF513"/>
  <c r="BE513"/>
  <c r="BD513"/>
  <c r="BC513"/>
  <c r="BB513"/>
  <c r="BA513"/>
  <c r="AZ513"/>
  <c r="AY513"/>
  <c r="AX513"/>
  <c r="AW513"/>
  <c r="AV513"/>
  <c r="AC513"/>
  <c r="H513"/>
  <c r="G513"/>
  <c r="E513"/>
  <c r="BT512"/>
  <c r="BS512"/>
  <c r="BR512"/>
  <c r="BQ512"/>
  <c r="BP512"/>
  <c r="BO512"/>
  <c r="BN512"/>
  <c r="BM512"/>
  <c r="BL512"/>
  <c r="BK512"/>
  <c r="BJ512"/>
  <c r="BI512"/>
  <c r="BH512"/>
  <c r="BG512"/>
  <c r="BF512"/>
  <c r="BE512"/>
  <c r="BD512"/>
  <c r="BC512"/>
  <c r="BB512"/>
  <c r="BA512"/>
  <c r="AZ512"/>
  <c r="AY512"/>
  <c r="AX512"/>
  <c r="AW512"/>
  <c r="AV512"/>
  <c r="AC512"/>
  <c r="H512"/>
  <c r="G512"/>
  <c r="E512"/>
  <c r="BT511"/>
  <c r="BS511"/>
  <c r="BR511"/>
  <c r="BQ511"/>
  <c r="BP511"/>
  <c r="BO511"/>
  <c r="BN511"/>
  <c r="BM511"/>
  <c r="BL511"/>
  <c r="BK511"/>
  <c r="BJ511"/>
  <c r="BI511"/>
  <c r="BH511"/>
  <c r="BG511"/>
  <c r="BF511"/>
  <c r="BE511"/>
  <c r="BD511"/>
  <c r="BC511"/>
  <c r="BB511"/>
  <c r="BA511"/>
  <c r="AZ511"/>
  <c r="AY511"/>
  <c r="AX511"/>
  <c r="AW511"/>
  <c r="AV511"/>
  <c r="AC511"/>
  <c r="H511"/>
  <c r="G511"/>
  <c r="E511"/>
  <c r="BT510"/>
  <c r="BS510"/>
  <c r="BR510"/>
  <c r="BQ510"/>
  <c r="BP510"/>
  <c r="BO510"/>
  <c r="BN510"/>
  <c r="BM510"/>
  <c r="BL510"/>
  <c r="BK510"/>
  <c r="BJ510"/>
  <c r="BI510"/>
  <c r="BH510"/>
  <c r="BG510"/>
  <c r="BF510"/>
  <c r="BE510"/>
  <c r="BD510"/>
  <c r="BC510"/>
  <c r="BB510"/>
  <c r="BA510"/>
  <c r="AZ510"/>
  <c r="AY510"/>
  <c r="AX510"/>
  <c r="AW510"/>
  <c r="AV510"/>
  <c r="AC510"/>
  <c r="H510"/>
  <c r="G510"/>
  <c r="E510"/>
  <c r="BT509"/>
  <c r="BS509"/>
  <c r="BR509"/>
  <c r="BQ509"/>
  <c r="BP509"/>
  <c r="BO509"/>
  <c r="BN509"/>
  <c r="BM509"/>
  <c r="BL509"/>
  <c r="BK509"/>
  <c r="BJ509"/>
  <c r="BI509"/>
  <c r="BH509"/>
  <c r="BG509"/>
  <c r="BF509"/>
  <c r="BE509"/>
  <c r="BD509"/>
  <c r="BC509"/>
  <c r="BB509"/>
  <c r="BA509"/>
  <c r="AZ509"/>
  <c r="AY509"/>
  <c r="AX509"/>
  <c r="AW509"/>
  <c r="AV509"/>
  <c r="AC509"/>
  <c r="H509"/>
  <c r="G509"/>
  <c r="E509"/>
  <c r="BT508"/>
  <c r="BS508"/>
  <c r="BR508"/>
  <c r="BQ508"/>
  <c r="BP508"/>
  <c r="BO508"/>
  <c r="BN508"/>
  <c r="BM508"/>
  <c r="BL508"/>
  <c r="BK508"/>
  <c r="BJ508"/>
  <c r="BI508"/>
  <c r="BH508"/>
  <c r="BG508"/>
  <c r="BF508"/>
  <c r="BE508"/>
  <c r="BD508"/>
  <c r="BC508"/>
  <c r="BB508"/>
  <c r="BA508"/>
  <c r="AZ508"/>
  <c r="AY508"/>
  <c r="AX508"/>
  <c r="AW508"/>
  <c r="AV508"/>
  <c r="AC508"/>
  <c r="H508"/>
  <c r="G508"/>
  <c r="E508"/>
  <c r="BT507"/>
  <c r="BS507"/>
  <c r="BR507"/>
  <c r="BQ507"/>
  <c r="BP507"/>
  <c r="BO507"/>
  <c r="BN507"/>
  <c r="BM507"/>
  <c r="BL507"/>
  <c r="BK507"/>
  <c r="BJ507"/>
  <c r="BI507"/>
  <c r="BH507"/>
  <c r="BG507"/>
  <c r="BF507"/>
  <c r="BE507"/>
  <c r="BD507"/>
  <c r="BC507"/>
  <c r="BB507"/>
  <c r="BA507"/>
  <c r="AZ507"/>
  <c r="AY507"/>
  <c r="AX507"/>
  <c r="AW507"/>
  <c r="AV507"/>
  <c r="AC507"/>
  <c r="H507"/>
  <c r="G507"/>
  <c r="E507"/>
  <c r="BT506"/>
  <c r="BS506"/>
  <c r="BR506"/>
  <c r="BQ506"/>
  <c r="BP506"/>
  <c r="BO506"/>
  <c r="BN506"/>
  <c r="BM506"/>
  <c r="BL506"/>
  <c r="BK506"/>
  <c r="BJ506"/>
  <c r="BI506"/>
  <c r="BH506"/>
  <c r="BG506"/>
  <c r="BF506"/>
  <c r="BE506"/>
  <c r="BD506"/>
  <c r="BC506"/>
  <c r="BB506"/>
  <c r="BA506"/>
  <c r="AZ506"/>
  <c r="AY506"/>
  <c r="AX506"/>
  <c r="AW506"/>
  <c r="AV506"/>
  <c r="AC506"/>
  <c r="H506"/>
  <c r="G506"/>
  <c r="E506"/>
  <c r="BT505"/>
  <c r="BS505"/>
  <c r="BR505"/>
  <c r="BQ505"/>
  <c r="BP505"/>
  <c r="BO505"/>
  <c r="BN505"/>
  <c r="BM505"/>
  <c r="BL505"/>
  <c r="BK505"/>
  <c r="BJ505"/>
  <c r="BI505"/>
  <c r="BH505"/>
  <c r="BG505"/>
  <c r="BF505"/>
  <c r="BE505"/>
  <c r="BD505"/>
  <c r="BC505"/>
  <c r="BB505"/>
  <c r="BA505"/>
  <c r="AZ505"/>
  <c r="AY505"/>
  <c r="AX505"/>
  <c r="AW505"/>
  <c r="AV505"/>
  <c r="AC505"/>
  <c r="H505"/>
  <c r="G505"/>
  <c r="E505"/>
  <c r="BT504"/>
  <c r="BS504"/>
  <c r="BR504"/>
  <c r="BQ504"/>
  <c r="BP504"/>
  <c r="BO504"/>
  <c r="BN504"/>
  <c r="BM504"/>
  <c r="BL504"/>
  <c r="BK504"/>
  <c r="BJ504"/>
  <c r="BI504"/>
  <c r="BH504"/>
  <c r="BG504"/>
  <c r="BF504"/>
  <c r="BE504"/>
  <c r="BD504"/>
  <c r="BC504"/>
  <c r="BB504"/>
  <c r="BA504"/>
  <c r="AZ504"/>
  <c r="AY504"/>
  <c r="AX504"/>
  <c r="AW504"/>
  <c r="AV504"/>
  <c r="AC504"/>
  <c r="H504"/>
  <c r="G504"/>
  <c r="E504"/>
  <c r="BT503"/>
  <c r="BS503"/>
  <c r="BR503"/>
  <c r="BQ503"/>
  <c r="BP503"/>
  <c r="BO503"/>
  <c r="BN503"/>
  <c r="BM503"/>
  <c r="BL503"/>
  <c r="BK503"/>
  <c r="BJ503"/>
  <c r="BI503"/>
  <c r="BH503"/>
  <c r="BG503"/>
  <c r="BF503"/>
  <c r="BE503"/>
  <c r="BD503"/>
  <c r="BC503"/>
  <c r="BB503"/>
  <c r="BA503"/>
  <c r="AZ503"/>
  <c r="AY503"/>
  <c r="AX503"/>
  <c r="AW503"/>
  <c r="AV503"/>
  <c r="AC503"/>
  <c r="H503"/>
  <c r="G503"/>
  <c r="E503"/>
  <c r="BT502"/>
  <c r="BS502"/>
  <c r="BR502"/>
  <c r="BQ502"/>
  <c r="BP502"/>
  <c r="BO502"/>
  <c r="BN502"/>
  <c r="BM502"/>
  <c r="BL502"/>
  <c r="BK502"/>
  <c r="BJ502"/>
  <c r="BI502"/>
  <c r="BH502"/>
  <c r="BG502"/>
  <c r="BF502"/>
  <c r="BE502"/>
  <c r="BD502"/>
  <c r="BC502"/>
  <c r="BB502"/>
  <c r="BA502"/>
  <c r="AZ502"/>
  <c r="AY502"/>
  <c r="AX502"/>
  <c r="AW502"/>
  <c r="AV502"/>
  <c r="AC502"/>
  <c r="H502"/>
  <c r="G502"/>
  <c r="E502"/>
  <c r="BT501"/>
  <c r="BS501"/>
  <c r="BR501"/>
  <c r="BQ501"/>
  <c r="BP501"/>
  <c r="BO501"/>
  <c r="BN501"/>
  <c r="BM501"/>
  <c r="BL501"/>
  <c r="BK501"/>
  <c r="BJ501"/>
  <c r="BI501"/>
  <c r="BH501"/>
  <c r="BG501"/>
  <c r="BF501"/>
  <c r="BE501"/>
  <c r="BD501"/>
  <c r="BC501"/>
  <c r="BB501"/>
  <c r="BA501"/>
  <c r="AZ501"/>
  <c r="AY501"/>
  <c r="AX501"/>
  <c r="AW501"/>
  <c r="AV501"/>
  <c r="AC501"/>
  <c r="H501"/>
  <c r="G501"/>
  <c r="E501"/>
  <c r="BT500"/>
  <c r="BS500"/>
  <c r="BR500"/>
  <c r="BQ500"/>
  <c r="BP500"/>
  <c r="BO500"/>
  <c r="BN500"/>
  <c r="BM500"/>
  <c r="BL500"/>
  <c r="BK500"/>
  <c r="BJ500"/>
  <c r="BI500"/>
  <c r="BH500"/>
  <c r="BG500"/>
  <c r="BF500"/>
  <c r="BE500"/>
  <c r="BD500"/>
  <c r="BC500"/>
  <c r="BB500"/>
  <c r="BA500"/>
  <c r="AZ500"/>
  <c r="AY500"/>
  <c r="AX500"/>
  <c r="AW500"/>
  <c r="AV500"/>
  <c r="AC500"/>
  <c r="H500"/>
  <c r="G500"/>
  <c r="E500"/>
  <c r="BT499"/>
  <c r="BS499"/>
  <c r="BR499"/>
  <c r="BQ499"/>
  <c r="BP499"/>
  <c r="BO499"/>
  <c r="BN499"/>
  <c r="BM499"/>
  <c r="BL499"/>
  <c r="BK499"/>
  <c r="BJ499"/>
  <c r="BI499"/>
  <c r="BH499"/>
  <c r="BG499"/>
  <c r="BF499"/>
  <c r="BE499"/>
  <c r="BD499"/>
  <c r="BC499"/>
  <c r="BB499"/>
  <c r="BA499"/>
  <c r="AZ499"/>
  <c r="AY499"/>
  <c r="AX499"/>
  <c r="AW499"/>
  <c r="AV499"/>
  <c r="AC499"/>
  <c r="H499"/>
  <c r="G499"/>
  <c r="E499"/>
  <c r="BT498"/>
  <c r="BS498"/>
  <c r="BR498"/>
  <c r="BQ498"/>
  <c r="BP498"/>
  <c r="BO498"/>
  <c r="BN498"/>
  <c r="BM498"/>
  <c r="BL498"/>
  <c r="BK498"/>
  <c r="BJ498"/>
  <c r="BI498"/>
  <c r="BH498"/>
  <c r="BG498"/>
  <c r="BF498"/>
  <c r="BE498"/>
  <c r="BD498"/>
  <c r="BC498"/>
  <c r="BB498"/>
  <c r="BA498"/>
  <c r="AZ498"/>
  <c r="AY498"/>
  <c r="AX498"/>
  <c r="AW498"/>
  <c r="AV498"/>
  <c r="AC498"/>
  <c r="H498"/>
  <c r="G498"/>
  <c r="E498"/>
  <c r="BT497"/>
  <c r="BS497"/>
  <c r="BR497"/>
  <c r="BQ497"/>
  <c r="BP497"/>
  <c r="BO497"/>
  <c r="BN497"/>
  <c r="BM497"/>
  <c r="BL497"/>
  <c r="BK497"/>
  <c r="BJ497"/>
  <c r="BI497"/>
  <c r="BH497"/>
  <c r="BG497"/>
  <c r="BF497"/>
  <c r="BE497"/>
  <c r="BD497"/>
  <c r="BC497"/>
  <c r="BB497"/>
  <c r="BA497"/>
  <c r="AZ497"/>
  <c r="AY497"/>
  <c r="AX497"/>
  <c r="AW497"/>
  <c r="AV497"/>
  <c r="AC497"/>
  <c r="H497"/>
  <c r="G497"/>
  <c r="E497"/>
  <c r="BT496"/>
  <c r="BS496"/>
  <c r="BR496"/>
  <c r="BQ496"/>
  <c r="BP496"/>
  <c r="BO496"/>
  <c r="BN496"/>
  <c r="BM496"/>
  <c r="BL496"/>
  <c r="BK496"/>
  <c r="BJ496"/>
  <c r="BI496"/>
  <c r="BH496"/>
  <c r="BG496"/>
  <c r="BF496"/>
  <c r="BE496"/>
  <c r="BD496"/>
  <c r="BC496"/>
  <c r="BB496"/>
  <c r="BA496"/>
  <c r="AZ496"/>
  <c r="AY496"/>
  <c r="AX496"/>
  <c r="AW496"/>
  <c r="AV496"/>
  <c r="AC496"/>
  <c r="H496"/>
  <c r="G496"/>
  <c r="E496"/>
  <c r="BT495"/>
  <c r="BS495"/>
  <c r="BR495"/>
  <c r="BQ495"/>
  <c r="BP495"/>
  <c r="BO495"/>
  <c r="BN495"/>
  <c r="BM495"/>
  <c r="BL495"/>
  <c r="BK495"/>
  <c r="BJ495"/>
  <c r="BI495"/>
  <c r="BH495"/>
  <c r="BG495"/>
  <c r="BF495"/>
  <c r="BE495"/>
  <c r="BD495"/>
  <c r="BC495"/>
  <c r="BB495"/>
  <c r="BA495"/>
  <c r="AZ495"/>
  <c r="AY495"/>
  <c r="AX495"/>
  <c r="AW495"/>
  <c r="AV495"/>
  <c r="AC495"/>
  <c r="H495"/>
  <c r="G495"/>
  <c r="E495"/>
  <c r="BT494"/>
  <c r="BS494"/>
  <c r="BR494"/>
  <c r="BQ494"/>
  <c r="BP494"/>
  <c r="BO494"/>
  <c r="BN494"/>
  <c r="BM494"/>
  <c r="BL494"/>
  <c r="BK494"/>
  <c r="BJ494"/>
  <c r="BI494"/>
  <c r="BH494"/>
  <c r="BG494"/>
  <c r="BF494"/>
  <c r="BE494"/>
  <c r="BD494"/>
  <c r="BC494"/>
  <c r="BB494"/>
  <c r="BA494"/>
  <c r="AZ494"/>
  <c r="AY494"/>
  <c r="AX494"/>
  <c r="AW494"/>
  <c r="AV494"/>
  <c r="AC494"/>
  <c r="H494"/>
  <c r="G494"/>
  <c r="E494"/>
  <c r="BT493"/>
  <c r="BS493"/>
  <c r="BR493"/>
  <c r="BQ493"/>
  <c r="BP493"/>
  <c r="BO493"/>
  <c r="BN493"/>
  <c r="BM493"/>
  <c r="BL493"/>
  <c r="BK493"/>
  <c r="BJ493"/>
  <c r="BI493"/>
  <c r="BH493"/>
  <c r="BG493"/>
  <c r="BF493"/>
  <c r="BE493"/>
  <c r="BD493"/>
  <c r="BC493"/>
  <c r="BB493"/>
  <c r="BA493"/>
  <c r="AZ493"/>
  <c r="AY493"/>
  <c r="AX493"/>
  <c r="AW493"/>
  <c r="AV493"/>
  <c r="AC493"/>
  <c r="H493"/>
  <c r="G493"/>
  <c r="E493"/>
  <c r="BT492"/>
  <c r="BS492"/>
  <c r="BR492"/>
  <c r="BQ492"/>
  <c r="BP492"/>
  <c r="BO492"/>
  <c r="BN492"/>
  <c r="BM492"/>
  <c r="BL492"/>
  <c r="BK492"/>
  <c r="BJ492"/>
  <c r="BI492"/>
  <c r="BH492"/>
  <c r="BG492"/>
  <c r="BF492"/>
  <c r="BE492"/>
  <c r="BD492"/>
  <c r="BC492"/>
  <c r="BB492"/>
  <c r="BA492"/>
  <c r="AZ492"/>
  <c r="AY492"/>
  <c r="AX492"/>
  <c r="AW492"/>
  <c r="AV492"/>
  <c r="AC492"/>
  <c r="H492"/>
  <c r="G492"/>
  <c r="E492"/>
  <c r="BT491"/>
  <c r="BS491"/>
  <c r="BR491"/>
  <c r="BQ491"/>
  <c r="BP491"/>
  <c r="BO491"/>
  <c r="BN491"/>
  <c r="BM491"/>
  <c r="BL491"/>
  <c r="BK491"/>
  <c r="BJ491"/>
  <c r="BI491"/>
  <c r="BH491"/>
  <c r="BG491"/>
  <c r="BF491"/>
  <c r="BE491"/>
  <c r="BD491"/>
  <c r="BC491"/>
  <c r="BB491"/>
  <c r="BA491"/>
  <c r="AZ491"/>
  <c r="AY491"/>
  <c r="AX491"/>
  <c r="AW491"/>
  <c r="AV491"/>
  <c r="AC491"/>
  <c r="H491"/>
  <c r="G491"/>
  <c r="E491"/>
  <c r="BT490"/>
  <c r="BS490"/>
  <c r="BR490"/>
  <c r="BQ490"/>
  <c r="BP490"/>
  <c r="BO490"/>
  <c r="BN490"/>
  <c r="BM490"/>
  <c r="BL490"/>
  <c r="BK490"/>
  <c r="BJ490"/>
  <c r="BI490"/>
  <c r="BH490"/>
  <c r="BG490"/>
  <c r="BF490"/>
  <c r="BE490"/>
  <c r="BD490"/>
  <c r="BC490"/>
  <c r="BB490"/>
  <c r="BA490"/>
  <c r="AZ490"/>
  <c r="AY490"/>
  <c r="AX490"/>
  <c r="AW490"/>
  <c r="AV490"/>
  <c r="AC490"/>
  <c r="H490"/>
  <c r="G490"/>
  <c r="E490"/>
  <c r="BT489"/>
  <c r="BS489"/>
  <c r="BR489"/>
  <c r="BQ489"/>
  <c r="BP489"/>
  <c r="BO489"/>
  <c r="BN489"/>
  <c r="BM489"/>
  <c r="BL489"/>
  <c r="BK489"/>
  <c r="BJ489"/>
  <c r="BI489"/>
  <c r="BH489"/>
  <c r="BG489"/>
  <c r="BF489"/>
  <c r="BE489"/>
  <c r="BD489"/>
  <c r="BC489"/>
  <c r="BB489"/>
  <c r="BA489"/>
  <c r="AZ489"/>
  <c r="AY489"/>
  <c r="AX489"/>
  <c r="AW489"/>
  <c r="AV489"/>
  <c r="AC489"/>
  <c r="H489"/>
  <c r="G489"/>
  <c r="E489"/>
  <c r="BT488"/>
  <c r="BS488"/>
  <c r="BR488"/>
  <c r="BQ488"/>
  <c r="BP488"/>
  <c r="BO488"/>
  <c r="BN488"/>
  <c r="BM488"/>
  <c r="BL488"/>
  <c r="BK488"/>
  <c r="BJ488"/>
  <c r="BI488"/>
  <c r="BH488"/>
  <c r="BG488"/>
  <c r="BF488"/>
  <c r="BE488"/>
  <c r="BD488"/>
  <c r="BC488"/>
  <c r="BB488"/>
  <c r="BA488"/>
  <c r="AZ488"/>
  <c r="AY488"/>
  <c r="AX488"/>
  <c r="AW488"/>
  <c r="AV488"/>
  <c r="AC488"/>
  <c r="H488"/>
  <c r="G488"/>
  <c r="E488"/>
  <c r="BT487"/>
  <c r="BS487"/>
  <c r="BR487"/>
  <c r="BQ487"/>
  <c r="BP487"/>
  <c r="BO487"/>
  <c r="BN487"/>
  <c r="BM487"/>
  <c r="BL487"/>
  <c r="BK487"/>
  <c r="BJ487"/>
  <c r="BI487"/>
  <c r="BH487"/>
  <c r="BG487"/>
  <c r="BF487"/>
  <c r="BE487"/>
  <c r="BD487"/>
  <c r="BC487"/>
  <c r="BB487"/>
  <c r="BA487"/>
  <c r="AZ487"/>
  <c r="AY487"/>
  <c r="AX487"/>
  <c r="AW487"/>
  <c r="AV487"/>
  <c r="AC487"/>
  <c r="H487"/>
  <c r="G487"/>
  <c r="E487"/>
  <c r="BT486"/>
  <c r="BS486"/>
  <c r="BR486"/>
  <c r="BQ486"/>
  <c r="BP486"/>
  <c r="BO486"/>
  <c r="BN486"/>
  <c r="BM486"/>
  <c r="BL486"/>
  <c r="BK486"/>
  <c r="BJ486"/>
  <c r="BI486"/>
  <c r="BH486"/>
  <c r="BG486"/>
  <c r="BF486"/>
  <c r="BE486"/>
  <c r="BD486"/>
  <c r="BC486"/>
  <c r="BB486"/>
  <c r="BA486"/>
  <c r="AZ486"/>
  <c r="AY486"/>
  <c r="AX486"/>
  <c r="AW486"/>
  <c r="AV486"/>
  <c r="AC486"/>
  <c r="H486"/>
  <c r="G486"/>
  <c r="E486"/>
  <c r="BT485"/>
  <c r="BS485"/>
  <c r="BR485"/>
  <c r="BQ485"/>
  <c r="BP485"/>
  <c r="BO485"/>
  <c r="BN485"/>
  <c r="BM485"/>
  <c r="BL485"/>
  <c r="BK485"/>
  <c r="BJ485"/>
  <c r="BI485"/>
  <c r="BH485"/>
  <c r="BG485"/>
  <c r="BF485"/>
  <c r="BE485"/>
  <c r="BD485"/>
  <c r="BC485"/>
  <c r="BB485"/>
  <c r="BA485"/>
  <c r="AZ485"/>
  <c r="AY485"/>
  <c r="AX485"/>
  <c r="AW485"/>
  <c r="AV485"/>
  <c r="AC485"/>
  <c r="H485"/>
  <c r="G485"/>
  <c r="E485"/>
  <c r="BT484"/>
  <c r="BS484"/>
  <c r="BR484"/>
  <c r="BQ484"/>
  <c r="BP484"/>
  <c r="BO484"/>
  <c r="BN484"/>
  <c r="BM484"/>
  <c r="BL484"/>
  <c r="BK484"/>
  <c r="BJ484"/>
  <c r="BI484"/>
  <c r="BH484"/>
  <c r="BG484"/>
  <c r="BF484"/>
  <c r="BE484"/>
  <c r="BD484"/>
  <c r="BC484"/>
  <c r="BB484"/>
  <c r="BA484"/>
  <c r="AZ484"/>
  <c r="AY484"/>
  <c r="AX484"/>
  <c r="AW484"/>
  <c r="AV484"/>
  <c r="AC484"/>
  <c r="H484"/>
  <c r="G484"/>
  <c r="E484"/>
  <c r="BT483"/>
  <c r="BS483"/>
  <c r="BR483"/>
  <c r="BQ483"/>
  <c r="BP483"/>
  <c r="BO483"/>
  <c r="BN483"/>
  <c r="BM483"/>
  <c r="BL483"/>
  <c r="BK483"/>
  <c r="BJ483"/>
  <c r="BI483"/>
  <c r="BH483"/>
  <c r="BG483"/>
  <c r="BF483"/>
  <c r="BE483"/>
  <c r="BD483"/>
  <c r="BC483"/>
  <c r="BB483"/>
  <c r="BA483"/>
  <c r="AZ483"/>
  <c r="AY483"/>
  <c r="AX483"/>
  <c r="AW483"/>
  <c r="AV483"/>
  <c r="AC483"/>
  <c r="H483"/>
  <c r="G483"/>
  <c r="E483"/>
  <c r="BT482"/>
  <c r="BS482"/>
  <c r="BR482"/>
  <c r="BQ482"/>
  <c r="BP482"/>
  <c r="BO482"/>
  <c r="BN482"/>
  <c r="BM482"/>
  <c r="BL482"/>
  <c r="BK482"/>
  <c r="BJ482"/>
  <c r="BI482"/>
  <c r="BH482"/>
  <c r="BG482"/>
  <c r="BF482"/>
  <c r="BE482"/>
  <c r="BD482"/>
  <c r="BC482"/>
  <c r="BB482"/>
  <c r="BA482"/>
  <c r="AZ482"/>
  <c r="AY482"/>
  <c r="AX482"/>
  <c r="AW482"/>
  <c r="AV482"/>
  <c r="AC482"/>
  <c r="H482"/>
  <c r="G482"/>
  <c r="E482"/>
  <c r="BT481"/>
  <c r="BS481"/>
  <c r="BR481"/>
  <c r="BQ481"/>
  <c r="BP481"/>
  <c r="BO481"/>
  <c r="BN481"/>
  <c r="BM481"/>
  <c r="BL481"/>
  <c r="BK481"/>
  <c r="BJ481"/>
  <c r="BI481"/>
  <c r="BH481"/>
  <c r="BG481"/>
  <c r="BF481"/>
  <c r="BE481"/>
  <c r="BD481"/>
  <c r="BC481"/>
  <c r="BB481"/>
  <c r="BA481"/>
  <c r="AZ481"/>
  <c r="AY481"/>
  <c r="AX481"/>
  <c r="AW481"/>
  <c r="AV481"/>
  <c r="AC481"/>
  <c r="H481"/>
  <c r="G481"/>
  <c r="E481"/>
  <c r="BT480"/>
  <c r="BS480"/>
  <c r="BR480"/>
  <c r="BQ480"/>
  <c r="BP480"/>
  <c r="BO480"/>
  <c r="BN480"/>
  <c r="BM480"/>
  <c r="BL480"/>
  <c r="BK480"/>
  <c r="BJ480"/>
  <c r="BI480"/>
  <c r="BH480"/>
  <c r="BG480"/>
  <c r="BF480"/>
  <c r="BE480"/>
  <c r="BD480"/>
  <c r="BC480"/>
  <c r="BB480"/>
  <c r="BA480"/>
  <c r="AZ480"/>
  <c r="AY480"/>
  <c r="AX480"/>
  <c r="AW480"/>
  <c r="AV480"/>
  <c r="AC480"/>
  <c r="H480"/>
  <c r="G480"/>
  <c r="E480"/>
  <c r="BT479"/>
  <c r="BS479"/>
  <c r="BR479"/>
  <c r="BQ479"/>
  <c r="BP479"/>
  <c r="BO479"/>
  <c r="BN479"/>
  <c r="BM479"/>
  <c r="BL479"/>
  <c r="BK479"/>
  <c r="BJ479"/>
  <c r="BI479"/>
  <c r="BH479"/>
  <c r="BG479"/>
  <c r="BF479"/>
  <c r="BE479"/>
  <c r="BD479"/>
  <c r="BC479"/>
  <c r="BB479"/>
  <c r="BA479"/>
  <c r="AZ479"/>
  <c r="AY479"/>
  <c r="AX479"/>
  <c r="AW479"/>
  <c r="AV479"/>
  <c r="AC479"/>
  <c r="H479"/>
  <c r="G479"/>
  <c r="E479"/>
  <c r="BT478"/>
  <c r="BS478"/>
  <c r="BR478"/>
  <c r="BQ478"/>
  <c r="BP478"/>
  <c r="BO478"/>
  <c r="BN478"/>
  <c r="BM478"/>
  <c r="BL478"/>
  <c r="BK478"/>
  <c r="BJ478"/>
  <c r="BI478"/>
  <c r="BH478"/>
  <c r="BG478"/>
  <c r="BF478"/>
  <c r="BE478"/>
  <c r="BD478"/>
  <c r="BC478"/>
  <c r="BB478"/>
  <c r="BA478"/>
  <c r="AZ478"/>
  <c r="AY478"/>
  <c r="AX478"/>
  <c r="AW478"/>
  <c r="AV478"/>
  <c r="AC478"/>
  <c r="H478"/>
  <c r="G478"/>
  <c r="E478"/>
  <c r="BT477"/>
  <c r="BS477"/>
  <c r="BR477"/>
  <c r="BQ477"/>
  <c r="BP477"/>
  <c r="BO477"/>
  <c r="BN477"/>
  <c r="BM477"/>
  <c r="BL477"/>
  <c r="BK477"/>
  <c r="BJ477"/>
  <c r="BI477"/>
  <c r="BH477"/>
  <c r="BG477"/>
  <c r="BF477"/>
  <c r="BE477"/>
  <c r="BD477"/>
  <c r="BC477"/>
  <c r="BB477"/>
  <c r="BA477"/>
  <c r="AZ477"/>
  <c r="AY477"/>
  <c r="AX477"/>
  <c r="AW477"/>
  <c r="AV477"/>
  <c r="AC477"/>
  <c r="H477"/>
  <c r="G477"/>
  <c r="E477"/>
  <c r="BT476"/>
  <c r="BS476"/>
  <c r="BR476"/>
  <c r="BQ476"/>
  <c r="BP476"/>
  <c r="BO476"/>
  <c r="BN476"/>
  <c r="BM476"/>
  <c r="BL476"/>
  <c r="BK476"/>
  <c r="BJ476"/>
  <c r="BI476"/>
  <c r="BH476"/>
  <c r="BG476"/>
  <c r="BF476"/>
  <c r="BE476"/>
  <c r="BD476"/>
  <c r="BC476"/>
  <c r="BB476"/>
  <c r="BA476"/>
  <c r="AZ476"/>
  <c r="AY476"/>
  <c r="AX476"/>
  <c r="AW476"/>
  <c r="AV476"/>
  <c r="AC476"/>
  <c r="H476"/>
  <c r="G476"/>
  <c r="E476"/>
  <c r="BT475"/>
  <c r="BS475"/>
  <c r="BR475"/>
  <c r="BQ475"/>
  <c r="BP475"/>
  <c r="BO475"/>
  <c r="BN475"/>
  <c r="BM475"/>
  <c r="BL475"/>
  <c r="BK475"/>
  <c r="BJ475"/>
  <c r="BI475"/>
  <c r="BH475"/>
  <c r="BG475"/>
  <c r="BF475"/>
  <c r="BE475"/>
  <c r="BD475"/>
  <c r="BC475"/>
  <c r="BB475"/>
  <c r="BA475"/>
  <c r="AZ475"/>
  <c r="AY475"/>
  <c r="AX475"/>
  <c r="AW475"/>
  <c r="AV475"/>
  <c r="AC475"/>
  <c r="H475"/>
  <c r="G475"/>
  <c r="E475"/>
  <c r="BT474"/>
  <c r="BS474"/>
  <c r="BR474"/>
  <c r="BQ474"/>
  <c r="BP474"/>
  <c r="BO474"/>
  <c r="BN474"/>
  <c r="BM474"/>
  <c r="BL474"/>
  <c r="BK474"/>
  <c r="BJ474"/>
  <c r="BI474"/>
  <c r="BH474"/>
  <c r="BG474"/>
  <c r="BF474"/>
  <c r="BE474"/>
  <c r="BD474"/>
  <c r="BC474"/>
  <c r="BB474"/>
  <c r="BA474"/>
  <c r="AZ474"/>
  <c r="AY474"/>
  <c r="AX474"/>
  <c r="AW474"/>
  <c r="AV474"/>
  <c r="AC474"/>
  <c r="H474"/>
  <c r="G474"/>
  <c r="E474"/>
  <c r="BT473"/>
  <c r="BS473"/>
  <c r="BR473"/>
  <c r="BQ473"/>
  <c r="BP473"/>
  <c r="BO473"/>
  <c r="BN473"/>
  <c r="BM473"/>
  <c r="BL473"/>
  <c r="BK473"/>
  <c r="BJ473"/>
  <c r="BI473"/>
  <c r="BH473"/>
  <c r="BG473"/>
  <c r="BF473"/>
  <c r="BE473"/>
  <c r="BD473"/>
  <c r="BC473"/>
  <c r="BB473"/>
  <c r="BA473"/>
  <c r="AZ473"/>
  <c r="AY473"/>
  <c r="AX473"/>
  <c r="AW473"/>
  <c r="AV473"/>
  <c r="AC473"/>
  <c r="H473"/>
  <c r="G473"/>
  <c r="E473"/>
  <c r="BT472"/>
  <c r="BS472"/>
  <c r="BR472"/>
  <c r="BQ472"/>
  <c r="BP472"/>
  <c r="BO472"/>
  <c r="BN472"/>
  <c r="BM472"/>
  <c r="BL472"/>
  <c r="BK472"/>
  <c r="BJ472"/>
  <c r="BI472"/>
  <c r="BH472"/>
  <c r="BG472"/>
  <c r="BF472"/>
  <c r="BE472"/>
  <c r="BD472"/>
  <c r="BC472"/>
  <c r="BB472"/>
  <c r="BA472"/>
  <c r="AZ472"/>
  <c r="AY472"/>
  <c r="AX472"/>
  <c r="AW472"/>
  <c r="AV472"/>
  <c r="AC472"/>
  <c r="H472"/>
  <c r="G472"/>
  <c r="E472"/>
  <c r="BT471"/>
  <c r="BS471"/>
  <c r="BR471"/>
  <c r="BQ471"/>
  <c r="BP471"/>
  <c r="BO471"/>
  <c r="BN471"/>
  <c r="BM471"/>
  <c r="BL471"/>
  <c r="BK471"/>
  <c r="BJ471"/>
  <c r="BI471"/>
  <c r="BH471"/>
  <c r="BG471"/>
  <c r="BF471"/>
  <c r="BE471"/>
  <c r="BD471"/>
  <c r="BC471"/>
  <c r="BB471"/>
  <c r="BA471"/>
  <c r="AZ471"/>
  <c r="AY471"/>
  <c r="AX471"/>
  <c r="AW471"/>
  <c r="AV471"/>
  <c r="AC471"/>
  <c r="H471"/>
  <c r="G471"/>
  <c r="E471"/>
  <c r="BT470"/>
  <c r="BS470"/>
  <c r="BR470"/>
  <c r="BQ470"/>
  <c r="BP470"/>
  <c r="BO470"/>
  <c r="BN470"/>
  <c r="BM470"/>
  <c r="BL470"/>
  <c r="BK470"/>
  <c r="BJ470"/>
  <c r="BI470"/>
  <c r="BH470"/>
  <c r="BG470"/>
  <c r="BF470"/>
  <c r="BE470"/>
  <c r="BD470"/>
  <c r="BC470"/>
  <c r="BB470"/>
  <c r="BA470"/>
  <c r="AZ470"/>
  <c r="AY470"/>
  <c r="AX470"/>
  <c r="AW470"/>
  <c r="AV470"/>
  <c r="AC470"/>
  <c r="H470"/>
  <c r="G470"/>
  <c r="E470"/>
  <c r="BT469"/>
  <c r="BS469"/>
  <c r="BR469"/>
  <c r="BQ469"/>
  <c r="BP469"/>
  <c r="BO469"/>
  <c r="BN469"/>
  <c r="BM469"/>
  <c r="BL469"/>
  <c r="BK469"/>
  <c r="BJ469"/>
  <c r="BI469"/>
  <c r="BH469"/>
  <c r="BG469"/>
  <c r="BF469"/>
  <c r="BE469"/>
  <c r="BD469"/>
  <c r="BC469"/>
  <c r="BB469"/>
  <c r="BA469"/>
  <c r="AZ469"/>
  <c r="AY469"/>
  <c r="AX469"/>
  <c r="AW469"/>
  <c r="AV469"/>
  <c r="AC469"/>
  <c r="H469"/>
  <c r="G469"/>
  <c r="E469"/>
  <c r="BT468"/>
  <c r="BS468"/>
  <c r="BR468"/>
  <c r="BQ468"/>
  <c r="BP468"/>
  <c r="BO468"/>
  <c r="BN468"/>
  <c r="BM468"/>
  <c r="BL468"/>
  <c r="BK468"/>
  <c r="BJ468"/>
  <c r="BI468"/>
  <c r="BH468"/>
  <c r="BG468"/>
  <c r="BF468"/>
  <c r="BE468"/>
  <c r="BD468"/>
  <c r="BC468"/>
  <c r="BB468"/>
  <c r="BA468"/>
  <c r="AZ468"/>
  <c r="AY468"/>
  <c r="AX468"/>
  <c r="AW468"/>
  <c r="AV468"/>
  <c r="AC468"/>
  <c r="H468"/>
  <c r="G468"/>
  <c r="E468"/>
  <c r="BT467"/>
  <c r="BS467"/>
  <c r="BR467"/>
  <c r="BQ467"/>
  <c r="BP467"/>
  <c r="BO467"/>
  <c r="BN467"/>
  <c r="BM467"/>
  <c r="BL467"/>
  <c r="BK467"/>
  <c r="BJ467"/>
  <c r="BI467"/>
  <c r="BH467"/>
  <c r="BG467"/>
  <c r="BF467"/>
  <c r="BE467"/>
  <c r="BD467"/>
  <c r="BC467"/>
  <c r="BB467"/>
  <c r="BA467"/>
  <c r="AZ467"/>
  <c r="AY467"/>
  <c r="AX467"/>
  <c r="AW467"/>
  <c r="AV467"/>
  <c r="AC467"/>
  <c r="H467"/>
  <c r="G467"/>
  <c r="E467"/>
  <c r="BT466"/>
  <c r="BS466"/>
  <c r="BR466"/>
  <c r="BQ466"/>
  <c r="BP466"/>
  <c r="BO466"/>
  <c r="BN466"/>
  <c r="BM466"/>
  <c r="BL466"/>
  <c r="BK466"/>
  <c r="BJ466"/>
  <c r="BI466"/>
  <c r="BH466"/>
  <c r="BG466"/>
  <c r="BF466"/>
  <c r="BE466"/>
  <c r="BD466"/>
  <c r="BC466"/>
  <c r="BB466"/>
  <c r="BA466"/>
  <c r="AZ466"/>
  <c r="AY466"/>
  <c r="AX466"/>
  <c r="AW466"/>
  <c r="AV466"/>
  <c r="AC466"/>
  <c r="H466"/>
  <c r="G466"/>
  <c r="E466"/>
  <c r="BT465"/>
  <c r="BS465"/>
  <c r="BR465"/>
  <c r="BQ465"/>
  <c r="BP465"/>
  <c r="BO465"/>
  <c r="BN465"/>
  <c r="BM465"/>
  <c r="BL465"/>
  <c r="BK465"/>
  <c r="BJ465"/>
  <c r="BI465"/>
  <c r="BH465"/>
  <c r="BG465"/>
  <c r="BF465"/>
  <c r="BE465"/>
  <c r="BD465"/>
  <c r="BC465"/>
  <c r="BB465"/>
  <c r="BA465"/>
  <c r="AZ465"/>
  <c r="AY465"/>
  <c r="AX465"/>
  <c r="AW465"/>
  <c r="AV465"/>
  <c r="AC465"/>
  <c r="H465"/>
  <c r="G465"/>
  <c r="E465"/>
  <c r="BT464"/>
  <c r="BS464"/>
  <c r="BR464"/>
  <c r="BQ464"/>
  <c r="BP464"/>
  <c r="BO464"/>
  <c r="BN464"/>
  <c r="BM464"/>
  <c r="BL464"/>
  <c r="BK464"/>
  <c r="BJ464"/>
  <c r="BI464"/>
  <c r="BH464"/>
  <c r="BG464"/>
  <c r="BF464"/>
  <c r="BE464"/>
  <c r="BD464"/>
  <c r="BC464"/>
  <c r="BB464"/>
  <c r="BA464"/>
  <c r="AZ464"/>
  <c r="AY464"/>
  <c r="AX464"/>
  <c r="AW464"/>
  <c r="AV464"/>
  <c r="AC464"/>
  <c r="H464"/>
  <c r="G464"/>
  <c r="E464"/>
  <c r="BT463"/>
  <c r="BS463"/>
  <c r="BR463"/>
  <c r="BQ463"/>
  <c r="BP463"/>
  <c r="BO463"/>
  <c r="BN463"/>
  <c r="BM463"/>
  <c r="BL463"/>
  <c r="BK463"/>
  <c r="BJ463"/>
  <c r="BI463"/>
  <c r="BH463"/>
  <c r="BG463"/>
  <c r="BF463"/>
  <c r="BE463"/>
  <c r="BD463"/>
  <c r="BC463"/>
  <c r="BB463"/>
  <c r="BA463"/>
  <c r="AZ463"/>
  <c r="AY463"/>
  <c r="AX463"/>
  <c r="AW463"/>
  <c r="AV463"/>
  <c r="AC463"/>
  <c r="H463"/>
  <c r="G463"/>
  <c r="E463"/>
  <c r="BT462"/>
  <c r="BS462"/>
  <c r="BR462"/>
  <c r="BQ462"/>
  <c r="BP462"/>
  <c r="BO462"/>
  <c r="BN462"/>
  <c r="BM462"/>
  <c r="BL462"/>
  <c r="BK462"/>
  <c r="BJ462"/>
  <c r="BI462"/>
  <c r="BH462"/>
  <c r="BG462"/>
  <c r="BF462"/>
  <c r="BE462"/>
  <c r="BD462"/>
  <c r="BC462"/>
  <c r="BB462"/>
  <c r="BA462"/>
  <c r="AZ462"/>
  <c r="AY462"/>
  <c r="AX462"/>
  <c r="AW462"/>
  <c r="AV462"/>
  <c r="AC462"/>
  <c r="H462"/>
  <c r="G462"/>
  <c r="E462"/>
  <c r="BT461"/>
  <c r="BS461"/>
  <c r="BR461"/>
  <c r="BQ461"/>
  <c r="BP461"/>
  <c r="BO461"/>
  <c r="BN461"/>
  <c r="BM461"/>
  <c r="BL461"/>
  <c r="BK461"/>
  <c r="BJ461"/>
  <c r="BI461"/>
  <c r="BH461"/>
  <c r="BG461"/>
  <c r="BF461"/>
  <c r="BE461"/>
  <c r="BD461"/>
  <c r="BC461"/>
  <c r="BB461"/>
  <c r="BA461"/>
  <c r="AZ461"/>
  <c r="AY461"/>
  <c r="AX461"/>
  <c r="AW461"/>
  <c r="AV461"/>
  <c r="AC461"/>
  <c r="H461"/>
  <c r="G461"/>
  <c r="E461"/>
  <c r="BT460"/>
  <c r="BS460"/>
  <c r="BR460"/>
  <c r="BQ460"/>
  <c r="BP460"/>
  <c r="BO460"/>
  <c r="BN460"/>
  <c r="BM460"/>
  <c r="BL460"/>
  <c r="BK460"/>
  <c r="BJ460"/>
  <c r="BI460"/>
  <c r="BH460"/>
  <c r="BG460"/>
  <c r="BF460"/>
  <c r="BE460"/>
  <c r="BD460"/>
  <c r="BC460"/>
  <c r="BB460"/>
  <c r="BA460"/>
  <c r="AZ460"/>
  <c r="AY460"/>
  <c r="AX460"/>
  <c r="AW460"/>
  <c r="AV460"/>
  <c r="AC460"/>
  <c r="H460"/>
  <c r="G460"/>
  <c r="E460"/>
  <c r="BT459"/>
  <c r="BS459"/>
  <c r="BR459"/>
  <c r="BQ459"/>
  <c r="BP459"/>
  <c r="BO459"/>
  <c r="BN459"/>
  <c r="BM459"/>
  <c r="BL459"/>
  <c r="BK459"/>
  <c r="BJ459"/>
  <c r="BI459"/>
  <c r="BH459"/>
  <c r="BG459"/>
  <c r="BF459"/>
  <c r="BE459"/>
  <c r="BD459"/>
  <c r="BC459"/>
  <c r="BB459"/>
  <c r="BA459"/>
  <c r="AZ459"/>
  <c r="AY459"/>
  <c r="AX459"/>
  <c r="AW459"/>
  <c r="AV459"/>
  <c r="AC459"/>
  <c r="H459"/>
  <c r="G459"/>
  <c r="E459"/>
  <c r="BT458"/>
  <c r="BS458"/>
  <c r="BR458"/>
  <c r="BQ458"/>
  <c r="BP458"/>
  <c r="BO458"/>
  <c r="BN458"/>
  <c r="BM458"/>
  <c r="BL458"/>
  <c r="BK458"/>
  <c r="BJ458"/>
  <c r="BI458"/>
  <c r="BH458"/>
  <c r="BG458"/>
  <c r="BF458"/>
  <c r="BE458"/>
  <c r="BD458"/>
  <c r="BC458"/>
  <c r="BB458"/>
  <c r="BA458"/>
  <c r="AZ458"/>
  <c r="AY458"/>
  <c r="AX458"/>
  <c r="AW458"/>
  <c r="AV458"/>
  <c r="AC458"/>
  <c r="H458"/>
  <c r="G458"/>
  <c r="E458"/>
  <c r="BT457"/>
  <c r="BS457"/>
  <c r="BR457"/>
  <c r="BQ457"/>
  <c r="BP457"/>
  <c r="BO457"/>
  <c r="BN457"/>
  <c r="BM457"/>
  <c r="BL457"/>
  <c r="BK457"/>
  <c r="BJ457"/>
  <c r="BI457"/>
  <c r="BH457"/>
  <c r="BG457"/>
  <c r="BF457"/>
  <c r="BE457"/>
  <c r="BD457"/>
  <c r="BC457"/>
  <c r="BB457"/>
  <c r="BA457"/>
  <c r="AZ457"/>
  <c r="AY457"/>
  <c r="AX457"/>
  <c r="AW457"/>
  <c r="AV457"/>
  <c r="AC457"/>
  <c r="H457"/>
  <c r="G457"/>
  <c r="E457"/>
  <c r="BT456"/>
  <c r="BS456"/>
  <c r="BR456"/>
  <c r="BQ456"/>
  <c r="BP456"/>
  <c r="BO456"/>
  <c r="BN456"/>
  <c r="BM456"/>
  <c r="BL456"/>
  <c r="BK456"/>
  <c r="BJ456"/>
  <c r="BI456"/>
  <c r="BH456"/>
  <c r="BG456"/>
  <c r="BF456"/>
  <c r="BE456"/>
  <c r="BD456"/>
  <c r="BC456"/>
  <c r="BB456"/>
  <c r="BA456"/>
  <c r="AZ456"/>
  <c r="AY456"/>
  <c r="AX456"/>
  <c r="AW456"/>
  <c r="AV456"/>
  <c r="AC456"/>
  <c r="H456"/>
  <c r="G456"/>
  <c r="E456"/>
  <c r="BT455"/>
  <c r="BS455"/>
  <c r="BR455"/>
  <c r="BQ455"/>
  <c r="BP455"/>
  <c r="BO455"/>
  <c r="BN455"/>
  <c r="BM455"/>
  <c r="BL455"/>
  <c r="BK455"/>
  <c r="BJ455"/>
  <c r="BI455"/>
  <c r="BH455"/>
  <c r="BG455"/>
  <c r="BF455"/>
  <c r="BE455"/>
  <c r="BD455"/>
  <c r="BC455"/>
  <c r="BB455"/>
  <c r="BA455"/>
  <c r="AZ455"/>
  <c r="AY455"/>
  <c r="AX455"/>
  <c r="AW455"/>
  <c r="AV455"/>
  <c r="AC455"/>
  <c r="H455"/>
  <c r="G455"/>
  <c r="E455"/>
  <c r="BT454"/>
  <c r="BS454"/>
  <c r="BR454"/>
  <c r="BQ454"/>
  <c r="BP454"/>
  <c r="BO454"/>
  <c r="BN454"/>
  <c r="BM454"/>
  <c r="BL454"/>
  <c r="BK454"/>
  <c r="BJ454"/>
  <c r="BI454"/>
  <c r="BH454"/>
  <c r="BG454"/>
  <c r="BF454"/>
  <c r="BE454"/>
  <c r="BD454"/>
  <c r="BC454"/>
  <c r="BB454"/>
  <c r="BA454"/>
  <c r="AZ454"/>
  <c r="AY454"/>
  <c r="AX454"/>
  <c r="AW454"/>
  <c r="AV454"/>
  <c r="AC454"/>
  <c r="H454"/>
  <c r="G454"/>
  <c r="E454"/>
  <c r="BT453"/>
  <c r="BS453"/>
  <c r="BR453"/>
  <c r="BQ453"/>
  <c r="BP453"/>
  <c r="BO453"/>
  <c r="BN453"/>
  <c r="BM453"/>
  <c r="BL453"/>
  <c r="BK453"/>
  <c r="BJ453"/>
  <c r="BI453"/>
  <c r="BH453"/>
  <c r="BG453"/>
  <c r="BF453"/>
  <c r="BE453"/>
  <c r="BD453"/>
  <c r="BC453"/>
  <c r="BB453"/>
  <c r="BA453"/>
  <c r="AZ453"/>
  <c r="AY453"/>
  <c r="AX453"/>
  <c r="AW453"/>
  <c r="AV453"/>
  <c r="AC453"/>
  <c r="H453"/>
  <c r="G453"/>
  <c r="E453"/>
  <c r="BT452"/>
  <c r="BS452"/>
  <c r="BR452"/>
  <c r="BQ452"/>
  <c r="BP452"/>
  <c r="BO452"/>
  <c r="BN452"/>
  <c r="BM452"/>
  <c r="BL452"/>
  <c r="BK452"/>
  <c r="BJ452"/>
  <c r="BI452"/>
  <c r="BH452"/>
  <c r="BG452"/>
  <c r="BF452"/>
  <c r="BE452"/>
  <c r="BD452"/>
  <c r="BC452"/>
  <c r="BB452"/>
  <c r="BA452"/>
  <c r="AZ452"/>
  <c r="AY452"/>
  <c r="AX452"/>
  <c r="AW452"/>
  <c r="AV452"/>
  <c r="AC452"/>
  <c r="H452"/>
  <c r="G452"/>
  <c r="E452"/>
  <c r="BT451"/>
  <c r="BS451"/>
  <c r="BR451"/>
  <c r="BQ451"/>
  <c r="BP451"/>
  <c r="BO451"/>
  <c r="BN451"/>
  <c r="BM451"/>
  <c r="BL451"/>
  <c r="BK451"/>
  <c r="BJ451"/>
  <c r="BI451"/>
  <c r="BH451"/>
  <c r="BG451"/>
  <c r="BF451"/>
  <c r="BE451"/>
  <c r="BD451"/>
  <c r="BC451"/>
  <c r="BB451"/>
  <c r="BA451"/>
  <c r="AZ451"/>
  <c r="AY451"/>
  <c r="AX451"/>
  <c r="AW451"/>
  <c r="AV451"/>
  <c r="AC451"/>
  <c r="H451"/>
  <c r="G451"/>
  <c r="E451"/>
  <c r="BT450"/>
  <c r="BS450"/>
  <c r="BR450"/>
  <c r="BQ450"/>
  <c r="BP450"/>
  <c r="BO450"/>
  <c r="BN450"/>
  <c r="BM450"/>
  <c r="BL450"/>
  <c r="BK450"/>
  <c r="BJ450"/>
  <c r="BI450"/>
  <c r="BH450"/>
  <c r="BG450"/>
  <c r="BF450"/>
  <c r="BE450"/>
  <c r="BD450"/>
  <c r="BC450"/>
  <c r="BB450"/>
  <c r="BA450"/>
  <c r="AZ450"/>
  <c r="AY450"/>
  <c r="AX450"/>
  <c r="AW450"/>
  <c r="AV450"/>
  <c r="AC450"/>
  <c r="H450"/>
  <c r="G450"/>
  <c r="E450"/>
  <c r="BT449"/>
  <c r="BS449"/>
  <c r="BR449"/>
  <c r="BQ449"/>
  <c r="BP449"/>
  <c r="BO449"/>
  <c r="BN449"/>
  <c r="BM449"/>
  <c r="BL449"/>
  <c r="BK449"/>
  <c r="BJ449"/>
  <c r="BI449"/>
  <c r="BH449"/>
  <c r="BG449"/>
  <c r="BF449"/>
  <c r="BE449"/>
  <c r="BD449"/>
  <c r="BC449"/>
  <c r="BB449"/>
  <c r="BA449"/>
  <c r="AZ449"/>
  <c r="AY449"/>
  <c r="AX449"/>
  <c r="AW449"/>
  <c r="AV449"/>
  <c r="AC449"/>
  <c r="H449"/>
  <c r="G449"/>
  <c r="E449"/>
  <c r="BT448"/>
  <c r="BS448"/>
  <c r="BR448"/>
  <c r="BQ448"/>
  <c r="BP448"/>
  <c r="BO448"/>
  <c r="BN448"/>
  <c r="BM448"/>
  <c r="BL448"/>
  <c r="BK448"/>
  <c r="BJ448"/>
  <c r="BI448"/>
  <c r="BH448"/>
  <c r="BG448"/>
  <c r="BF448"/>
  <c r="BE448"/>
  <c r="BD448"/>
  <c r="BC448"/>
  <c r="BB448"/>
  <c r="BA448"/>
  <c r="AZ448"/>
  <c r="AY448"/>
  <c r="AX448"/>
  <c r="AW448"/>
  <c r="AV448"/>
  <c r="AC448"/>
  <c r="H448"/>
  <c r="G448"/>
  <c r="E448"/>
  <c r="BT447"/>
  <c r="BS447"/>
  <c r="BR447"/>
  <c r="BQ447"/>
  <c r="BP447"/>
  <c r="BO447"/>
  <c r="BN447"/>
  <c r="BM447"/>
  <c r="BL447"/>
  <c r="BK447"/>
  <c r="BJ447"/>
  <c r="BI447"/>
  <c r="BH447"/>
  <c r="BG447"/>
  <c r="BF447"/>
  <c r="BE447"/>
  <c r="BD447"/>
  <c r="BC447"/>
  <c r="BB447"/>
  <c r="BA447"/>
  <c r="AZ447"/>
  <c r="AY447"/>
  <c r="AX447"/>
  <c r="AW447"/>
  <c r="AV447"/>
  <c r="AC447"/>
  <c r="H447"/>
  <c r="G447"/>
  <c r="E447"/>
  <c r="BT446"/>
  <c r="BS446"/>
  <c r="BR446"/>
  <c r="BQ446"/>
  <c r="BP446"/>
  <c r="BO446"/>
  <c r="BN446"/>
  <c r="BM446"/>
  <c r="BL446"/>
  <c r="BK446"/>
  <c r="BJ446"/>
  <c r="BI446"/>
  <c r="BH446"/>
  <c r="BG446"/>
  <c r="BF446"/>
  <c r="BE446"/>
  <c r="BD446"/>
  <c r="BC446"/>
  <c r="BB446"/>
  <c r="BA446"/>
  <c r="AZ446"/>
  <c r="AY446"/>
  <c r="AX446"/>
  <c r="AW446"/>
  <c r="AV446"/>
  <c r="AC446"/>
  <c r="H446"/>
  <c r="G446"/>
  <c r="E446"/>
  <c r="BT445"/>
  <c r="BS445"/>
  <c r="BR445"/>
  <c r="BQ445"/>
  <c r="BP445"/>
  <c r="BO445"/>
  <c r="BN445"/>
  <c r="BM445"/>
  <c r="BL445"/>
  <c r="BK445"/>
  <c r="BJ445"/>
  <c r="BI445"/>
  <c r="BH445"/>
  <c r="BG445"/>
  <c r="BF445"/>
  <c r="BE445"/>
  <c r="BD445"/>
  <c r="BC445"/>
  <c r="BB445"/>
  <c r="BA445"/>
  <c r="AZ445"/>
  <c r="AY445"/>
  <c r="AX445"/>
  <c r="AW445"/>
  <c r="AV445"/>
  <c r="AC445"/>
  <c r="H445"/>
  <c r="G445"/>
  <c r="E445"/>
  <c r="BT444"/>
  <c r="BS444"/>
  <c r="BR444"/>
  <c r="BQ444"/>
  <c r="BP444"/>
  <c r="BO444"/>
  <c r="BN444"/>
  <c r="BM444"/>
  <c r="BL444"/>
  <c r="BK444"/>
  <c r="BJ444"/>
  <c r="BI444"/>
  <c r="BH444"/>
  <c r="BG444"/>
  <c r="BF444"/>
  <c r="BE444"/>
  <c r="BD444"/>
  <c r="BC444"/>
  <c r="BB444"/>
  <c r="BA444"/>
  <c r="AZ444"/>
  <c r="AY444"/>
  <c r="AX444"/>
  <c r="AW444"/>
  <c r="AV444"/>
  <c r="AC444"/>
  <c r="H444"/>
  <c r="G444"/>
  <c r="E444"/>
  <c r="BT443"/>
  <c r="BS443"/>
  <c r="BR443"/>
  <c r="BQ443"/>
  <c r="BP443"/>
  <c r="BO443"/>
  <c r="BN443"/>
  <c r="BM443"/>
  <c r="BL443"/>
  <c r="BK443"/>
  <c r="BJ443"/>
  <c r="BI443"/>
  <c r="BH443"/>
  <c r="BG443"/>
  <c r="BF443"/>
  <c r="BE443"/>
  <c r="BD443"/>
  <c r="BC443"/>
  <c r="BB443"/>
  <c r="BA443"/>
  <c r="AZ443"/>
  <c r="AY443"/>
  <c r="AX443"/>
  <c r="AW443"/>
  <c r="AV443"/>
  <c r="AC443"/>
  <c r="H443"/>
  <c r="G443"/>
  <c r="E443"/>
  <c r="BT442"/>
  <c r="BS442"/>
  <c r="BR442"/>
  <c r="BQ442"/>
  <c r="BP442"/>
  <c r="BO442"/>
  <c r="BN442"/>
  <c r="BM442"/>
  <c r="BL442"/>
  <c r="BK442"/>
  <c r="BJ442"/>
  <c r="BI442"/>
  <c r="BH442"/>
  <c r="BG442"/>
  <c r="BF442"/>
  <c r="BE442"/>
  <c r="BD442"/>
  <c r="BC442"/>
  <c r="BB442"/>
  <c r="BA442"/>
  <c r="AZ442"/>
  <c r="AY442"/>
  <c r="AX442"/>
  <c r="AW442"/>
  <c r="AV442"/>
  <c r="AC442"/>
  <c r="H442"/>
  <c r="G442"/>
  <c r="E442"/>
  <c r="BT441"/>
  <c r="BS441"/>
  <c r="BR441"/>
  <c r="BQ441"/>
  <c r="BP441"/>
  <c r="BO441"/>
  <c r="BN441"/>
  <c r="BM441"/>
  <c r="BL441"/>
  <c r="BK441"/>
  <c r="BJ441"/>
  <c r="BI441"/>
  <c r="BH441"/>
  <c r="BG441"/>
  <c r="BF441"/>
  <c r="BE441"/>
  <c r="BD441"/>
  <c r="BC441"/>
  <c r="BB441"/>
  <c r="BA441"/>
  <c r="AZ441"/>
  <c r="AY441"/>
  <c r="AX441"/>
  <c r="AW441"/>
  <c r="AV441"/>
  <c r="AC441"/>
  <c r="H441"/>
  <c r="G441"/>
  <c r="E441"/>
  <c r="BT440"/>
  <c r="BS440"/>
  <c r="BR440"/>
  <c r="BQ440"/>
  <c r="BP440"/>
  <c r="BO440"/>
  <c r="BN440"/>
  <c r="BM440"/>
  <c r="BL440"/>
  <c r="BK440"/>
  <c r="BJ440"/>
  <c r="BI440"/>
  <c r="BH440"/>
  <c r="BG440"/>
  <c r="BF440"/>
  <c r="BE440"/>
  <c r="BD440"/>
  <c r="BC440"/>
  <c r="BB440"/>
  <c r="BA440"/>
  <c r="AZ440"/>
  <c r="AY440"/>
  <c r="AX440"/>
  <c r="AW440"/>
  <c r="AV440"/>
  <c r="AC440"/>
  <c r="H440"/>
  <c r="G440"/>
  <c r="E440"/>
  <c r="BT439"/>
  <c r="BS439"/>
  <c r="BR439"/>
  <c r="BQ439"/>
  <c r="BP439"/>
  <c r="BO439"/>
  <c r="BN439"/>
  <c r="BM439"/>
  <c r="BL439"/>
  <c r="BK439"/>
  <c r="BJ439"/>
  <c r="BI439"/>
  <c r="BH439"/>
  <c r="BG439"/>
  <c r="BF439"/>
  <c r="BE439"/>
  <c r="BD439"/>
  <c r="BC439"/>
  <c r="BB439"/>
  <c r="BA439"/>
  <c r="AZ439"/>
  <c r="AY439"/>
  <c r="AX439"/>
  <c r="AW439"/>
  <c r="AV439"/>
  <c r="AC439"/>
  <c r="H439"/>
  <c r="G439"/>
  <c r="E439"/>
  <c r="BT438"/>
  <c r="BS438"/>
  <c r="BR438"/>
  <c r="BQ438"/>
  <c r="BP438"/>
  <c r="BO438"/>
  <c r="BN438"/>
  <c r="BM438"/>
  <c r="BL438"/>
  <c r="BK438"/>
  <c r="BJ438"/>
  <c r="BI438"/>
  <c r="BH438"/>
  <c r="BG438"/>
  <c r="BF438"/>
  <c r="BE438"/>
  <c r="BD438"/>
  <c r="BC438"/>
  <c r="BB438"/>
  <c r="BA438"/>
  <c r="AZ438"/>
  <c r="AY438"/>
  <c r="AX438"/>
  <c r="AW438"/>
  <c r="AV438"/>
  <c r="AC438"/>
  <c r="H438"/>
  <c r="G438"/>
  <c r="E438"/>
  <c r="BT437"/>
  <c r="BS437"/>
  <c r="BR437"/>
  <c r="BQ437"/>
  <c r="BP437"/>
  <c r="BO437"/>
  <c r="BN437"/>
  <c r="BM437"/>
  <c r="BL437"/>
  <c r="BK437"/>
  <c r="BJ437"/>
  <c r="BI437"/>
  <c r="BH437"/>
  <c r="BG437"/>
  <c r="BF437"/>
  <c r="BE437"/>
  <c r="BD437"/>
  <c r="BC437"/>
  <c r="BB437"/>
  <c r="BA437"/>
  <c r="AZ437"/>
  <c r="AY437"/>
  <c r="AX437"/>
  <c r="AW437"/>
  <c r="AV437"/>
  <c r="AC437"/>
  <c r="H437"/>
  <c r="G437"/>
  <c r="E437"/>
  <c r="BT436"/>
  <c r="BS436"/>
  <c r="BR436"/>
  <c r="BQ436"/>
  <c r="BP436"/>
  <c r="BO436"/>
  <c r="BN436"/>
  <c r="BM436"/>
  <c r="BL436"/>
  <c r="BK436"/>
  <c r="BJ436"/>
  <c r="BI436"/>
  <c r="BH436"/>
  <c r="BG436"/>
  <c r="BF436"/>
  <c r="BE436"/>
  <c r="BD436"/>
  <c r="BC436"/>
  <c r="BB436"/>
  <c r="BA436"/>
  <c r="AZ436"/>
  <c r="AY436"/>
  <c r="AX436"/>
  <c r="AW436"/>
  <c r="AV436"/>
  <c r="AC436"/>
  <c r="H436"/>
  <c r="G436"/>
  <c r="E436"/>
  <c r="BT435"/>
  <c r="BS435"/>
  <c r="BR435"/>
  <c r="BQ435"/>
  <c r="BP435"/>
  <c r="BO435"/>
  <c r="BN435"/>
  <c r="BM435"/>
  <c r="BL435"/>
  <c r="BK435"/>
  <c r="BJ435"/>
  <c r="BI435"/>
  <c r="BH435"/>
  <c r="BG435"/>
  <c r="BF435"/>
  <c r="BE435"/>
  <c r="BD435"/>
  <c r="BC435"/>
  <c r="BB435"/>
  <c r="BA435"/>
  <c r="AZ435"/>
  <c r="AY435"/>
  <c r="AX435"/>
  <c r="AW435"/>
  <c r="AV435"/>
  <c r="AC435"/>
  <c r="H435"/>
  <c r="G435"/>
  <c r="E435"/>
  <c r="BT434"/>
  <c r="BS434"/>
  <c r="BR434"/>
  <c r="BQ434"/>
  <c r="BP434"/>
  <c r="BO434"/>
  <c r="BN434"/>
  <c r="BM434"/>
  <c r="BL434"/>
  <c r="BK434"/>
  <c r="BJ434"/>
  <c r="BI434"/>
  <c r="BH434"/>
  <c r="BG434"/>
  <c r="BF434"/>
  <c r="BE434"/>
  <c r="BD434"/>
  <c r="BC434"/>
  <c r="BB434"/>
  <c r="BA434"/>
  <c r="AZ434"/>
  <c r="AY434"/>
  <c r="AX434"/>
  <c r="AW434"/>
  <c r="AV434"/>
  <c r="AC434"/>
  <c r="H434"/>
  <c r="G434"/>
  <c r="E434"/>
  <c r="BT433"/>
  <c r="BS433"/>
  <c r="BR433"/>
  <c r="BQ433"/>
  <c r="BP433"/>
  <c r="BO433"/>
  <c r="BN433"/>
  <c r="BM433"/>
  <c r="BL433"/>
  <c r="BK433"/>
  <c r="BJ433"/>
  <c r="BI433"/>
  <c r="BH433"/>
  <c r="BG433"/>
  <c r="BF433"/>
  <c r="BE433"/>
  <c r="BD433"/>
  <c r="BC433"/>
  <c r="BB433"/>
  <c r="BA433"/>
  <c r="AZ433"/>
  <c r="AY433"/>
  <c r="AX433"/>
  <c r="AW433"/>
  <c r="AV433"/>
  <c r="AC433"/>
  <c r="H433"/>
  <c r="G433"/>
  <c r="E433"/>
  <c r="BT432"/>
  <c r="BS432"/>
  <c r="BR432"/>
  <c r="BQ432"/>
  <c r="BP432"/>
  <c r="BO432"/>
  <c r="BN432"/>
  <c r="BM432"/>
  <c r="BL432"/>
  <c r="BK432"/>
  <c r="BJ432"/>
  <c r="BI432"/>
  <c r="BH432"/>
  <c r="BG432"/>
  <c r="BF432"/>
  <c r="BE432"/>
  <c r="BD432"/>
  <c r="BC432"/>
  <c r="BB432"/>
  <c r="BA432"/>
  <c r="AZ432"/>
  <c r="AY432"/>
  <c r="AX432"/>
  <c r="AW432"/>
  <c r="AV432"/>
  <c r="AC432"/>
  <c r="H432"/>
  <c r="G432"/>
  <c r="E432"/>
  <c r="BT431"/>
  <c r="BS431"/>
  <c r="BR431"/>
  <c r="BQ431"/>
  <c r="BP431"/>
  <c r="BO431"/>
  <c r="BN431"/>
  <c r="BM431"/>
  <c r="BL431"/>
  <c r="BK431"/>
  <c r="BJ431"/>
  <c r="BI431"/>
  <c r="BH431"/>
  <c r="BG431"/>
  <c r="BF431"/>
  <c r="BE431"/>
  <c r="BD431"/>
  <c r="BC431"/>
  <c r="BB431"/>
  <c r="BA431"/>
  <c r="AZ431"/>
  <c r="AY431"/>
  <c r="AX431"/>
  <c r="AW431"/>
  <c r="AV431"/>
  <c r="AC431"/>
  <c r="H431"/>
  <c r="G431"/>
  <c r="E431"/>
  <c r="BT430"/>
  <c r="BS430"/>
  <c r="BR430"/>
  <c r="BQ430"/>
  <c r="BP430"/>
  <c r="BO430"/>
  <c r="BN430"/>
  <c r="BM430"/>
  <c r="BL430"/>
  <c r="BK430"/>
  <c r="BJ430"/>
  <c r="BI430"/>
  <c r="BH430"/>
  <c r="BG430"/>
  <c r="BF430"/>
  <c r="BE430"/>
  <c r="BD430"/>
  <c r="BC430"/>
  <c r="BB430"/>
  <c r="BA430"/>
  <c r="AZ430"/>
  <c r="AY430"/>
  <c r="AX430"/>
  <c r="AW430"/>
  <c r="AV430"/>
  <c r="AC430"/>
  <c r="H430"/>
  <c r="G430"/>
  <c r="E430"/>
  <c r="BT429"/>
  <c r="BS429"/>
  <c r="BR429"/>
  <c r="BQ429"/>
  <c r="BP429"/>
  <c r="BO429"/>
  <c r="BN429"/>
  <c r="BM429"/>
  <c r="BL429"/>
  <c r="BK429"/>
  <c r="BJ429"/>
  <c r="BI429"/>
  <c r="BH429"/>
  <c r="BG429"/>
  <c r="BF429"/>
  <c r="BE429"/>
  <c r="BD429"/>
  <c r="BC429"/>
  <c r="BB429"/>
  <c r="BA429"/>
  <c r="AZ429"/>
  <c r="AY429"/>
  <c r="AX429"/>
  <c r="AW429"/>
  <c r="AV429"/>
  <c r="AC429"/>
  <c r="H429"/>
  <c r="G429"/>
  <c r="E429"/>
  <c r="BT428"/>
  <c r="BS428"/>
  <c r="BR428"/>
  <c r="BQ428"/>
  <c r="BP428"/>
  <c r="BO428"/>
  <c r="BN428"/>
  <c r="BM428"/>
  <c r="BL428"/>
  <c r="BK428"/>
  <c r="BJ428"/>
  <c r="BI428"/>
  <c r="BH428"/>
  <c r="BG428"/>
  <c r="BF428"/>
  <c r="BE428"/>
  <c r="BD428"/>
  <c r="BC428"/>
  <c r="BB428"/>
  <c r="BA428"/>
  <c r="AZ428"/>
  <c r="AY428"/>
  <c r="AX428"/>
  <c r="AW428"/>
  <c r="AV428"/>
  <c r="AC428"/>
  <c r="H428"/>
  <c r="G428"/>
  <c r="E428"/>
  <c r="BT427"/>
  <c r="BS427"/>
  <c r="BR427"/>
  <c r="BQ427"/>
  <c r="BP427"/>
  <c r="BO427"/>
  <c r="BN427"/>
  <c r="BM427"/>
  <c r="BL427"/>
  <c r="BK427"/>
  <c r="BJ427"/>
  <c r="BI427"/>
  <c r="BH427"/>
  <c r="BG427"/>
  <c r="BF427"/>
  <c r="BE427"/>
  <c r="BD427"/>
  <c r="BC427"/>
  <c r="BB427"/>
  <c r="BA427"/>
  <c r="AZ427"/>
  <c r="AY427"/>
  <c r="AX427"/>
  <c r="AW427"/>
  <c r="AV427"/>
  <c r="AC427"/>
  <c r="H427"/>
  <c r="G427"/>
  <c r="E427"/>
  <c r="BT426"/>
  <c r="BS426"/>
  <c r="BR426"/>
  <c r="BQ426"/>
  <c r="BP426"/>
  <c r="BO426"/>
  <c r="BN426"/>
  <c r="BM426"/>
  <c r="BL426"/>
  <c r="BK426"/>
  <c r="BJ426"/>
  <c r="BI426"/>
  <c r="BH426"/>
  <c r="BG426"/>
  <c r="BF426"/>
  <c r="BE426"/>
  <c r="BD426"/>
  <c r="BC426"/>
  <c r="BB426"/>
  <c r="BA426"/>
  <c r="AZ426"/>
  <c r="AY426"/>
  <c r="AX426"/>
  <c r="AW426"/>
  <c r="AV426"/>
  <c r="AC426"/>
  <c r="H426"/>
  <c r="G426"/>
  <c r="E426"/>
  <c r="BT425"/>
  <c r="BS425"/>
  <c r="BR425"/>
  <c r="BQ425"/>
  <c r="BP425"/>
  <c r="BO425"/>
  <c r="BN425"/>
  <c r="BM425"/>
  <c r="BL425"/>
  <c r="BK425"/>
  <c r="BJ425"/>
  <c r="BI425"/>
  <c r="BH425"/>
  <c r="BG425"/>
  <c r="BF425"/>
  <c r="BE425"/>
  <c r="BD425"/>
  <c r="BC425"/>
  <c r="BB425"/>
  <c r="BA425"/>
  <c r="AZ425"/>
  <c r="AY425"/>
  <c r="AX425"/>
  <c r="AW425"/>
  <c r="AV425"/>
  <c r="AC425"/>
  <c r="H425"/>
  <c r="G425"/>
  <c r="E425"/>
  <c r="BT424"/>
  <c r="BS424"/>
  <c r="BR424"/>
  <c r="BQ424"/>
  <c r="BP424"/>
  <c r="BO424"/>
  <c r="BN424"/>
  <c r="BM424"/>
  <c r="BL424"/>
  <c r="BK424"/>
  <c r="BJ424"/>
  <c r="BI424"/>
  <c r="BH424"/>
  <c r="BG424"/>
  <c r="BF424"/>
  <c r="BE424"/>
  <c r="BD424"/>
  <c r="BC424"/>
  <c r="BB424"/>
  <c r="BA424"/>
  <c r="AZ424"/>
  <c r="AY424"/>
  <c r="AX424"/>
  <c r="AW424"/>
  <c r="AV424"/>
  <c r="AC424"/>
  <c r="H424"/>
  <c r="G424"/>
  <c r="E424"/>
  <c r="BT423"/>
  <c r="BS423"/>
  <c r="BR423"/>
  <c r="BQ423"/>
  <c r="BP423"/>
  <c r="BO423"/>
  <c r="BN423"/>
  <c r="BM423"/>
  <c r="BL423"/>
  <c r="BK423"/>
  <c r="BJ423"/>
  <c r="BI423"/>
  <c r="BH423"/>
  <c r="BG423"/>
  <c r="BF423"/>
  <c r="BE423"/>
  <c r="BD423"/>
  <c r="BC423"/>
  <c r="BB423"/>
  <c r="BA423"/>
  <c r="AZ423"/>
  <c r="AY423"/>
  <c r="AX423"/>
  <c r="AW423"/>
  <c r="AV423"/>
  <c r="AC423"/>
  <c r="H423"/>
  <c r="G423"/>
  <c r="E423"/>
  <c r="BT422"/>
  <c r="BS422"/>
  <c r="BR422"/>
  <c r="BQ422"/>
  <c r="BP422"/>
  <c r="BO422"/>
  <c r="BN422"/>
  <c r="BM422"/>
  <c r="BL422"/>
  <c r="BK422"/>
  <c r="BJ422"/>
  <c r="BI422"/>
  <c r="BH422"/>
  <c r="BG422"/>
  <c r="BF422"/>
  <c r="BE422"/>
  <c r="BD422"/>
  <c r="BC422"/>
  <c r="BB422"/>
  <c r="BA422"/>
  <c r="AZ422"/>
  <c r="AY422"/>
  <c r="AX422"/>
  <c r="AW422"/>
  <c r="AV422"/>
  <c r="AC422"/>
  <c r="H422"/>
  <c r="G422"/>
  <c r="E422"/>
  <c r="BT421"/>
  <c r="BS421"/>
  <c r="BR421"/>
  <c r="BQ421"/>
  <c r="BP421"/>
  <c r="BO421"/>
  <c r="BN421"/>
  <c r="BM421"/>
  <c r="BL421"/>
  <c r="BK421"/>
  <c r="BJ421"/>
  <c r="BI421"/>
  <c r="BH421"/>
  <c r="BG421"/>
  <c r="BF421"/>
  <c r="BE421"/>
  <c r="BD421"/>
  <c r="BC421"/>
  <c r="BB421"/>
  <c r="BA421"/>
  <c r="AZ421"/>
  <c r="AY421"/>
  <c r="AX421"/>
  <c r="AW421"/>
  <c r="AV421"/>
  <c r="AC421"/>
  <c r="H421"/>
  <c r="G421"/>
  <c r="E421"/>
  <c r="BT420"/>
  <c r="BS420"/>
  <c r="BR420"/>
  <c r="BQ420"/>
  <c r="BP420"/>
  <c r="BO420"/>
  <c r="BN420"/>
  <c r="BM420"/>
  <c r="BL420"/>
  <c r="BK420"/>
  <c r="BJ420"/>
  <c r="BI420"/>
  <c r="BH420"/>
  <c r="BG420"/>
  <c r="BF420"/>
  <c r="BE420"/>
  <c r="BD420"/>
  <c r="BC420"/>
  <c r="BB420"/>
  <c r="BA420"/>
  <c r="AZ420"/>
  <c r="AY420"/>
  <c r="AX420"/>
  <c r="AW420"/>
  <c r="AV420"/>
  <c r="AC420"/>
  <c r="H420"/>
  <c r="G420"/>
  <c r="E420"/>
  <c r="BT419"/>
  <c r="BS419"/>
  <c r="BR419"/>
  <c r="BQ419"/>
  <c r="BP419"/>
  <c r="BO419"/>
  <c r="BN419"/>
  <c r="BM419"/>
  <c r="BL419"/>
  <c r="BK419"/>
  <c r="BJ419"/>
  <c r="BI419"/>
  <c r="BH419"/>
  <c r="BG419"/>
  <c r="BF419"/>
  <c r="BE419"/>
  <c r="BD419"/>
  <c r="BC419"/>
  <c r="BB419"/>
  <c r="BA419"/>
  <c r="AZ419"/>
  <c r="AY419"/>
  <c r="AX419"/>
  <c r="AW419"/>
  <c r="AV419"/>
  <c r="AC419"/>
  <c r="H419"/>
  <c r="G419"/>
  <c r="E419"/>
  <c r="BT418"/>
  <c r="BS418"/>
  <c r="BR418"/>
  <c r="BQ418"/>
  <c r="BP418"/>
  <c r="BO418"/>
  <c r="BN418"/>
  <c r="BM418"/>
  <c r="BL418"/>
  <c r="BK418"/>
  <c r="BJ418"/>
  <c r="BI418"/>
  <c r="BH418"/>
  <c r="BG418"/>
  <c r="BF418"/>
  <c r="BE418"/>
  <c r="BD418"/>
  <c r="BC418"/>
  <c r="BB418"/>
  <c r="BA418"/>
  <c r="AZ418"/>
  <c r="AY418"/>
  <c r="AX418"/>
  <c r="AW418"/>
  <c r="AV418"/>
  <c r="AC418"/>
  <c r="H418"/>
  <c r="G418"/>
  <c r="E418"/>
  <c r="BT417"/>
  <c r="BS417"/>
  <c r="BR417"/>
  <c r="BQ417"/>
  <c r="BP417"/>
  <c r="BO417"/>
  <c r="BN417"/>
  <c r="BM417"/>
  <c r="BL417"/>
  <c r="BK417"/>
  <c r="BJ417"/>
  <c r="BI417"/>
  <c r="BH417"/>
  <c r="BG417"/>
  <c r="BF417"/>
  <c r="BE417"/>
  <c r="BD417"/>
  <c r="BC417"/>
  <c r="BB417"/>
  <c r="BA417"/>
  <c r="AZ417"/>
  <c r="AY417"/>
  <c r="AX417"/>
  <c r="AW417"/>
  <c r="AV417"/>
  <c r="AC417"/>
  <c r="H417"/>
  <c r="G417"/>
  <c r="E417"/>
  <c r="BT416"/>
  <c r="BS416"/>
  <c r="BR416"/>
  <c r="BQ416"/>
  <c r="BP416"/>
  <c r="BO416"/>
  <c r="BN416"/>
  <c r="BM416"/>
  <c r="BL416"/>
  <c r="BK416"/>
  <c r="BJ416"/>
  <c r="BI416"/>
  <c r="BH416"/>
  <c r="BG416"/>
  <c r="BF416"/>
  <c r="BE416"/>
  <c r="BD416"/>
  <c r="BC416"/>
  <c r="BB416"/>
  <c r="BA416"/>
  <c r="AZ416"/>
  <c r="AY416"/>
  <c r="AX416"/>
  <c r="AW416"/>
  <c r="AV416"/>
  <c r="AC416"/>
  <c r="H416"/>
  <c r="G416"/>
  <c r="E416"/>
  <c r="BT415"/>
  <c r="BS415"/>
  <c r="BR415"/>
  <c r="BQ415"/>
  <c r="BP415"/>
  <c r="BO415"/>
  <c r="BN415"/>
  <c r="BM415"/>
  <c r="BL415"/>
  <c r="BK415"/>
  <c r="BJ415"/>
  <c r="BI415"/>
  <c r="BH415"/>
  <c r="BG415"/>
  <c r="BF415"/>
  <c r="BE415"/>
  <c r="BD415"/>
  <c r="BC415"/>
  <c r="BB415"/>
  <c r="BA415"/>
  <c r="AZ415"/>
  <c r="AY415"/>
  <c r="AX415"/>
  <c r="AW415"/>
  <c r="AV415"/>
  <c r="AC415"/>
  <c r="H415"/>
  <c r="G415"/>
  <c r="E415"/>
  <c r="BT414"/>
  <c r="BS414"/>
  <c r="BR414"/>
  <c r="BQ414"/>
  <c r="BP414"/>
  <c r="BO414"/>
  <c r="BN414"/>
  <c r="BM414"/>
  <c r="BL414"/>
  <c r="BK414"/>
  <c r="BJ414"/>
  <c r="BI414"/>
  <c r="BH414"/>
  <c r="BG414"/>
  <c r="BF414"/>
  <c r="BE414"/>
  <c r="BD414"/>
  <c r="BC414"/>
  <c r="BB414"/>
  <c r="BA414"/>
  <c r="AZ414"/>
  <c r="AY414"/>
  <c r="AX414"/>
  <c r="AW414"/>
  <c r="AV414"/>
  <c r="AC414"/>
  <c r="H414"/>
  <c r="G414"/>
  <c r="E414"/>
  <c r="BT413"/>
  <c r="BS413"/>
  <c r="BR413"/>
  <c r="BQ413"/>
  <c r="BP413"/>
  <c r="BO413"/>
  <c r="BN413"/>
  <c r="BM413"/>
  <c r="BL413"/>
  <c r="BK413"/>
  <c r="BJ413"/>
  <c r="BI413"/>
  <c r="BH413"/>
  <c r="BG413"/>
  <c r="BF413"/>
  <c r="BE413"/>
  <c r="BD413"/>
  <c r="BC413"/>
  <c r="BB413"/>
  <c r="BA413"/>
  <c r="AZ413"/>
  <c r="AY413"/>
  <c r="AX413"/>
  <c r="AW413"/>
  <c r="AV413"/>
  <c r="AC413"/>
  <c r="H413"/>
  <c r="G413"/>
  <c r="E413"/>
  <c r="BT412"/>
  <c r="BS412"/>
  <c r="BR412"/>
  <c r="BQ412"/>
  <c r="BP412"/>
  <c r="BO412"/>
  <c r="BN412"/>
  <c r="BM412"/>
  <c r="BL412"/>
  <c r="BK412"/>
  <c r="BJ412"/>
  <c r="BI412"/>
  <c r="BH412"/>
  <c r="BG412"/>
  <c r="BF412"/>
  <c r="BE412"/>
  <c r="BD412"/>
  <c r="BC412"/>
  <c r="BB412"/>
  <c r="BA412"/>
  <c r="AZ412"/>
  <c r="AY412"/>
  <c r="AX412"/>
  <c r="AW412"/>
  <c r="AV412"/>
  <c r="AC412"/>
  <c r="H412"/>
  <c r="G412"/>
  <c r="E412"/>
  <c r="BT411"/>
  <c r="BS411"/>
  <c r="BR411"/>
  <c r="BQ411"/>
  <c r="BP411"/>
  <c r="BO411"/>
  <c r="BN411"/>
  <c r="BM411"/>
  <c r="BL411"/>
  <c r="BK411"/>
  <c r="BJ411"/>
  <c r="BI411"/>
  <c r="BH411"/>
  <c r="BG411"/>
  <c r="BF411"/>
  <c r="BE411"/>
  <c r="BD411"/>
  <c r="BC411"/>
  <c r="BB411"/>
  <c r="BA411"/>
  <c r="AZ411"/>
  <c r="AY411"/>
  <c r="AX411"/>
  <c r="AW411"/>
  <c r="AV411"/>
  <c r="AC411"/>
  <c r="H411"/>
  <c r="G411"/>
  <c r="E411"/>
  <c r="BT410"/>
  <c r="BS410"/>
  <c r="BR410"/>
  <c r="BQ410"/>
  <c r="BP410"/>
  <c r="BO410"/>
  <c r="BN410"/>
  <c r="BM410"/>
  <c r="BL410"/>
  <c r="BK410"/>
  <c r="BJ410"/>
  <c r="BI410"/>
  <c r="BH410"/>
  <c r="BG410"/>
  <c r="BF410"/>
  <c r="BE410"/>
  <c r="BD410"/>
  <c r="BC410"/>
  <c r="BB410"/>
  <c r="BA410"/>
  <c r="AZ410"/>
  <c r="AY410"/>
  <c r="AX410"/>
  <c r="AW410"/>
  <c r="AV410"/>
  <c r="AC410"/>
  <c r="H410"/>
  <c r="G410"/>
  <c r="E410"/>
  <c r="BT409"/>
  <c r="BS409"/>
  <c r="BR409"/>
  <c r="BQ409"/>
  <c r="BP409"/>
  <c r="BO409"/>
  <c r="BN409"/>
  <c r="BM409"/>
  <c r="BL409"/>
  <c r="BK409"/>
  <c r="BJ409"/>
  <c r="BI409"/>
  <c r="BH409"/>
  <c r="BG409"/>
  <c r="BF409"/>
  <c r="BE409"/>
  <c r="BD409"/>
  <c r="BC409"/>
  <c r="BB409"/>
  <c r="BA409"/>
  <c r="AZ409"/>
  <c r="AY409"/>
  <c r="AX409"/>
  <c r="AW409"/>
  <c r="AV409"/>
  <c r="AC409"/>
  <c r="H409"/>
  <c r="G409"/>
  <c r="E409"/>
  <c r="BT408"/>
  <c r="BS408"/>
  <c r="BR408"/>
  <c r="BQ408"/>
  <c r="BP408"/>
  <c r="BO408"/>
  <c r="BN408"/>
  <c r="BM408"/>
  <c r="BL408"/>
  <c r="BK408"/>
  <c r="BJ408"/>
  <c r="BI408"/>
  <c r="BH408"/>
  <c r="BG408"/>
  <c r="BF408"/>
  <c r="BE408"/>
  <c r="BD408"/>
  <c r="BC408"/>
  <c r="BB408"/>
  <c r="BA408"/>
  <c r="AZ408"/>
  <c r="AY408"/>
  <c r="AX408"/>
  <c r="AW408"/>
  <c r="AV408"/>
  <c r="AC408"/>
  <c r="H408"/>
  <c r="G408"/>
  <c r="E408"/>
  <c r="BT407"/>
  <c r="BS407"/>
  <c r="BR407"/>
  <c r="BQ407"/>
  <c r="BP407"/>
  <c r="BO407"/>
  <c r="BN407"/>
  <c r="BM407"/>
  <c r="BL407"/>
  <c r="BK407"/>
  <c r="BJ407"/>
  <c r="BI407"/>
  <c r="BH407"/>
  <c r="BG407"/>
  <c r="BF407"/>
  <c r="BE407"/>
  <c r="BD407"/>
  <c r="BC407"/>
  <c r="BB407"/>
  <c r="BA407"/>
  <c r="AZ407"/>
  <c r="AY407"/>
  <c r="AX407"/>
  <c r="AW407"/>
  <c r="AV407"/>
  <c r="AC407"/>
  <c r="H407"/>
  <c r="G407"/>
  <c r="E407"/>
  <c r="BT406"/>
  <c r="BS406"/>
  <c r="BR406"/>
  <c r="BQ406"/>
  <c r="BP406"/>
  <c r="BO406"/>
  <c r="BN406"/>
  <c r="BM406"/>
  <c r="BL406"/>
  <c r="BK406"/>
  <c r="BJ406"/>
  <c r="BI406"/>
  <c r="BH406"/>
  <c r="BG406"/>
  <c r="BF406"/>
  <c r="BE406"/>
  <c r="BD406"/>
  <c r="BC406"/>
  <c r="BB406"/>
  <c r="BA406"/>
  <c r="AZ406"/>
  <c r="AY406"/>
  <c r="AX406"/>
  <c r="AW406"/>
  <c r="AV406"/>
  <c r="AC406"/>
  <c r="H406"/>
  <c r="G406"/>
  <c r="E406"/>
  <c r="BT405"/>
  <c r="BS405"/>
  <c r="BR405"/>
  <c r="BQ405"/>
  <c r="BP405"/>
  <c r="BO405"/>
  <c r="BN405"/>
  <c r="BM405"/>
  <c r="BL405"/>
  <c r="BK405"/>
  <c r="BJ405"/>
  <c r="BI405"/>
  <c r="BH405"/>
  <c r="BG405"/>
  <c r="BF405"/>
  <c r="BE405"/>
  <c r="BD405"/>
  <c r="BC405"/>
  <c r="BB405"/>
  <c r="BA405"/>
  <c r="AZ405"/>
  <c r="AY405"/>
  <c r="AX405"/>
  <c r="AW405"/>
  <c r="AV405"/>
  <c r="AC405"/>
  <c r="H405"/>
  <c r="G405"/>
  <c r="E405"/>
  <c r="BT404"/>
  <c r="BS404"/>
  <c r="BR404"/>
  <c r="BQ404"/>
  <c r="BP404"/>
  <c r="BO404"/>
  <c r="BN404"/>
  <c r="BM404"/>
  <c r="BL404"/>
  <c r="BK404"/>
  <c r="BJ404"/>
  <c r="BI404"/>
  <c r="BH404"/>
  <c r="BG404"/>
  <c r="BF404"/>
  <c r="BE404"/>
  <c r="BD404"/>
  <c r="BC404"/>
  <c r="BB404"/>
  <c r="BA404"/>
  <c r="AZ404"/>
  <c r="AY404"/>
  <c r="AX404"/>
  <c r="AW404"/>
  <c r="AV404"/>
  <c r="AC404"/>
  <c r="H404"/>
  <c r="G404"/>
  <c r="E404"/>
  <c r="BT403"/>
  <c r="BS403"/>
  <c r="BR403"/>
  <c r="BQ403"/>
  <c r="BP403"/>
  <c r="BO403"/>
  <c r="BN403"/>
  <c r="BM403"/>
  <c r="BL403"/>
  <c r="BK403"/>
  <c r="BJ403"/>
  <c r="BI403"/>
  <c r="BH403"/>
  <c r="BG403"/>
  <c r="BF403"/>
  <c r="BE403"/>
  <c r="BD403"/>
  <c r="BC403"/>
  <c r="BB403"/>
  <c r="BA403"/>
  <c r="AZ403"/>
  <c r="AY403"/>
  <c r="AX403"/>
  <c r="AW403"/>
  <c r="AV403"/>
  <c r="AC403"/>
  <c r="H403"/>
  <c r="G403"/>
  <c r="E403"/>
  <c r="BT402"/>
  <c r="BS402"/>
  <c r="BR402"/>
  <c r="BQ402"/>
  <c r="BP402"/>
  <c r="BO402"/>
  <c r="BN402"/>
  <c r="BM402"/>
  <c r="BL402"/>
  <c r="BK402"/>
  <c r="BJ402"/>
  <c r="BI402"/>
  <c r="BH402"/>
  <c r="BG402"/>
  <c r="BF402"/>
  <c r="BE402"/>
  <c r="BD402"/>
  <c r="BC402"/>
  <c r="BB402"/>
  <c r="BA402"/>
  <c r="AZ402"/>
  <c r="AY402"/>
  <c r="AX402"/>
  <c r="AW402"/>
  <c r="AV402"/>
  <c r="AC402"/>
  <c r="H402"/>
  <c r="G402"/>
  <c r="E402"/>
  <c r="BT401"/>
  <c r="BS401"/>
  <c r="BR401"/>
  <c r="BQ401"/>
  <c r="BP401"/>
  <c r="BO401"/>
  <c r="BN401"/>
  <c r="BM401"/>
  <c r="BL401"/>
  <c r="BK401"/>
  <c r="BJ401"/>
  <c r="BI401"/>
  <c r="BH401"/>
  <c r="BG401"/>
  <c r="BF401"/>
  <c r="BE401"/>
  <c r="BD401"/>
  <c r="BC401"/>
  <c r="BB401"/>
  <c r="BA401"/>
  <c r="AZ401"/>
  <c r="AY401"/>
  <c r="AX401"/>
  <c r="AW401"/>
  <c r="AV401"/>
  <c r="AC401"/>
  <c r="H401"/>
  <c r="G401"/>
  <c r="E401"/>
  <c r="BT400"/>
  <c r="BS400"/>
  <c r="BR400"/>
  <c r="BQ400"/>
  <c r="BP400"/>
  <c r="BO400"/>
  <c r="BN400"/>
  <c r="BM400"/>
  <c r="BL400"/>
  <c r="BK400"/>
  <c r="BJ400"/>
  <c r="BI400"/>
  <c r="BH400"/>
  <c r="BG400"/>
  <c r="BF400"/>
  <c r="BE400"/>
  <c r="BD400"/>
  <c r="BC400"/>
  <c r="BB400"/>
  <c r="BA400"/>
  <c r="AZ400"/>
  <c r="AY400"/>
  <c r="AX400"/>
  <c r="AW400"/>
  <c r="AV400"/>
  <c r="AC400"/>
  <c r="H400"/>
  <c r="G400"/>
  <c r="E400"/>
  <c r="BT399"/>
  <c r="BS399"/>
  <c r="BR399"/>
  <c r="BQ399"/>
  <c r="BP399"/>
  <c r="BO399"/>
  <c r="BN399"/>
  <c r="BM399"/>
  <c r="BL399"/>
  <c r="BK399"/>
  <c r="BJ399"/>
  <c r="BI399"/>
  <c r="BH399"/>
  <c r="BG399"/>
  <c r="BF399"/>
  <c r="BE399"/>
  <c r="BD399"/>
  <c r="BC399"/>
  <c r="BB399"/>
  <c r="BA399"/>
  <c r="AZ399"/>
  <c r="AY399"/>
  <c r="AX399"/>
  <c r="AW399"/>
  <c r="AV399"/>
  <c r="AC399"/>
  <c r="H399"/>
  <c r="G399"/>
  <c r="E399"/>
  <c r="BT398"/>
  <c r="BS398"/>
  <c r="BR398"/>
  <c r="BQ398"/>
  <c r="BP398"/>
  <c r="BO398"/>
  <c r="BN398"/>
  <c r="BM398"/>
  <c r="BL398"/>
  <c r="BK398"/>
  <c r="BJ398"/>
  <c r="BI398"/>
  <c r="BH398"/>
  <c r="BG398"/>
  <c r="BF398"/>
  <c r="BE398"/>
  <c r="BD398"/>
  <c r="BC398"/>
  <c r="BB398"/>
  <c r="BA398"/>
  <c r="AZ398"/>
  <c r="AY398"/>
  <c r="AX398"/>
  <c r="AW398"/>
  <c r="AV398"/>
  <c r="AC398"/>
  <c r="H398"/>
  <c r="G398"/>
  <c r="E398"/>
  <c r="BT397"/>
  <c r="BS397"/>
  <c r="BR397"/>
  <c r="BQ397"/>
  <c r="BP397"/>
  <c r="BO397"/>
  <c r="BN397"/>
  <c r="BM397"/>
  <c r="BL397"/>
  <c r="BK397"/>
  <c r="BJ397"/>
  <c r="BI397"/>
  <c r="BH397"/>
  <c r="BG397"/>
  <c r="BF397"/>
  <c r="BE397"/>
  <c r="BD397"/>
  <c r="BC397"/>
  <c r="BB397"/>
  <c r="BA397"/>
  <c r="AZ397"/>
  <c r="AY397"/>
  <c r="AX397"/>
  <c r="AW397"/>
  <c r="AV397"/>
  <c r="AC397"/>
  <c r="H397"/>
  <c r="G397"/>
  <c r="E397"/>
  <c r="BT396"/>
  <c r="BS396"/>
  <c r="BR396"/>
  <c r="BQ396"/>
  <c r="BP396"/>
  <c r="BO396"/>
  <c r="BN396"/>
  <c r="BM396"/>
  <c r="BL396"/>
  <c r="BK396"/>
  <c r="BJ396"/>
  <c r="BI396"/>
  <c r="BH396"/>
  <c r="BG396"/>
  <c r="BF396"/>
  <c r="BE396"/>
  <c r="BD396"/>
  <c r="BC396"/>
  <c r="BB396"/>
  <c r="BA396"/>
  <c r="AZ396"/>
  <c r="AY396"/>
  <c r="AX396"/>
  <c r="AW396"/>
  <c r="AV396"/>
  <c r="AC396"/>
  <c r="H396"/>
  <c r="G396"/>
  <c r="E396"/>
  <c r="BT395"/>
  <c r="BS395"/>
  <c r="BR395"/>
  <c r="BQ395"/>
  <c r="BP395"/>
  <c r="BO395"/>
  <c r="BN395"/>
  <c r="BM395"/>
  <c r="BL395"/>
  <c r="BK395"/>
  <c r="BJ395"/>
  <c r="BI395"/>
  <c r="BH395"/>
  <c r="BG395"/>
  <c r="BF395"/>
  <c r="BE395"/>
  <c r="BD395"/>
  <c r="BC395"/>
  <c r="BB395"/>
  <c r="BA395"/>
  <c r="AZ395"/>
  <c r="AY395"/>
  <c r="AX395"/>
  <c r="AW395"/>
  <c r="AV395"/>
  <c r="AC395"/>
  <c r="H395"/>
  <c r="G395"/>
  <c r="E395"/>
  <c r="BT394"/>
  <c r="BS394"/>
  <c r="BR394"/>
  <c r="BQ394"/>
  <c r="BP394"/>
  <c r="BO394"/>
  <c r="BN394"/>
  <c r="BM394"/>
  <c r="BL394"/>
  <c r="BK394"/>
  <c r="BJ394"/>
  <c r="BI394"/>
  <c r="BH394"/>
  <c r="BG394"/>
  <c r="BF394"/>
  <c r="BE394"/>
  <c r="BD394"/>
  <c r="BC394"/>
  <c r="BB394"/>
  <c r="BA394"/>
  <c r="AZ394"/>
  <c r="AY394"/>
  <c r="AX394"/>
  <c r="AW394"/>
  <c r="AV394"/>
  <c r="AC394"/>
  <c r="H394"/>
  <c r="G394"/>
  <c r="E394"/>
  <c r="BT393"/>
  <c r="BS393"/>
  <c r="BR393"/>
  <c r="BQ393"/>
  <c r="BP393"/>
  <c r="BO393"/>
  <c r="BN393"/>
  <c r="BM393"/>
  <c r="BL393"/>
  <c r="BK393"/>
  <c r="BJ393"/>
  <c r="BI393"/>
  <c r="BH393"/>
  <c r="BG393"/>
  <c r="BF393"/>
  <c r="BE393"/>
  <c r="BD393"/>
  <c r="BC393"/>
  <c r="BB393"/>
  <c r="BA393"/>
  <c r="AZ393"/>
  <c r="AY393"/>
  <c r="AX393"/>
  <c r="AW393"/>
  <c r="AV393"/>
  <c r="AC393"/>
  <c r="H393"/>
  <c r="G393"/>
  <c r="E393"/>
  <c r="BT392"/>
  <c r="BS392"/>
  <c r="BR392"/>
  <c r="BQ392"/>
  <c r="BP392"/>
  <c r="BO392"/>
  <c r="BN392"/>
  <c r="BM392"/>
  <c r="BL392"/>
  <c r="BK392"/>
  <c r="BJ392"/>
  <c r="BI392"/>
  <c r="BH392"/>
  <c r="BG392"/>
  <c r="BF392"/>
  <c r="BE392"/>
  <c r="BD392"/>
  <c r="BC392"/>
  <c r="BB392"/>
  <c r="BA392"/>
  <c r="AZ392"/>
  <c r="AY392"/>
  <c r="AX392"/>
  <c r="AW392"/>
  <c r="AV392"/>
  <c r="AC392"/>
  <c r="H392"/>
  <c r="G392"/>
  <c r="E392"/>
  <c r="BT391"/>
  <c r="BS391"/>
  <c r="BR391"/>
  <c r="BQ391"/>
  <c r="BP391"/>
  <c r="BO391"/>
  <c r="BN391"/>
  <c r="BM391"/>
  <c r="BL391"/>
  <c r="BK391"/>
  <c r="BJ391"/>
  <c r="BI391"/>
  <c r="BH391"/>
  <c r="BG391"/>
  <c r="BF391"/>
  <c r="BE391"/>
  <c r="BD391"/>
  <c r="BC391"/>
  <c r="BB391"/>
  <c r="BA391"/>
  <c r="AZ391"/>
  <c r="AY391"/>
  <c r="AX391"/>
  <c r="AW391"/>
  <c r="AV391"/>
  <c r="AC391"/>
  <c r="H391"/>
  <c r="G391"/>
  <c r="E391"/>
  <c r="BT390"/>
  <c r="BS390"/>
  <c r="BR390"/>
  <c r="BQ390"/>
  <c r="BP390"/>
  <c r="BO390"/>
  <c r="BN390"/>
  <c r="BM390"/>
  <c r="BL390"/>
  <c r="BK390"/>
  <c r="BJ390"/>
  <c r="BI390"/>
  <c r="BH390"/>
  <c r="BG390"/>
  <c r="BF390"/>
  <c r="BE390"/>
  <c r="BD390"/>
  <c r="BC390"/>
  <c r="BB390"/>
  <c r="BA390"/>
  <c r="AZ390"/>
  <c r="AY390"/>
  <c r="AX390"/>
  <c r="AW390"/>
  <c r="AV390"/>
  <c r="AC390"/>
  <c r="H390"/>
  <c r="G390"/>
  <c r="E390"/>
  <c r="BT389"/>
  <c r="BS389"/>
  <c r="BR389"/>
  <c r="BQ389"/>
  <c r="BP389"/>
  <c r="BO389"/>
  <c r="BN389"/>
  <c r="BM389"/>
  <c r="BL389"/>
  <c r="BK389"/>
  <c r="BJ389"/>
  <c r="BI389"/>
  <c r="BH389"/>
  <c r="BG389"/>
  <c r="BF389"/>
  <c r="BE389"/>
  <c r="BD389"/>
  <c r="BC389"/>
  <c r="BB389"/>
  <c r="BA389"/>
  <c r="AZ389"/>
  <c r="AY389"/>
  <c r="AX389"/>
  <c r="AW389"/>
  <c r="AV389"/>
  <c r="AC389"/>
  <c r="H389"/>
  <c r="G389"/>
  <c r="E389"/>
  <c r="BT388"/>
  <c r="BS388"/>
  <c r="BR388"/>
  <c r="BQ388"/>
  <c r="BP388"/>
  <c r="BO388"/>
  <c r="BN388"/>
  <c r="BM388"/>
  <c r="BL388"/>
  <c r="BK388"/>
  <c r="BJ388"/>
  <c r="BI388"/>
  <c r="BH388"/>
  <c r="BG388"/>
  <c r="BF388"/>
  <c r="BE388"/>
  <c r="BD388"/>
  <c r="BC388"/>
  <c r="BB388"/>
  <c r="BA388"/>
  <c r="AZ388"/>
  <c r="AY388"/>
  <c r="AX388"/>
  <c r="AW388"/>
  <c r="AV388"/>
  <c r="AC388"/>
  <c r="H388"/>
  <c r="G388"/>
  <c r="E388"/>
  <c r="BT387"/>
  <c r="BS387"/>
  <c r="BR387"/>
  <c r="BQ387"/>
  <c r="BP387"/>
  <c r="BO387"/>
  <c r="BN387"/>
  <c r="BM387"/>
  <c r="BL387"/>
  <c r="BK387"/>
  <c r="BJ387"/>
  <c r="BI387"/>
  <c r="BH387"/>
  <c r="BG387"/>
  <c r="BF387"/>
  <c r="BE387"/>
  <c r="BD387"/>
  <c r="BC387"/>
  <c r="BB387"/>
  <c r="BA387"/>
  <c r="AZ387"/>
  <c r="AY387"/>
  <c r="AX387"/>
  <c r="AW387"/>
  <c r="AV387"/>
  <c r="AC387"/>
  <c r="H387"/>
  <c r="G387"/>
  <c r="E387"/>
  <c r="BT386"/>
  <c r="BS386"/>
  <c r="BR386"/>
  <c r="BQ386"/>
  <c r="BP386"/>
  <c r="BO386"/>
  <c r="BN386"/>
  <c r="BM386"/>
  <c r="BL386"/>
  <c r="BK386"/>
  <c r="BJ386"/>
  <c r="BI386"/>
  <c r="BH386"/>
  <c r="BG386"/>
  <c r="BF386"/>
  <c r="BE386"/>
  <c r="BD386"/>
  <c r="BC386"/>
  <c r="BB386"/>
  <c r="BA386"/>
  <c r="AZ386"/>
  <c r="AY386"/>
  <c r="AX386"/>
  <c r="AW386"/>
  <c r="AV386"/>
  <c r="AC386"/>
  <c r="H386"/>
  <c r="G386"/>
  <c r="E386"/>
  <c r="BT385"/>
  <c r="BS385"/>
  <c r="BR385"/>
  <c r="BQ385"/>
  <c r="BP385"/>
  <c r="BO385"/>
  <c r="BN385"/>
  <c r="BM385"/>
  <c r="BL385"/>
  <c r="BK385"/>
  <c r="BJ385"/>
  <c r="BI385"/>
  <c r="BH385"/>
  <c r="BG385"/>
  <c r="BF385"/>
  <c r="BE385"/>
  <c r="BD385"/>
  <c r="BC385"/>
  <c r="BB385"/>
  <c r="BA385"/>
  <c r="AZ385"/>
  <c r="AY385"/>
  <c r="AX385"/>
  <c r="AW385"/>
  <c r="AV385"/>
  <c r="AC385"/>
  <c r="H385"/>
  <c r="G385"/>
  <c r="E385"/>
  <c r="BT384"/>
  <c r="BS384"/>
  <c r="BR384"/>
  <c r="BQ384"/>
  <c r="BP384"/>
  <c r="BO384"/>
  <c r="BN384"/>
  <c r="BM384"/>
  <c r="BL384"/>
  <c r="BK384"/>
  <c r="BJ384"/>
  <c r="BI384"/>
  <c r="BH384"/>
  <c r="BG384"/>
  <c r="BF384"/>
  <c r="BE384"/>
  <c r="BD384"/>
  <c r="BC384"/>
  <c r="BB384"/>
  <c r="BA384"/>
  <c r="AZ384"/>
  <c r="AY384"/>
  <c r="AX384"/>
  <c r="AW384"/>
  <c r="AV384"/>
  <c r="AC384"/>
  <c r="H384"/>
  <c r="G384"/>
  <c r="E384"/>
  <c r="BT383"/>
  <c r="BS383"/>
  <c r="BR383"/>
  <c r="BQ383"/>
  <c r="BP383"/>
  <c r="BO383"/>
  <c r="BN383"/>
  <c r="BM383"/>
  <c r="BL383"/>
  <c r="BK383"/>
  <c r="BJ383"/>
  <c r="BI383"/>
  <c r="BH383"/>
  <c r="BG383"/>
  <c r="BF383"/>
  <c r="BE383"/>
  <c r="BD383"/>
  <c r="BC383"/>
  <c r="BB383"/>
  <c r="BA383"/>
  <c r="AZ383"/>
  <c r="AY383"/>
  <c r="AX383"/>
  <c r="AW383"/>
  <c r="AV383"/>
  <c r="AC383"/>
  <c r="H383"/>
  <c r="G383"/>
  <c r="E383"/>
  <c r="BT382"/>
  <c r="BS382"/>
  <c r="BR382"/>
  <c r="BQ382"/>
  <c r="BP382"/>
  <c r="BO382"/>
  <c r="BN382"/>
  <c r="BM382"/>
  <c r="BL382"/>
  <c r="BK382"/>
  <c r="BJ382"/>
  <c r="BI382"/>
  <c r="BH382"/>
  <c r="BG382"/>
  <c r="BF382"/>
  <c r="BE382"/>
  <c r="BD382"/>
  <c r="BC382"/>
  <c r="BB382"/>
  <c r="BA382"/>
  <c r="AZ382"/>
  <c r="AY382"/>
  <c r="AX382"/>
  <c r="AW382"/>
  <c r="AV382"/>
  <c r="AC382"/>
  <c r="H382"/>
  <c r="G382"/>
  <c r="E382"/>
  <c r="BT381"/>
  <c r="BS381"/>
  <c r="BR381"/>
  <c r="BQ381"/>
  <c r="BP381"/>
  <c r="BO381"/>
  <c r="BN381"/>
  <c r="BM381"/>
  <c r="BL381"/>
  <c r="BK381"/>
  <c r="BJ381"/>
  <c r="BI381"/>
  <c r="BH381"/>
  <c r="BG381"/>
  <c r="BF381"/>
  <c r="BE381"/>
  <c r="BD381"/>
  <c r="BC381"/>
  <c r="BB381"/>
  <c r="BA381"/>
  <c r="AZ381"/>
  <c r="AY381"/>
  <c r="AX381"/>
  <c r="AW381"/>
  <c r="AV381"/>
  <c r="AC381"/>
  <c r="H381"/>
  <c r="G381"/>
  <c r="E381"/>
  <c r="BT380"/>
  <c r="BS380"/>
  <c r="BR380"/>
  <c r="BQ380"/>
  <c r="BP380"/>
  <c r="BO380"/>
  <c r="BN380"/>
  <c r="BM380"/>
  <c r="BL380"/>
  <c r="BK380"/>
  <c r="BJ380"/>
  <c r="BI380"/>
  <c r="BH380"/>
  <c r="BG380"/>
  <c r="BF380"/>
  <c r="BE380"/>
  <c r="BD380"/>
  <c r="BC380"/>
  <c r="BB380"/>
  <c r="BA380"/>
  <c r="AZ380"/>
  <c r="AY380"/>
  <c r="AX380"/>
  <c r="AW380"/>
  <c r="AV380"/>
  <c r="AC380"/>
  <c r="H380"/>
  <c r="G380"/>
  <c r="E380"/>
  <c r="BT379"/>
  <c r="BS379"/>
  <c r="BR379"/>
  <c r="BQ379"/>
  <c r="BP379"/>
  <c r="BO379"/>
  <c r="BN379"/>
  <c r="BM379"/>
  <c r="BL379"/>
  <c r="BK379"/>
  <c r="BJ379"/>
  <c r="BI379"/>
  <c r="BH379"/>
  <c r="BG379"/>
  <c r="BF379"/>
  <c r="BE379"/>
  <c r="BD379"/>
  <c r="BC379"/>
  <c r="BB379"/>
  <c r="BA379"/>
  <c r="AZ379"/>
  <c r="AY379"/>
  <c r="AX379"/>
  <c r="AW379"/>
  <c r="AV379"/>
  <c r="AC379"/>
  <c r="H379"/>
  <c r="G379"/>
  <c r="E379"/>
  <c r="BT378"/>
  <c r="BS378"/>
  <c r="BR378"/>
  <c r="BQ378"/>
  <c r="BP378"/>
  <c r="BO378"/>
  <c r="BN378"/>
  <c r="BM378"/>
  <c r="BL378"/>
  <c r="BK378"/>
  <c r="BJ378"/>
  <c r="BI378"/>
  <c r="BH378"/>
  <c r="BG378"/>
  <c r="BF378"/>
  <c r="BE378"/>
  <c r="BD378"/>
  <c r="BC378"/>
  <c r="BB378"/>
  <c r="BA378"/>
  <c r="AZ378"/>
  <c r="AY378"/>
  <c r="AX378"/>
  <c r="AW378"/>
  <c r="AV378"/>
  <c r="AC378"/>
  <c r="H378"/>
  <c r="G378"/>
  <c r="E378"/>
  <c r="BT377"/>
  <c r="BS377"/>
  <c r="BR377"/>
  <c r="BQ377"/>
  <c r="BP377"/>
  <c r="BO377"/>
  <c r="BN377"/>
  <c r="BM377"/>
  <c r="BL377"/>
  <c r="BK377"/>
  <c r="BJ377"/>
  <c r="BI377"/>
  <c r="BH377"/>
  <c r="BG377"/>
  <c r="BF377"/>
  <c r="BE377"/>
  <c r="BD377"/>
  <c r="BC377"/>
  <c r="BB377"/>
  <c r="BA377"/>
  <c r="AZ377"/>
  <c r="AY377"/>
  <c r="AX377"/>
  <c r="AW377"/>
  <c r="AV377"/>
  <c r="AC377"/>
  <c r="H377"/>
  <c r="G377"/>
  <c r="E377"/>
  <c r="BT376"/>
  <c r="BS376"/>
  <c r="BR376"/>
  <c r="BQ376"/>
  <c r="BP376"/>
  <c r="BO376"/>
  <c r="BN376"/>
  <c r="BM376"/>
  <c r="BL376"/>
  <c r="BK376"/>
  <c r="BJ376"/>
  <c r="BI376"/>
  <c r="BH376"/>
  <c r="BG376"/>
  <c r="BF376"/>
  <c r="BE376"/>
  <c r="BD376"/>
  <c r="BC376"/>
  <c r="BB376"/>
  <c r="BA376"/>
  <c r="AZ376"/>
  <c r="AY376"/>
  <c r="AX376"/>
  <c r="AW376"/>
  <c r="AV376"/>
  <c r="AC376"/>
  <c r="H376"/>
  <c r="G376"/>
  <c r="E376"/>
  <c r="BT375"/>
  <c r="BS375"/>
  <c r="BR375"/>
  <c r="BQ375"/>
  <c r="BP375"/>
  <c r="BO375"/>
  <c r="BN375"/>
  <c r="BM375"/>
  <c r="BL375"/>
  <c r="BK375"/>
  <c r="BJ375"/>
  <c r="BI375"/>
  <c r="BH375"/>
  <c r="BG375"/>
  <c r="BF375"/>
  <c r="BE375"/>
  <c r="BD375"/>
  <c r="BC375"/>
  <c r="BB375"/>
  <c r="BA375"/>
  <c r="AZ375"/>
  <c r="AY375"/>
  <c r="AX375"/>
  <c r="AW375"/>
  <c r="AV375"/>
  <c r="AC375"/>
  <c r="H375"/>
  <c r="G375"/>
  <c r="E375"/>
  <c r="BT374"/>
  <c r="BS374"/>
  <c r="BR374"/>
  <c r="BQ374"/>
  <c r="BP374"/>
  <c r="BO374"/>
  <c r="BN374"/>
  <c r="BM374"/>
  <c r="BL374"/>
  <c r="BK374"/>
  <c r="BJ374"/>
  <c r="BI374"/>
  <c r="BH374"/>
  <c r="BG374"/>
  <c r="BF374"/>
  <c r="BE374"/>
  <c r="BD374"/>
  <c r="BC374"/>
  <c r="BB374"/>
  <c r="BA374"/>
  <c r="AZ374"/>
  <c r="AY374"/>
  <c r="AX374"/>
  <c r="AW374"/>
  <c r="AV374"/>
  <c r="AC374"/>
  <c r="H374"/>
  <c r="G374"/>
  <c r="E374"/>
  <c r="BT373"/>
  <c r="BS373"/>
  <c r="BR373"/>
  <c r="BQ373"/>
  <c r="BP373"/>
  <c r="BO373"/>
  <c r="BN373"/>
  <c r="BM373"/>
  <c r="BL373"/>
  <c r="BK373"/>
  <c r="BJ373"/>
  <c r="BI373"/>
  <c r="BH373"/>
  <c r="BG373"/>
  <c r="BF373"/>
  <c r="BE373"/>
  <c r="BD373"/>
  <c r="BC373"/>
  <c r="BB373"/>
  <c r="BA373"/>
  <c r="AZ373"/>
  <c r="AY373"/>
  <c r="AX373"/>
  <c r="AW373"/>
  <c r="AV373"/>
  <c r="AC373"/>
  <c r="H373"/>
  <c r="G373"/>
  <c r="E373"/>
  <c r="BT372"/>
  <c r="BS372"/>
  <c r="BR372"/>
  <c r="BQ372"/>
  <c r="BP372"/>
  <c r="BO372"/>
  <c r="BN372"/>
  <c r="BM372"/>
  <c r="BL372"/>
  <c r="BK372"/>
  <c r="BJ372"/>
  <c r="BI372"/>
  <c r="BH372"/>
  <c r="BG372"/>
  <c r="BF372"/>
  <c r="BE372"/>
  <c r="BD372"/>
  <c r="BC372"/>
  <c r="BB372"/>
  <c r="BA372"/>
  <c r="AZ372"/>
  <c r="AY372"/>
  <c r="AX372"/>
  <c r="AW372"/>
  <c r="AV372"/>
  <c r="AC372"/>
  <c r="H372"/>
  <c r="G372"/>
  <c r="E372"/>
  <c r="BT371"/>
  <c r="BS371"/>
  <c r="BR371"/>
  <c r="BQ371"/>
  <c r="BP371"/>
  <c r="BO371"/>
  <c r="BN371"/>
  <c r="BM371"/>
  <c r="BL371"/>
  <c r="BK371"/>
  <c r="BJ371"/>
  <c r="BI371"/>
  <c r="BH371"/>
  <c r="BG371"/>
  <c r="BF371"/>
  <c r="BE371"/>
  <c r="BD371"/>
  <c r="BC371"/>
  <c r="BB371"/>
  <c r="BA371"/>
  <c r="AZ371"/>
  <c r="AY371"/>
  <c r="AX371"/>
  <c r="AW371"/>
  <c r="AV371"/>
  <c r="AC371"/>
  <c r="H371"/>
  <c r="G371"/>
  <c r="E371"/>
  <c r="BT370"/>
  <c r="BS370"/>
  <c r="BR370"/>
  <c r="BQ370"/>
  <c r="BP370"/>
  <c r="BO370"/>
  <c r="BN370"/>
  <c r="BM370"/>
  <c r="BL370"/>
  <c r="BK370"/>
  <c r="BJ370"/>
  <c r="BI370"/>
  <c r="BH370"/>
  <c r="BG370"/>
  <c r="BF370"/>
  <c r="BE370"/>
  <c r="BD370"/>
  <c r="BC370"/>
  <c r="BB370"/>
  <c r="BA370"/>
  <c r="AZ370"/>
  <c r="AY370"/>
  <c r="AX370"/>
  <c r="AW370"/>
  <c r="AV370"/>
  <c r="AC370"/>
  <c r="H370"/>
  <c r="G370"/>
  <c r="E370"/>
  <c r="BT369"/>
  <c r="BS369"/>
  <c r="BR369"/>
  <c r="BQ369"/>
  <c r="BP369"/>
  <c r="BO369"/>
  <c r="BN369"/>
  <c r="BM369"/>
  <c r="BL369"/>
  <c r="BK369"/>
  <c r="BJ369"/>
  <c r="BI369"/>
  <c r="BH369"/>
  <c r="BG369"/>
  <c r="BF369"/>
  <c r="BE369"/>
  <c r="BD369"/>
  <c r="BC369"/>
  <c r="BB369"/>
  <c r="BA369"/>
  <c r="AZ369"/>
  <c r="AY369"/>
  <c r="AX369"/>
  <c r="AW369"/>
  <c r="AV369"/>
  <c r="AC369"/>
  <c r="H369"/>
  <c r="G369"/>
  <c r="E369"/>
  <c r="BT368"/>
  <c r="BS368"/>
  <c r="BR368"/>
  <c r="BQ368"/>
  <c r="BP368"/>
  <c r="BO368"/>
  <c r="BN368"/>
  <c r="BM368"/>
  <c r="BL368"/>
  <c r="BK368"/>
  <c r="BJ368"/>
  <c r="BI368"/>
  <c r="BH368"/>
  <c r="BG368"/>
  <c r="BF368"/>
  <c r="BE368"/>
  <c r="BD368"/>
  <c r="BC368"/>
  <c r="BB368"/>
  <c r="BA368"/>
  <c r="AZ368"/>
  <c r="AY368"/>
  <c r="AX368"/>
  <c r="AW368"/>
  <c r="AV368"/>
  <c r="AC368"/>
  <c r="H368"/>
  <c r="G368"/>
  <c r="E368"/>
  <c r="BT367"/>
  <c r="BS367"/>
  <c r="BR367"/>
  <c r="BQ367"/>
  <c r="BP367"/>
  <c r="BO367"/>
  <c r="BN367"/>
  <c r="BM367"/>
  <c r="BL367"/>
  <c r="BK367"/>
  <c r="BJ367"/>
  <c r="BI367"/>
  <c r="BH367"/>
  <c r="BG367"/>
  <c r="BF367"/>
  <c r="BE367"/>
  <c r="BD367"/>
  <c r="BC367"/>
  <c r="BB367"/>
  <c r="BA367"/>
  <c r="AZ367"/>
  <c r="AY367"/>
  <c r="AX367"/>
  <c r="AW367"/>
  <c r="AV367"/>
  <c r="AC367"/>
  <c r="H367"/>
  <c r="G367"/>
  <c r="E367"/>
  <c r="BT366"/>
  <c r="BS366"/>
  <c r="BR366"/>
  <c r="BQ366"/>
  <c r="BP366"/>
  <c r="BO366"/>
  <c r="BN366"/>
  <c r="BM366"/>
  <c r="BL366"/>
  <c r="BK366"/>
  <c r="BJ366"/>
  <c r="BI366"/>
  <c r="BH366"/>
  <c r="BG366"/>
  <c r="BF366"/>
  <c r="BE366"/>
  <c r="BD366"/>
  <c r="BC366"/>
  <c r="BB366"/>
  <c r="BA366"/>
  <c r="AZ366"/>
  <c r="AY366"/>
  <c r="AX366"/>
  <c r="AW366"/>
  <c r="AV366"/>
  <c r="AC366"/>
  <c r="H366"/>
  <c r="G366"/>
  <c r="E366"/>
  <c r="BT365"/>
  <c r="BS365"/>
  <c r="BR365"/>
  <c r="BQ365"/>
  <c r="BP365"/>
  <c r="BO365"/>
  <c r="BN365"/>
  <c r="BM365"/>
  <c r="BL365"/>
  <c r="BK365"/>
  <c r="BJ365"/>
  <c r="BI365"/>
  <c r="BH365"/>
  <c r="BG365"/>
  <c r="BF365"/>
  <c r="BE365"/>
  <c r="BD365"/>
  <c r="BC365"/>
  <c r="BB365"/>
  <c r="BA365"/>
  <c r="AZ365"/>
  <c r="AY365"/>
  <c r="AX365"/>
  <c r="AW365"/>
  <c r="AV365"/>
  <c r="AC365"/>
  <c r="H365"/>
  <c r="G365"/>
  <c r="E365"/>
  <c r="BT364"/>
  <c r="BS364"/>
  <c r="BR364"/>
  <c r="BQ364"/>
  <c r="BP364"/>
  <c r="BO364"/>
  <c r="BN364"/>
  <c r="BM364"/>
  <c r="BL364"/>
  <c r="BK364"/>
  <c r="BJ364"/>
  <c r="BI364"/>
  <c r="BH364"/>
  <c r="BG364"/>
  <c r="BF364"/>
  <c r="BE364"/>
  <c r="BD364"/>
  <c r="BC364"/>
  <c r="BB364"/>
  <c r="BA364"/>
  <c r="AZ364"/>
  <c r="AY364"/>
  <c r="AX364"/>
  <c r="AW364"/>
  <c r="AV364"/>
  <c r="AC364"/>
  <c r="H364"/>
  <c r="G364"/>
  <c r="E364"/>
  <c r="BT363"/>
  <c r="BS363"/>
  <c r="BR363"/>
  <c r="BQ363"/>
  <c r="BP363"/>
  <c r="BO363"/>
  <c r="BN363"/>
  <c r="BM363"/>
  <c r="BL363"/>
  <c r="BK363"/>
  <c r="BJ363"/>
  <c r="BI363"/>
  <c r="BH363"/>
  <c r="BG363"/>
  <c r="BF363"/>
  <c r="BE363"/>
  <c r="BD363"/>
  <c r="BC363"/>
  <c r="BB363"/>
  <c r="BA363"/>
  <c r="AZ363"/>
  <c r="AY363"/>
  <c r="AX363"/>
  <c r="AW363"/>
  <c r="AV363"/>
  <c r="AC363"/>
  <c r="H363"/>
  <c r="G363"/>
  <c r="E363"/>
  <c r="BT362"/>
  <c r="BS362"/>
  <c r="BR362"/>
  <c r="BQ362"/>
  <c r="BP362"/>
  <c r="BO362"/>
  <c r="BN362"/>
  <c r="BM362"/>
  <c r="BL362"/>
  <c r="BK362"/>
  <c r="BJ362"/>
  <c r="BI362"/>
  <c r="BH362"/>
  <c r="BG362"/>
  <c r="BF362"/>
  <c r="BE362"/>
  <c r="BD362"/>
  <c r="BC362"/>
  <c r="BB362"/>
  <c r="BA362"/>
  <c r="AZ362"/>
  <c r="AY362"/>
  <c r="AX362"/>
  <c r="AW362"/>
  <c r="AV362"/>
  <c r="AC362"/>
  <c r="H362"/>
  <c r="G362"/>
  <c r="E362"/>
  <c r="BT361"/>
  <c r="BS361"/>
  <c r="BR361"/>
  <c r="BQ361"/>
  <c r="BP361"/>
  <c r="BO361"/>
  <c r="BN361"/>
  <c r="BM361"/>
  <c r="BL361"/>
  <c r="BK361"/>
  <c r="BJ361"/>
  <c r="BI361"/>
  <c r="BH361"/>
  <c r="BG361"/>
  <c r="BF361"/>
  <c r="BE361"/>
  <c r="BD361"/>
  <c r="BC361"/>
  <c r="BB361"/>
  <c r="BA361"/>
  <c r="AZ361"/>
  <c r="AY361"/>
  <c r="AX361"/>
  <c r="AW361"/>
  <c r="AV361"/>
  <c r="AC361"/>
  <c r="H361"/>
  <c r="G361"/>
  <c r="E361"/>
  <c r="BT360"/>
  <c r="BS360"/>
  <c r="BR360"/>
  <c r="BQ360"/>
  <c r="BP360"/>
  <c r="BO360"/>
  <c r="BN360"/>
  <c r="BM360"/>
  <c r="BL360"/>
  <c r="BK360"/>
  <c r="BJ360"/>
  <c r="BI360"/>
  <c r="BH360"/>
  <c r="BG360"/>
  <c r="BF360"/>
  <c r="BE360"/>
  <c r="BD360"/>
  <c r="BC360"/>
  <c r="BB360"/>
  <c r="BA360"/>
  <c r="AZ360"/>
  <c r="AY360"/>
  <c r="AX360"/>
  <c r="AW360"/>
  <c r="AV360"/>
  <c r="AC360"/>
  <c r="H360"/>
  <c r="G360"/>
  <c r="E360"/>
  <c r="BT359"/>
  <c r="BS359"/>
  <c r="BR359"/>
  <c r="BQ359"/>
  <c r="BP359"/>
  <c r="BO359"/>
  <c r="BN359"/>
  <c r="BM359"/>
  <c r="BL359"/>
  <c r="BK359"/>
  <c r="BJ359"/>
  <c r="BI359"/>
  <c r="BH359"/>
  <c r="BG359"/>
  <c r="BF359"/>
  <c r="BE359"/>
  <c r="BD359"/>
  <c r="BC359"/>
  <c r="BB359"/>
  <c r="BA359"/>
  <c r="AZ359"/>
  <c r="AY359"/>
  <c r="AX359"/>
  <c r="AW359"/>
  <c r="AV359"/>
  <c r="AC359"/>
  <c r="H359"/>
  <c r="G359"/>
  <c r="E359"/>
  <c r="BT358"/>
  <c r="BS358"/>
  <c r="BR358"/>
  <c r="BQ358"/>
  <c r="BP358"/>
  <c r="BO358"/>
  <c r="BN358"/>
  <c r="BM358"/>
  <c r="BL358"/>
  <c r="BK358"/>
  <c r="BJ358"/>
  <c r="BI358"/>
  <c r="BH358"/>
  <c r="BG358"/>
  <c r="BF358"/>
  <c r="BE358"/>
  <c r="BD358"/>
  <c r="BC358"/>
  <c r="BB358"/>
  <c r="BA358"/>
  <c r="AZ358"/>
  <c r="AY358"/>
  <c r="AX358"/>
  <c r="AW358"/>
  <c r="AV358"/>
  <c r="AC358"/>
  <c r="H358"/>
  <c r="G358"/>
  <c r="E358"/>
  <c r="BT357"/>
  <c r="BS357"/>
  <c r="BR357"/>
  <c r="BQ357"/>
  <c r="BP357"/>
  <c r="BO357"/>
  <c r="BN357"/>
  <c r="BM357"/>
  <c r="BL357"/>
  <c r="BK357"/>
  <c r="BJ357"/>
  <c r="BI357"/>
  <c r="BH357"/>
  <c r="BG357"/>
  <c r="BF357"/>
  <c r="BE357"/>
  <c r="BD357"/>
  <c r="BC357"/>
  <c r="BB357"/>
  <c r="BA357"/>
  <c r="AZ357"/>
  <c r="AY357"/>
  <c r="AX357"/>
  <c r="AW357"/>
  <c r="AV357"/>
  <c r="AC357"/>
  <c r="H357"/>
  <c r="G357"/>
  <c r="E357"/>
  <c r="BT356"/>
  <c r="BS356"/>
  <c r="BR356"/>
  <c r="BQ356"/>
  <c r="BP356"/>
  <c r="BO356"/>
  <c r="BN356"/>
  <c r="BM356"/>
  <c r="BL356"/>
  <c r="BK356"/>
  <c r="BJ356"/>
  <c r="BI356"/>
  <c r="BH356"/>
  <c r="BG356"/>
  <c r="BF356"/>
  <c r="BE356"/>
  <c r="BD356"/>
  <c r="BC356"/>
  <c r="BB356"/>
  <c r="BA356"/>
  <c r="AZ356"/>
  <c r="AY356"/>
  <c r="AX356"/>
  <c r="AW356"/>
  <c r="AV356"/>
  <c r="AC356"/>
  <c r="H356"/>
  <c r="G356"/>
  <c r="E356"/>
  <c r="BT355"/>
  <c r="BS355"/>
  <c r="BR355"/>
  <c r="BQ355"/>
  <c r="BP355"/>
  <c r="BO355"/>
  <c r="BN355"/>
  <c r="BM355"/>
  <c r="BL355"/>
  <c r="BK355"/>
  <c r="BJ355"/>
  <c r="BI355"/>
  <c r="BH355"/>
  <c r="BG355"/>
  <c r="BF355"/>
  <c r="BE355"/>
  <c r="BD355"/>
  <c r="BC355"/>
  <c r="BB355"/>
  <c r="BA355"/>
  <c r="AZ355"/>
  <c r="AY355"/>
  <c r="AX355"/>
  <c r="AW355"/>
  <c r="AV355"/>
  <c r="AC355"/>
  <c r="H355"/>
  <c r="G355"/>
  <c r="E355"/>
  <c r="BT354"/>
  <c r="BS354"/>
  <c r="BR354"/>
  <c r="BQ354"/>
  <c r="BP354"/>
  <c r="BO354"/>
  <c r="BN354"/>
  <c r="BM354"/>
  <c r="BL354"/>
  <c r="BK354"/>
  <c r="BJ354"/>
  <c r="BI354"/>
  <c r="BH354"/>
  <c r="BG354"/>
  <c r="BF354"/>
  <c r="BE354"/>
  <c r="BD354"/>
  <c r="BC354"/>
  <c r="BB354"/>
  <c r="BA354"/>
  <c r="AZ354"/>
  <c r="AY354"/>
  <c r="AX354"/>
  <c r="AW354"/>
  <c r="AV354"/>
  <c r="AC354"/>
  <c r="H354"/>
  <c r="G354"/>
  <c r="E354"/>
  <c r="BT353"/>
  <c r="BS353"/>
  <c r="BR353"/>
  <c r="BQ353"/>
  <c r="BP353"/>
  <c r="BO353"/>
  <c r="BN353"/>
  <c r="BM353"/>
  <c r="BL353"/>
  <c r="BK353"/>
  <c r="BJ353"/>
  <c r="BI353"/>
  <c r="BH353"/>
  <c r="BG353"/>
  <c r="BF353"/>
  <c r="BE353"/>
  <c r="BD353"/>
  <c r="BC353"/>
  <c r="BB353"/>
  <c r="BA353"/>
  <c r="AZ353"/>
  <c r="AY353"/>
  <c r="AX353"/>
  <c r="AW353"/>
  <c r="AV353"/>
  <c r="AC353"/>
  <c r="H353"/>
  <c r="G353"/>
  <c r="E353"/>
  <c r="BT352"/>
  <c r="BS352"/>
  <c r="BR352"/>
  <c r="BQ352"/>
  <c r="BP352"/>
  <c r="BO352"/>
  <c r="BN352"/>
  <c r="BM352"/>
  <c r="BL352"/>
  <c r="BK352"/>
  <c r="BJ352"/>
  <c r="BI352"/>
  <c r="BH352"/>
  <c r="BG352"/>
  <c r="BF352"/>
  <c r="BE352"/>
  <c r="BD352"/>
  <c r="BC352"/>
  <c r="BB352"/>
  <c r="BA352"/>
  <c r="AZ352"/>
  <c r="AY352"/>
  <c r="AX352"/>
  <c r="AW352"/>
  <c r="AV352"/>
  <c r="AC352"/>
  <c r="H352"/>
  <c r="G352"/>
  <c r="E352"/>
  <c r="BT351"/>
  <c r="BS351"/>
  <c r="BR351"/>
  <c r="BQ351"/>
  <c r="BP351"/>
  <c r="BO351"/>
  <c r="BN351"/>
  <c r="BM351"/>
  <c r="BL351"/>
  <c r="BK351"/>
  <c r="BJ351"/>
  <c r="BI351"/>
  <c r="BH351"/>
  <c r="BG351"/>
  <c r="BF351"/>
  <c r="BE351"/>
  <c r="BD351"/>
  <c r="BC351"/>
  <c r="BB351"/>
  <c r="BA351"/>
  <c r="AZ351"/>
  <c r="AY351"/>
  <c r="AX351"/>
  <c r="AW351"/>
  <c r="AV351"/>
  <c r="AC351"/>
  <c r="H351"/>
  <c r="G351"/>
  <c r="E351"/>
  <c r="BT350"/>
  <c r="BS350"/>
  <c r="BR350"/>
  <c r="BQ350"/>
  <c r="BP350"/>
  <c r="BO350"/>
  <c r="BN350"/>
  <c r="BM350"/>
  <c r="BL350"/>
  <c r="BK350"/>
  <c r="BJ350"/>
  <c r="BI350"/>
  <c r="BH350"/>
  <c r="BG350"/>
  <c r="BF350"/>
  <c r="BE350"/>
  <c r="BD350"/>
  <c r="BC350"/>
  <c r="BB350"/>
  <c r="BA350"/>
  <c r="AZ350"/>
  <c r="AY350"/>
  <c r="AX350"/>
  <c r="AW350"/>
  <c r="AV350"/>
  <c r="AC350"/>
  <c r="H350"/>
  <c r="G350"/>
  <c r="E350"/>
  <c r="BT349"/>
  <c r="BS349"/>
  <c r="BR349"/>
  <c r="BQ349"/>
  <c r="BP349"/>
  <c r="BO349"/>
  <c r="BN349"/>
  <c r="BM349"/>
  <c r="BL349"/>
  <c r="BK349"/>
  <c r="BJ349"/>
  <c r="BI349"/>
  <c r="BH349"/>
  <c r="BG349"/>
  <c r="BF349"/>
  <c r="BE349"/>
  <c r="BD349"/>
  <c r="BC349"/>
  <c r="BB349"/>
  <c r="BA349"/>
  <c r="AZ349"/>
  <c r="AY349"/>
  <c r="AX349"/>
  <c r="AW349"/>
  <c r="AV349"/>
  <c r="AC349"/>
  <c r="H349"/>
  <c r="G349"/>
  <c r="E349"/>
  <c r="BT348"/>
  <c r="BS348"/>
  <c r="BR348"/>
  <c r="BQ348"/>
  <c r="BP348"/>
  <c r="BO348"/>
  <c r="BN348"/>
  <c r="BM348"/>
  <c r="BL348"/>
  <c r="BK348"/>
  <c r="BJ348"/>
  <c r="BI348"/>
  <c r="BH348"/>
  <c r="BG348"/>
  <c r="BF348"/>
  <c r="BE348"/>
  <c r="BD348"/>
  <c r="BC348"/>
  <c r="BB348"/>
  <c r="BA348"/>
  <c r="AZ348"/>
  <c r="AY348"/>
  <c r="AX348"/>
  <c r="AW348"/>
  <c r="AV348"/>
  <c r="AC348"/>
  <c r="H348"/>
  <c r="G348"/>
  <c r="E348"/>
  <c r="BT347"/>
  <c r="BS347"/>
  <c r="BR347"/>
  <c r="BQ347"/>
  <c r="BP347"/>
  <c r="BO347"/>
  <c r="BN347"/>
  <c r="BM347"/>
  <c r="BL347"/>
  <c r="BK347"/>
  <c r="BJ347"/>
  <c r="BI347"/>
  <c r="BH347"/>
  <c r="BG347"/>
  <c r="BF347"/>
  <c r="BE347"/>
  <c r="BD347"/>
  <c r="BC347"/>
  <c r="BB347"/>
  <c r="BA347"/>
  <c r="AZ347"/>
  <c r="AY347"/>
  <c r="AX347"/>
  <c r="AW347"/>
  <c r="AV347"/>
  <c r="AC347"/>
  <c r="H347"/>
  <c r="G347"/>
  <c r="E347"/>
  <c r="BT346"/>
  <c r="BS346"/>
  <c r="BR346"/>
  <c r="BQ346"/>
  <c r="BP346"/>
  <c r="BO346"/>
  <c r="BN346"/>
  <c r="BM346"/>
  <c r="BL346"/>
  <c r="BK346"/>
  <c r="BJ346"/>
  <c r="BI346"/>
  <c r="BH346"/>
  <c r="BG346"/>
  <c r="BF346"/>
  <c r="BE346"/>
  <c r="BD346"/>
  <c r="BC346"/>
  <c r="BB346"/>
  <c r="BA346"/>
  <c r="AZ346"/>
  <c r="AY346"/>
  <c r="AX346"/>
  <c r="AW346"/>
  <c r="AV346"/>
  <c r="AC346"/>
  <c r="H346"/>
  <c r="G346"/>
  <c r="E346"/>
  <c r="BT345"/>
  <c r="BS345"/>
  <c r="BR345"/>
  <c r="BQ345"/>
  <c r="BP345"/>
  <c r="BO345"/>
  <c r="BN345"/>
  <c r="BM345"/>
  <c r="BL345"/>
  <c r="BK345"/>
  <c r="BJ345"/>
  <c r="BI345"/>
  <c r="BH345"/>
  <c r="BG345"/>
  <c r="BF345"/>
  <c r="BE345"/>
  <c r="BD345"/>
  <c r="BC345"/>
  <c r="BB345"/>
  <c r="BA345"/>
  <c r="AZ345"/>
  <c r="AY345"/>
  <c r="AX345"/>
  <c r="AW345"/>
  <c r="AV345"/>
  <c r="AC345"/>
  <c r="H345"/>
  <c r="G345"/>
  <c r="E345"/>
  <c r="BT344"/>
  <c r="BS344"/>
  <c r="BR344"/>
  <c r="BQ344"/>
  <c r="BP344"/>
  <c r="BO344"/>
  <c r="BN344"/>
  <c r="BM344"/>
  <c r="BL344"/>
  <c r="BK344"/>
  <c r="BJ344"/>
  <c r="BI344"/>
  <c r="BH344"/>
  <c r="BG344"/>
  <c r="BF344"/>
  <c r="BE344"/>
  <c r="BD344"/>
  <c r="BC344"/>
  <c r="BB344"/>
  <c r="BA344"/>
  <c r="AZ344"/>
  <c r="AY344"/>
  <c r="AX344"/>
  <c r="AW344"/>
  <c r="AV344"/>
  <c r="AC344"/>
  <c r="H344"/>
  <c r="G344"/>
  <c r="E344"/>
  <c r="BT343"/>
  <c r="BS343"/>
  <c r="BR343"/>
  <c r="BQ343"/>
  <c r="BP343"/>
  <c r="BO343"/>
  <c r="BN343"/>
  <c r="BM343"/>
  <c r="BL343"/>
  <c r="BK343"/>
  <c r="BJ343"/>
  <c r="BI343"/>
  <c r="BH343"/>
  <c r="BG343"/>
  <c r="BF343"/>
  <c r="BE343"/>
  <c r="BD343"/>
  <c r="BC343"/>
  <c r="BB343"/>
  <c r="BA343"/>
  <c r="AZ343"/>
  <c r="AY343"/>
  <c r="AX343"/>
  <c r="AW343"/>
  <c r="AV343"/>
  <c r="AC343"/>
  <c r="H343"/>
  <c r="G343"/>
  <c r="E343"/>
  <c r="BT342"/>
  <c r="BS342"/>
  <c r="BR342"/>
  <c r="BQ342"/>
  <c r="BP342"/>
  <c r="BO342"/>
  <c r="BN342"/>
  <c r="BM342"/>
  <c r="BL342"/>
  <c r="BK342"/>
  <c r="BJ342"/>
  <c r="BI342"/>
  <c r="BH342"/>
  <c r="BG342"/>
  <c r="BF342"/>
  <c r="BE342"/>
  <c r="BD342"/>
  <c r="BC342"/>
  <c r="BB342"/>
  <c r="BA342"/>
  <c r="AZ342"/>
  <c r="AY342"/>
  <c r="AX342"/>
  <c r="AW342"/>
  <c r="AV342"/>
  <c r="AC342"/>
  <c r="H342"/>
  <c r="G342"/>
  <c r="E342"/>
  <c r="BT341"/>
  <c r="BS341"/>
  <c r="BR341"/>
  <c r="BQ341"/>
  <c r="BP341"/>
  <c r="BO341"/>
  <c r="BN341"/>
  <c r="BM341"/>
  <c r="BL341"/>
  <c r="BK341"/>
  <c r="BJ341"/>
  <c r="BI341"/>
  <c r="BH341"/>
  <c r="BG341"/>
  <c r="BF341"/>
  <c r="BE341"/>
  <c r="BD341"/>
  <c r="BC341"/>
  <c r="BB341"/>
  <c r="BA341"/>
  <c r="AZ341"/>
  <c r="AY341"/>
  <c r="AX341"/>
  <c r="AW341"/>
  <c r="AV341"/>
  <c r="AC341"/>
  <c r="H341"/>
  <c r="G341"/>
  <c r="E341"/>
  <c r="BT340"/>
  <c r="BS340"/>
  <c r="BR340"/>
  <c r="BQ340"/>
  <c r="BP340"/>
  <c r="BO340"/>
  <c r="BN340"/>
  <c r="BM340"/>
  <c r="BL340"/>
  <c r="BK340"/>
  <c r="BJ340"/>
  <c r="BI340"/>
  <c r="BH340"/>
  <c r="BG340"/>
  <c r="BF340"/>
  <c r="BE340"/>
  <c r="BD340"/>
  <c r="BC340"/>
  <c r="BB340"/>
  <c r="BA340"/>
  <c r="AZ340"/>
  <c r="AY340"/>
  <c r="AX340"/>
  <c r="AW340"/>
  <c r="AV340"/>
  <c r="AC340"/>
  <c r="H340"/>
  <c r="G340"/>
  <c r="E340"/>
  <c r="BT339"/>
  <c r="BS339"/>
  <c r="BR339"/>
  <c r="BQ339"/>
  <c r="BP339"/>
  <c r="BO339"/>
  <c r="BN339"/>
  <c r="BM339"/>
  <c r="BL339"/>
  <c r="BK339"/>
  <c r="BJ339"/>
  <c r="BI339"/>
  <c r="BH339"/>
  <c r="BG339"/>
  <c r="BF339"/>
  <c r="BE339"/>
  <c r="BD339"/>
  <c r="BC339"/>
  <c r="BB339"/>
  <c r="BA339"/>
  <c r="AZ339"/>
  <c r="AY339"/>
  <c r="AX339"/>
  <c r="AW339"/>
  <c r="AV339"/>
  <c r="AC339"/>
  <c r="H339"/>
  <c r="G339"/>
  <c r="E339"/>
  <c r="BT338"/>
  <c r="BS338"/>
  <c r="BR338"/>
  <c r="BQ338"/>
  <c r="BP338"/>
  <c r="BO338"/>
  <c r="BN338"/>
  <c r="BM338"/>
  <c r="BL338"/>
  <c r="BK338"/>
  <c r="BJ338"/>
  <c r="BI338"/>
  <c r="BH338"/>
  <c r="BG338"/>
  <c r="BF338"/>
  <c r="BE338"/>
  <c r="BD338"/>
  <c r="BC338"/>
  <c r="BB338"/>
  <c r="BA338"/>
  <c r="AZ338"/>
  <c r="AY338"/>
  <c r="AX338"/>
  <c r="AW338"/>
  <c r="AV338"/>
  <c r="AC338"/>
  <c r="H338"/>
  <c r="G338"/>
  <c r="E338"/>
  <c r="BT337"/>
  <c r="BS337"/>
  <c r="BR337"/>
  <c r="BQ337"/>
  <c r="BP337"/>
  <c r="BO337"/>
  <c r="BN337"/>
  <c r="BM337"/>
  <c r="BL337"/>
  <c r="BK337"/>
  <c r="BJ337"/>
  <c r="BI337"/>
  <c r="BH337"/>
  <c r="BG337"/>
  <c r="BF337"/>
  <c r="BE337"/>
  <c r="BD337"/>
  <c r="BC337"/>
  <c r="BB337"/>
  <c r="BA337"/>
  <c r="AZ337"/>
  <c r="AY337"/>
  <c r="AX337"/>
  <c r="AW337"/>
  <c r="AV337"/>
  <c r="AC337"/>
  <c r="H337"/>
  <c r="G337"/>
  <c r="E337"/>
  <c r="BT336"/>
  <c r="BS336"/>
  <c r="BR336"/>
  <c r="BQ336"/>
  <c r="BP336"/>
  <c r="BO336"/>
  <c r="BN336"/>
  <c r="BM336"/>
  <c r="BL336"/>
  <c r="BK336"/>
  <c r="BJ336"/>
  <c r="BI336"/>
  <c r="BH336"/>
  <c r="BG336"/>
  <c r="BF336"/>
  <c r="BE336"/>
  <c r="BD336"/>
  <c r="BC336"/>
  <c r="BB336"/>
  <c r="BA336"/>
  <c r="AZ336"/>
  <c r="AY336"/>
  <c r="AX336"/>
  <c r="AW336"/>
  <c r="AV336"/>
  <c r="AC336"/>
  <c r="H336"/>
  <c r="G336"/>
  <c r="E336"/>
  <c r="BT335"/>
  <c r="BS335"/>
  <c r="BR335"/>
  <c r="BQ335"/>
  <c r="BP335"/>
  <c r="BO335"/>
  <c r="BN335"/>
  <c r="BM335"/>
  <c r="BL335"/>
  <c r="BK335"/>
  <c r="BJ335"/>
  <c r="BI335"/>
  <c r="BH335"/>
  <c r="BG335"/>
  <c r="BF335"/>
  <c r="BE335"/>
  <c r="BD335"/>
  <c r="BC335"/>
  <c r="BB335"/>
  <c r="BA335"/>
  <c r="AZ335"/>
  <c r="AY335"/>
  <c r="AX335"/>
  <c r="AW335"/>
  <c r="AV335"/>
  <c r="AC335"/>
  <c r="H335"/>
  <c r="G335"/>
  <c r="E335"/>
  <c r="BT334"/>
  <c r="BS334"/>
  <c r="BR334"/>
  <c r="BQ334"/>
  <c r="BP334"/>
  <c r="BO334"/>
  <c r="BN334"/>
  <c r="BM334"/>
  <c r="BL334"/>
  <c r="BK334"/>
  <c r="BJ334"/>
  <c r="BI334"/>
  <c r="BH334"/>
  <c r="BG334"/>
  <c r="BF334"/>
  <c r="BE334"/>
  <c r="BD334"/>
  <c r="BC334"/>
  <c r="BB334"/>
  <c r="BA334"/>
  <c r="AZ334"/>
  <c r="AY334"/>
  <c r="AX334"/>
  <c r="AW334"/>
  <c r="AV334"/>
  <c r="AC334"/>
  <c r="H334"/>
  <c r="G334"/>
  <c r="E334"/>
  <c r="BT333"/>
  <c r="BS333"/>
  <c r="BR333"/>
  <c r="BQ333"/>
  <c r="BP333"/>
  <c r="BO333"/>
  <c r="BN333"/>
  <c r="BM333"/>
  <c r="BL333"/>
  <c r="BK333"/>
  <c r="BJ333"/>
  <c r="BI333"/>
  <c r="BH333"/>
  <c r="BG333"/>
  <c r="BF333"/>
  <c r="BE333"/>
  <c r="BD333"/>
  <c r="BC333"/>
  <c r="BB333"/>
  <c r="BA333"/>
  <c r="AZ333"/>
  <c r="AY333"/>
  <c r="AX333"/>
  <c r="AW333"/>
  <c r="AV333"/>
  <c r="AC333"/>
  <c r="H333"/>
  <c r="G333"/>
  <c r="E333"/>
  <c r="BT332"/>
  <c r="BS332"/>
  <c r="BR332"/>
  <c r="BQ332"/>
  <c r="BP332"/>
  <c r="BO332"/>
  <c r="BN332"/>
  <c r="BM332"/>
  <c r="BL332"/>
  <c r="BK332"/>
  <c r="BJ332"/>
  <c r="BI332"/>
  <c r="BH332"/>
  <c r="BG332"/>
  <c r="BF332"/>
  <c r="BE332"/>
  <c r="BD332"/>
  <c r="BC332"/>
  <c r="BB332"/>
  <c r="BA332"/>
  <c r="AZ332"/>
  <c r="AY332"/>
  <c r="AX332"/>
  <c r="AW332"/>
  <c r="AV332"/>
  <c r="AC332"/>
  <c r="H332"/>
  <c r="G332"/>
  <c r="E332"/>
  <c r="BT331"/>
  <c r="BS331"/>
  <c r="BR331"/>
  <c r="BQ331"/>
  <c r="BP331"/>
  <c r="BO331"/>
  <c r="BN331"/>
  <c r="BM331"/>
  <c r="BL331"/>
  <c r="BK331"/>
  <c r="BJ331"/>
  <c r="BI331"/>
  <c r="BH331"/>
  <c r="BG331"/>
  <c r="BF331"/>
  <c r="BE331"/>
  <c r="BD331"/>
  <c r="BC331"/>
  <c r="BB331"/>
  <c r="BA331"/>
  <c r="AZ331"/>
  <c r="AY331"/>
  <c r="AX331"/>
  <c r="AW331"/>
  <c r="AV331"/>
  <c r="AC331"/>
  <c r="H331"/>
  <c r="G331"/>
  <c r="E331"/>
  <c r="BT330"/>
  <c r="BS330"/>
  <c r="BR330"/>
  <c r="BQ330"/>
  <c r="BP330"/>
  <c r="BO330"/>
  <c r="BN330"/>
  <c r="BM330"/>
  <c r="BL330"/>
  <c r="BK330"/>
  <c r="BJ330"/>
  <c r="BI330"/>
  <c r="BH330"/>
  <c r="BG330"/>
  <c r="BF330"/>
  <c r="BE330"/>
  <c r="BD330"/>
  <c r="BC330"/>
  <c r="BB330"/>
  <c r="BA330"/>
  <c r="AZ330"/>
  <c r="AY330"/>
  <c r="AX330"/>
  <c r="AW330"/>
  <c r="AV330"/>
  <c r="AC330"/>
  <c r="H330"/>
  <c r="G330"/>
  <c r="E330"/>
  <c r="BT329"/>
  <c r="BS329"/>
  <c r="BR329"/>
  <c r="BQ329"/>
  <c r="BP329"/>
  <c r="BO329"/>
  <c r="BN329"/>
  <c r="BM329"/>
  <c r="BL329"/>
  <c r="BK329"/>
  <c r="BJ329"/>
  <c r="BI329"/>
  <c r="BH329"/>
  <c r="BG329"/>
  <c r="BF329"/>
  <c r="BE329"/>
  <c r="BD329"/>
  <c r="BC329"/>
  <c r="BB329"/>
  <c r="BA329"/>
  <c r="AZ329"/>
  <c r="AY329"/>
  <c r="AX329"/>
  <c r="AW329"/>
  <c r="AV329"/>
  <c r="AC329"/>
  <c r="H329"/>
  <c r="G329"/>
  <c r="E329"/>
  <c r="BT328"/>
  <c r="BS328"/>
  <c r="BR328"/>
  <c r="BQ328"/>
  <c r="BP328"/>
  <c r="BO328"/>
  <c r="BN328"/>
  <c r="BM328"/>
  <c r="BL328"/>
  <c r="BK328"/>
  <c r="BJ328"/>
  <c r="BI328"/>
  <c r="BH328"/>
  <c r="BG328"/>
  <c r="BF328"/>
  <c r="BE328"/>
  <c r="BD328"/>
  <c r="BC328"/>
  <c r="BB328"/>
  <c r="BA328"/>
  <c r="AZ328"/>
  <c r="AY328"/>
  <c r="AX328"/>
  <c r="AW328"/>
  <c r="AV328"/>
  <c r="AC328"/>
  <c r="H328"/>
  <c r="G328"/>
  <c r="E328"/>
  <c r="BT327"/>
  <c r="BS327"/>
  <c r="BR327"/>
  <c r="BQ327"/>
  <c r="BP327"/>
  <c r="BO327"/>
  <c r="BN327"/>
  <c r="BM327"/>
  <c r="BL327"/>
  <c r="BK327"/>
  <c r="BJ327"/>
  <c r="BI327"/>
  <c r="BH327"/>
  <c r="BG327"/>
  <c r="BF327"/>
  <c r="BE327"/>
  <c r="BD327"/>
  <c r="BC327"/>
  <c r="BB327"/>
  <c r="BA327"/>
  <c r="AZ327"/>
  <c r="AY327"/>
  <c r="AX327"/>
  <c r="AW327"/>
  <c r="AV327"/>
  <c r="AC327"/>
  <c r="H327"/>
  <c r="G327"/>
  <c r="E327"/>
  <c r="BT326"/>
  <c r="BS326"/>
  <c r="BR326"/>
  <c r="BQ326"/>
  <c r="BP326"/>
  <c r="BO326"/>
  <c r="BN326"/>
  <c r="BM326"/>
  <c r="BL326"/>
  <c r="BK326"/>
  <c r="BJ326"/>
  <c r="BI326"/>
  <c r="BH326"/>
  <c r="BG326"/>
  <c r="BF326"/>
  <c r="BE326"/>
  <c r="BD326"/>
  <c r="BC326"/>
  <c r="BB326"/>
  <c r="BA326"/>
  <c r="AZ326"/>
  <c r="AY326"/>
  <c r="AX326"/>
  <c r="AW326"/>
  <c r="AV326"/>
  <c r="AC326"/>
  <c r="H326"/>
  <c r="G326"/>
  <c r="E326"/>
  <c r="BT325"/>
  <c r="BS325"/>
  <c r="BR325"/>
  <c r="BQ325"/>
  <c r="BP325"/>
  <c r="BO325"/>
  <c r="BN325"/>
  <c r="BM325"/>
  <c r="BL325"/>
  <c r="BK325"/>
  <c r="BJ325"/>
  <c r="BI325"/>
  <c r="BH325"/>
  <c r="BG325"/>
  <c r="BF325"/>
  <c r="BE325"/>
  <c r="BD325"/>
  <c r="BC325"/>
  <c r="BB325"/>
  <c r="BA325"/>
  <c r="AZ325"/>
  <c r="AY325"/>
  <c r="AX325"/>
  <c r="AW325"/>
  <c r="AV325"/>
  <c r="AC325"/>
  <c r="H325"/>
  <c r="G325"/>
  <c r="E325"/>
  <c r="BT324"/>
  <c r="BS324"/>
  <c r="BR324"/>
  <c r="BQ324"/>
  <c r="BP324"/>
  <c r="BO324"/>
  <c r="BN324"/>
  <c r="BM324"/>
  <c r="BL324"/>
  <c r="BK324"/>
  <c r="BJ324"/>
  <c r="BI324"/>
  <c r="BH324"/>
  <c r="BG324"/>
  <c r="BF324"/>
  <c r="BE324"/>
  <c r="BD324"/>
  <c r="BC324"/>
  <c r="BB324"/>
  <c r="BA324"/>
  <c r="AZ324"/>
  <c r="AY324"/>
  <c r="AX324"/>
  <c r="AW324"/>
  <c r="AV324"/>
  <c r="AC324"/>
  <c r="H324"/>
  <c r="G324"/>
  <c r="E324"/>
  <c r="BT323"/>
  <c r="BS323"/>
  <c r="BR323"/>
  <c r="BQ323"/>
  <c r="BP323"/>
  <c r="BO323"/>
  <c r="BN323"/>
  <c r="BM323"/>
  <c r="BL323"/>
  <c r="BK323"/>
  <c r="BJ323"/>
  <c r="BI323"/>
  <c r="BH323"/>
  <c r="BG323"/>
  <c r="BF323"/>
  <c r="BE323"/>
  <c r="BD323"/>
  <c r="BC323"/>
  <c r="BB323"/>
  <c r="BA323"/>
  <c r="AZ323"/>
  <c r="AY323"/>
  <c r="AX323"/>
  <c r="AW323"/>
  <c r="AV323"/>
  <c r="AC323"/>
  <c r="H323"/>
  <c r="G323"/>
  <c r="E323"/>
  <c r="BT322"/>
  <c r="BS322"/>
  <c r="BR322"/>
  <c r="BQ322"/>
  <c r="BP322"/>
  <c r="BO322"/>
  <c r="BN322"/>
  <c r="BM322"/>
  <c r="BL322"/>
  <c r="BK322"/>
  <c r="BJ322"/>
  <c r="BI322"/>
  <c r="BH322"/>
  <c r="BG322"/>
  <c r="BF322"/>
  <c r="BE322"/>
  <c r="BD322"/>
  <c r="BC322"/>
  <c r="BB322"/>
  <c r="BA322"/>
  <c r="AZ322"/>
  <c r="AY322"/>
  <c r="AX322"/>
  <c r="AW322"/>
  <c r="AV322"/>
  <c r="AC322"/>
  <c r="H322"/>
  <c r="G322"/>
  <c r="E322"/>
  <c r="BT321"/>
  <c r="BS321"/>
  <c r="BR321"/>
  <c r="BQ321"/>
  <c r="BP321"/>
  <c r="BO321"/>
  <c r="BN321"/>
  <c r="BM321"/>
  <c r="BL321"/>
  <c r="BK321"/>
  <c r="BJ321"/>
  <c r="BI321"/>
  <c r="BH321"/>
  <c r="BG321"/>
  <c r="BF321"/>
  <c r="BE321"/>
  <c r="BD321"/>
  <c r="BC321"/>
  <c r="BB321"/>
  <c r="BA321"/>
  <c r="AZ321"/>
  <c r="AY321"/>
  <c r="AX321"/>
  <c r="AW321"/>
  <c r="AV321"/>
  <c r="AC321"/>
  <c r="H321"/>
  <c r="G321"/>
  <c r="E321"/>
  <c r="BT320"/>
  <c r="BS320"/>
  <c r="BR320"/>
  <c r="BQ320"/>
  <c r="BP320"/>
  <c r="BO320"/>
  <c r="BN320"/>
  <c r="BM320"/>
  <c r="BL320"/>
  <c r="BK320"/>
  <c r="BJ320"/>
  <c r="BI320"/>
  <c r="BH320"/>
  <c r="BG320"/>
  <c r="BF320"/>
  <c r="BE320"/>
  <c r="BD320"/>
  <c r="BC320"/>
  <c r="BB320"/>
  <c r="BA320"/>
  <c r="AZ320"/>
  <c r="AY320"/>
  <c r="AX320"/>
  <c r="AW320"/>
  <c r="AV320"/>
  <c r="AC320"/>
  <c r="H320"/>
  <c r="G320"/>
  <c r="E320"/>
  <c r="BT319"/>
  <c r="BS319"/>
  <c r="BR319"/>
  <c r="BQ319"/>
  <c r="BP319"/>
  <c r="BO319"/>
  <c r="BN319"/>
  <c r="BM319"/>
  <c r="BL319"/>
  <c r="BK319"/>
  <c r="BJ319"/>
  <c r="BI319"/>
  <c r="BH319"/>
  <c r="BG319"/>
  <c r="BF319"/>
  <c r="BE319"/>
  <c r="BD319"/>
  <c r="BC319"/>
  <c r="BB319"/>
  <c r="BA319"/>
  <c r="AZ319"/>
  <c r="AY319"/>
  <c r="AX319"/>
  <c r="AW319"/>
  <c r="AV319"/>
  <c r="AC319"/>
  <c r="H319"/>
  <c r="G319"/>
  <c r="E319"/>
  <c r="BT318"/>
  <c r="BS318"/>
  <c r="BR318"/>
  <c r="BQ318"/>
  <c r="BP318"/>
  <c r="BO318"/>
  <c r="BN318"/>
  <c r="BM318"/>
  <c r="BL318"/>
  <c r="BK318"/>
  <c r="BJ318"/>
  <c r="BI318"/>
  <c r="BH318"/>
  <c r="BG318"/>
  <c r="BF318"/>
  <c r="BE318"/>
  <c r="BD318"/>
  <c r="BC318"/>
  <c r="BB318"/>
  <c r="BA318"/>
  <c r="AZ318"/>
  <c r="AY318"/>
  <c r="AX318"/>
  <c r="AW318"/>
  <c r="AV318"/>
  <c r="AC318"/>
  <c r="H318"/>
  <c r="G318"/>
  <c r="E318"/>
  <c r="BT317"/>
  <c r="BS317"/>
  <c r="BR317"/>
  <c r="BQ317"/>
  <c r="BP317"/>
  <c r="BO317"/>
  <c r="BN317"/>
  <c r="BM317"/>
  <c r="BL317"/>
  <c r="BK317"/>
  <c r="BJ317"/>
  <c r="BI317"/>
  <c r="BH317"/>
  <c r="BG317"/>
  <c r="BF317"/>
  <c r="BE317"/>
  <c r="BD317"/>
  <c r="BC317"/>
  <c r="BB317"/>
  <c r="BA317"/>
  <c r="AZ317"/>
  <c r="AY317"/>
  <c r="AX317"/>
  <c r="AW317"/>
  <c r="AV317"/>
  <c r="AC317"/>
  <c r="H317"/>
  <c r="G317"/>
  <c r="E317"/>
  <c r="BT316"/>
  <c r="BS316"/>
  <c r="BR316"/>
  <c r="BQ316"/>
  <c r="BP316"/>
  <c r="BO316"/>
  <c r="BN316"/>
  <c r="BM316"/>
  <c r="BL316"/>
  <c r="BK316"/>
  <c r="BJ316"/>
  <c r="BI316"/>
  <c r="BH316"/>
  <c r="BG316"/>
  <c r="BF316"/>
  <c r="BE316"/>
  <c r="BD316"/>
  <c r="BC316"/>
  <c r="BB316"/>
  <c r="BA316"/>
  <c r="AZ316"/>
  <c r="AY316"/>
  <c r="AX316"/>
  <c r="AW316"/>
  <c r="AV316"/>
  <c r="AC316"/>
  <c r="H316"/>
  <c r="G316"/>
  <c r="E316"/>
  <c r="BT315"/>
  <c r="BS315"/>
  <c r="BR315"/>
  <c r="BQ315"/>
  <c r="BP315"/>
  <c r="BO315"/>
  <c r="BN315"/>
  <c r="BM315"/>
  <c r="BL315"/>
  <c r="BK315"/>
  <c r="BJ315"/>
  <c r="BI315"/>
  <c r="BH315"/>
  <c r="BG315"/>
  <c r="BF315"/>
  <c r="BE315"/>
  <c r="BD315"/>
  <c r="BC315"/>
  <c r="BB315"/>
  <c r="BA315"/>
  <c r="AZ315"/>
  <c r="AY315"/>
  <c r="AX315"/>
  <c r="AW315"/>
  <c r="AV315"/>
  <c r="AC315"/>
  <c r="H315"/>
  <c r="G315"/>
  <c r="E315"/>
  <c r="BT314"/>
  <c r="BS314"/>
  <c r="BR314"/>
  <c r="BQ314"/>
  <c r="BP314"/>
  <c r="BO314"/>
  <c r="BN314"/>
  <c r="BM314"/>
  <c r="BL314"/>
  <c r="BK314"/>
  <c r="BJ314"/>
  <c r="BI314"/>
  <c r="BH314"/>
  <c r="BG314"/>
  <c r="BF314"/>
  <c r="BE314"/>
  <c r="BD314"/>
  <c r="BC314"/>
  <c r="BB314"/>
  <c r="BA314"/>
  <c r="AZ314"/>
  <c r="AY314"/>
  <c r="AX314"/>
  <c r="AW314"/>
  <c r="AV314"/>
  <c r="AC314"/>
  <c r="H314"/>
  <c r="G314"/>
  <c r="E314"/>
  <c r="BT313"/>
  <c r="BS313"/>
  <c r="BR313"/>
  <c r="BQ313"/>
  <c r="BP313"/>
  <c r="BO313"/>
  <c r="BN313"/>
  <c r="BM313"/>
  <c r="BL313"/>
  <c r="BK313"/>
  <c r="BJ313"/>
  <c r="BI313"/>
  <c r="BH313"/>
  <c r="BG313"/>
  <c r="BF313"/>
  <c r="BE313"/>
  <c r="BD313"/>
  <c r="BC313"/>
  <c r="BB313"/>
  <c r="BA313"/>
  <c r="AZ313"/>
  <c r="AY313"/>
  <c r="AX313"/>
  <c r="AW313"/>
  <c r="AV313"/>
  <c r="AC313"/>
  <c r="H313"/>
  <c r="G313"/>
  <c r="E313"/>
  <c r="BT312"/>
  <c r="BS312"/>
  <c r="BR312"/>
  <c r="BQ312"/>
  <c r="BP312"/>
  <c r="BO312"/>
  <c r="BN312"/>
  <c r="BM312"/>
  <c r="BL312"/>
  <c r="BK312"/>
  <c r="BJ312"/>
  <c r="BI312"/>
  <c r="BH312"/>
  <c r="BG312"/>
  <c r="BF312"/>
  <c r="BE312"/>
  <c r="BD312"/>
  <c r="BC312"/>
  <c r="BB312"/>
  <c r="BA312"/>
  <c r="AZ312"/>
  <c r="AY312"/>
  <c r="AX312"/>
  <c r="AW312"/>
  <c r="AV312"/>
  <c r="AC312"/>
  <c r="H312"/>
  <c r="G312"/>
  <c r="E312"/>
  <c r="BT311"/>
  <c r="BS311"/>
  <c r="BR311"/>
  <c r="BQ311"/>
  <c r="BP311"/>
  <c r="BO311"/>
  <c r="BN311"/>
  <c r="BM311"/>
  <c r="BL311"/>
  <c r="BK311"/>
  <c r="BJ311"/>
  <c r="BI311"/>
  <c r="BH311"/>
  <c r="BG311"/>
  <c r="BF311"/>
  <c r="BE311"/>
  <c r="BD311"/>
  <c r="BC311"/>
  <c r="BB311"/>
  <c r="BA311"/>
  <c r="AZ311"/>
  <c r="AY311"/>
  <c r="AX311"/>
  <c r="AW311"/>
  <c r="AV311"/>
  <c r="AC311"/>
  <c r="H311"/>
  <c r="G311"/>
  <c r="E311"/>
  <c r="BT310"/>
  <c r="BS310"/>
  <c r="BR310"/>
  <c r="BQ310"/>
  <c r="BP310"/>
  <c r="BO310"/>
  <c r="BN310"/>
  <c r="BM310"/>
  <c r="BL310"/>
  <c r="BK310"/>
  <c r="BJ310"/>
  <c r="BI310"/>
  <c r="BH310"/>
  <c r="BG310"/>
  <c r="BF310"/>
  <c r="BE310"/>
  <c r="BD310"/>
  <c r="BC310"/>
  <c r="BB310"/>
  <c r="BA310"/>
  <c r="AZ310"/>
  <c r="AY310"/>
  <c r="AX310"/>
  <c r="AW310"/>
  <c r="AV310"/>
  <c r="AC310"/>
  <c r="H310"/>
  <c r="G310"/>
  <c r="E310"/>
  <c r="BT309"/>
  <c r="BS309"/>
  <c r="BR309"/>
  <c r="BQ309"/>
  <c r="BP309"/>
  <c r="BO309"/>
  <c r="BN309"/>
  <c r="BM309"/>
  <c r="BL309"/>
  <c r="BK309"/>
  <c r="BJ309"/>
  <c r="BI309"/>
  <c r="BH309"/>
  <c r="BG309"/>
  <c r="BF309"/>
  <c r="BE309"/>
  <c r="BD309"/>
  <c r="BC309"/>
  <c r="BB309"/>
  <c r="BA309"/>
  <c r="AZ309"/>
  <c r="AY309"/>
  <c r="AX309"/>
  <c r="AW309"/>
  <c r="AV309"/>
  <c r="AC309"/>
  <c r="H309"/>
  <c r="G309"/>
  <c r="E309"/>
  <c r="BT308"/>
  <c r="BS308"/>
  <c r="BR308"/>
  <c r="BQ308"/>
  <c r="BP308"/>
  <c r="BO308"/>
  <c r="BN308"/>
  <c r="BM308"/>
  <c r="BL308"/>
  <c r="BK308"/>
  <c r="BJ308"/>
  <c r="BI308"/>
  <c r="BH308"/>
  <c r="BG308"/>
  <c r="BF308"/>
  <c r="BE308"/>
  <c r="BD308"/>
  <c r="BC308"/>
  <c r="BB308"/>
  <c r="BA308"/>
  <c r="AZ308"/>
  <c r="AY308"/>
  <c r="AX308"/>
  <c r="AW308"/>
  <c r="AV308"/>
  <c r="AC308"/>
  <c r="H308"/>
  <c r="G308"/>
  <c r="E308"/>
  <c r="BT307"/>
  <c r="BS307"/>
  <c r="BR307"/>
  <c r="BQ307"/>
  <c r="BP307"/>
  <c r="BO307"/>
  <c r="BN307"/>
  <c r="BM307"/>
  <c r="BL307"/>
  <c r="BK307"/>
  <c r="BJ307"/>
  <c r="BI307"/>
  <c r="BH307"/>
  <c r="BG307"/>
  <c r="BF307"/>
  <c r="BE307"/>
  <c r="BD307"/>
  <c r="BC307"/>
  <c r="BB307"/>
  <c r="BA307"/>
  <c r="AZ307"/>
  <c r="AY307"/>
  <c r="AX307"/>
  <c r="AW307"/>
  <c r="AV307"/>
  <c r="AC307"/>
  <c r="H307"/>
  <c r="G307"/>
  <c r="E307"/>
  <c r="BT306"/>
  <c r="BS306"/>
  <c r="BR306"/>
  <c r="BQ306"/>
  <c r="BP306"/>
  <c r="BO306"/>
  <c r="BN306"/>
  <c r="BM306"/>
  <c r="BL306"/>
  <c r="BK306"/>
  <c r="BJ306"/>
  <c r="BI306"/>
  <c r="BH306"/>
  <c r="BG306"/>
  <c r="BF306"/>
  <c r="BE306"/>
  <c r="BD306"/>
  <c r="BC306"/>
  <c r="BB306"/>
  <c r="BA306"/>
  <c r="AZ306"/>
  <c r="AY306"/>
  <c r="AX306"/>
  <c r="AW306"/>
  <c r="AV306"/>
  <c r="AC306"/>
  <c r="H306"/>
  <c r="G306"/>
  <c r="E306"/>
  <c r="BT305"/>
  <c r="BS305"/>
  <c r="BR305"/>
  <c r="BQ305"/>
  <c r="BP305"/>
  <c r="BO305"/>
  <c r="BN305"/>
  <c r="BM305"/>
  <c r="BL305"/>
  <c r="BK305"/>
  <c r="BJ305"/>
  <c r="BI305"/>
  <c r="BH305"/>
  <c r="BG305"/>
  <c r="BF305"/>
  <c r="BE305"/>
  <c r="BD305"/>
  <c r="BC305"/>
  <c r="BB305"/>
  <c r="BA305"/>
  <c r="AZ305"/>
  <c r="AY305"/>
  <c r="AX305"/>
  <c r="AW305"/>
  <c r="AV305"/>
  <c r="AC305"/>
  <c r="H305"/>
  <c r="G305"/>
  <c r="E305"/>
  <c r="BT304"/>
  <c r="BS304"/>
  <c r="BR304"/>
  <c r="BQ304"/>
  <c r="BP304"/>
  <c r="BO304"/>
  <c r="BN304"/>
  <c r="BM304"/>
  <c r="BL304"/>
  <c r="BK304"/>
  <c r="BJ304"/>
  <c r="BI304"/>
  <c r="BH304"/>
  <c r="BG304"/>
  <c r="BF304"/>
  <c r="BE304"/>
  <c r="BD304"/>
  <c r="BC304"/>
  <c r="BB304"/>
  <c r="BA304"/>
  <c r="AZ304"/>
  <c r="AY304"/>
  <c r="AX304"/>
  <c r="AW304"/>
  <c r="AV304"/>
  <c r="AC304"/>
  <c r="H304"/>
  <c r="G304"/>
  <c r="E304"/>
  <c r="BT303"/>
  <c r="BS303"/>
  <c r="BR303"/>
  <c r="BQ303"/>
  <c r="BP303"/>
  <c r="BO303"/>
  <c r="BN303"/>
  <c r="BM303"/>
  <c r="BL303"/>
  <c r="BK303"/>
  <c r="BJ303"/>
  <c r="BI303"/>
  <c r="BH303"/>
  <c r="BG303"/>
  <c r="BF303"/>
  <c r="BE303"/>
  <c r="BD303"/>
  <c r="BC303"/>
  <c r="BB303"/>
  <c r="BA303"/>
  <c r="AZ303"/>
  <c r="AY303"/>
  <c r="AX303"/>
  <c r="AW303"/>
  <c r="AV303"/>
  <c r="AC303"/>
  <c r="H303"/>
  <c r="G303"/>
  <c r="E303"/>
  <c r="BT302"/>
  <c r="BS302"/>
  <c r="BR302"/>
  <c r="BQ302"/>
  <c r="BP302"/>
  <c r="BO302"/>
  <c r="BN302"/>
  <c r="BM302"/>
  <c r="BL302"/>
  <c r="BK302"/>
  <c r="BJ302"/>
  <c r="BI302"/>
  <c r="BH302"/>
  <c r="BG302"/>
  <c r="BF302"/>
  <c r="BE302"/>
  <c r="BD302"/>
  <c r="BC302"/>
  <c r="BB302"/>
  <c r="BA302"/>
  <c r="AZ302"/>
  <c r="AY302"/>
  <c r="AX302"/>
  <c r="AW302"/>
  <c r="AV302"/>
  <c r="AC302"/>
  <c r="H302"/>
  <c r="G302"/>
  <c r="E302"/>
  <c r="BT301"/>
  <c r="BS301"/>
  <c r="BR301"/>
  <c r="BQ301"/>
  <c r="BP301"/>
  <c r="BO301"/>
  <c r="BN301"/>
  <c r="BM301"/>
  <c r="BL301"/>
  <c r="BK301"/>
  <c r="BJ301"/>
  <c r="BI301"/>
  <c r="BH301"/>
  <c r="BG301"/>
  <c r="BF301"/>
  <c r="BE301"/>
  <c r="BD301"/>
  <c r="BC301"/>
  <c r="BB301"/>
  <c r="BA301"/>
  <c r="AZ301"/>
  <c r="AY301"/>
  <c r="AX301"/>
  <c r="AW301"/>
  <c r="AV301"/>
  <c r="AC301"/>
  <c r="H301"/>
  <c r="G301"/>
  <c r="E301"/>
  <c r="BT300"/>
  <c r="BS300"/>
  <c r="BR300"/>
  <c r="BQ300"/>
  <c r="BP300"/>
  <c r="BO300"/>
  <c r="BN300"/>
  <c r="BM300"/>
  <c r="BL300"/>
  <c r="BK300"/>
  <c r="BJ300"/>
  <c r="BI300"/>
  <c r="BH300"/>
  <c r="BG300"/>
  <c r="BF300"/>
  <c r="BE300"/>
  <c r="BD300"/>
  <c r="BC300"/>
  <c r="BB300"/>
  <c r="BA300"/>
  <c r="AZ300"/>
  <c r="AY300"/>
  <c r="AX300"/>
  <c r="AW300"/>
  <c r="AV300"/>
  <c r="AC300"/>
  <c r="H300"/>
  <c r="G300"/>
  <c r="E300"/>
  <c r="BT299"/>
  <c r="BS299"/>
  <c r="BR299"/>
  <c r="BQ299"/>
  <c r="BP299"/>
  <c r="BO299"/>
  <c r="BN299"/>
  <c r="BM299"/>
  <c r="BL299"/>
  <c r="BK299"/>
  <c r="BJ299"/>
  <c r="BI299"/>
  <c r="BH299"/>
  <c r="BG299"/>
  <c r="BF299"/>
  <c r="BE299"/>
  <c r="BD299"/>
  <c r="BC299"/>
  <c r="BB299"/>
  <c r="BA299"/>
  <c r="AZ299"/>
  <c r="AY299"/>
  <c r="AX299"/>
  <c r="AW299"/>
  <c r="AV299"/>
  <c r="AC299"/>
  <c r="H299"/>
  <c r="G299"/>
  <c r="E299"/>
  <c r="BT298"/>
  <c r="BS298"/>
  <c r="BR298"/>
  <c r="BQ298"/>
  <c r="BP298"/>
  <c r="BO298"/>
  <c r="BN298"/>
  <c r="BM298"/>
  <c r="BL298"/>
  <c r="BK298"/>
  <c r="BJ298"/>
  <c r="BI298"/>
  <c r="BH298"/>
  <c r="BG298"/>
  <c r="BF298"/>
  <c r="BE298"/>
  <c r="BD298"/>
  <c r="BC298"/>
  <c r="BB298"/>
  <c r="BA298"/>
  <c r="AZ298"/>
  <c r="AY298"/>
  <c r="AX298"/>
  <c r="AW298"/>
  <c r="AV298"/>
  <c r="AC298"/>
  <c r="H298"/>
  <c r="G298"/>
  <c r="E298"/>
  <c r="BT297"/>
  <c r="BS297"/>
  <c r="BR297"/>
  <c r="BQ297"/>
  <c r="BP297"/>
  <c r="BO297"/>
  <c r="BN297"/>
  <c r="BM297"/>
  <c r="BL297"/>
  <c r="BK297"/>
  <c r="BJ297"/>
  <c r="BI297"/>
  <c r="BH297"/>
  <c r="BG297"/>
  <c r="BF297"/>
  <c r="BE297"/>
  <c r="BD297"/>
  <c r="BC297"/>
  <c r="BB297"/>
  <c r="BA297"/>
  <c r="AZ297"/>
  <c r="AY297"/>
  <c r="AX297"/>
  <c r="AW297"/>
  <c r="AV297"/>
  <c r="AC297"/>
  <c r="H297"/>
  <c r="G297"/>
  <c r="E297"/>
  <c r="BT296"/>
  <c r="BS296"/>
  <c r="BR296"/>
  <c r="BQ296"/>
  <c r="BP296"/>
  <c r="BO296"/>
  <c r="BN296"/>
  <c r="BM296"/>
  <c r="BL296"/>
  <c r="BK296"/>
  <c r="BJ296"/>
  <c r="BI296"/>
  <c r="BH296"/>
  <c r="BG296"/>
  <c r="BF296"/>
  <c r="BE296"/>
  <c r="BD296"/>
  <c r="BC296"/>
  <c r="BB296"/>
  <c r="BA296"/>
  <c r="AZ296"/>
  <c r="AY296"/>
  <c r="AX296"/>
  <c r="AW296"/>
  <c r="AV296"/>
  <c r="AC296"/>
  <c r="H296"/>
  <c r="G296"/>
  <c r="E296"/>
  <c r="BT295"/>
  <c r="BS295"/>
  <c r="BR295"/>
  <c r="BQ295"/>
  <c r="BP295"/>
  <c r="BO295"/>
  <c r="BN295"/>
  <c r="BM295"/>
  <c r="BL295"/>
  <c r="BK295"/>
  <c r="BJ295"/>
  <c r="BI295"/>
  <c r="BH295"/>
  <c r="BG295"/>
  <c r="BF295"/>
  <c r="BE295"/>
  <c r="BD295"/>
  <c r="BC295"/>
  <c r="BB295"/>
  <c r="BA295"/>
  <c r="AZ295"/>
  <c r="AY295"/>
  <c r="AX295"/>
  <c r="AW295"/>
  <c r="AV295"/>
  <c r="AC295"/>
  <c r="H295"/>
  <c r="G295"/>
  <c r="E295"/>
  <c r="BT294"/>
  <c r="BS294"/>
  <c r="BR294"/>
  <c r="BQ294"/>
  <c r="BP294"/>
  <c r="BO294"/>
  <c r="BN294"/>
  <c r="BM294"/>
  <c r="BL294"/>
  <c r="BK294"/>
  <c r="BJ294"/>
  <c r="BI294"/>
  <c r="BH294"/>
  <c r="BG294"/>
  <c r="BF294"/>
  <c r="BE294"/>
  <c r="BD294"/>
  <c r="BC294"/>
  <c r="BB294"/>
  <c r="BA294"/>
  <c r="AZ294"/>
  <c r="AY294"/>
  <c r="AX294"/>
  <c r="AW294"/>
  <c r="AV294"/>
  <c r="AC294"/>
  <c r="H294"/>
  <c r="G294"/>
  <c r="E294"/>
  <c r="BT293"/>
  <c r="BS293"/>
  <c r="BR293"/>
  <c r="BQ293"/>
  <c r="BP293"/>
  <c r="BO293"/>
  <c r="BN293"/>
  <c r="BM293"/>
  <c r="BL293"/>
  <c r="BK293"/>
  <c r="BJ293"/>
  <c r="BI293"/>
  <c r="BH293"/>
  <c r="BG293"/>
  <c r="BF293"/>
  <c r="BE293"/>
  <c r="BD293"/>
  <c r="BC293"/>
  <c r="BB293"/>
  <c r="BA293"/>
  <c r="AZ293"/>
  <c r="AY293"/>
  <c r="AX293"/>
  <c r="AW293"/>
  <c r="AV293"/>
  <c r="AC293"/>
  <c r="H293"/>
  <c r="G293"/>
  <c r="E293"/>
  <c r="BT292"/>
  <c r="BS292"/>
  <c r="BR292"/>
  <c r="BQ292"/>
  <c r="BP292"/>
  <c r="BO292"/>
  <c r="BN292"/>
  <c r="BM292"/>
  <c r="BL292"/>
  <c r="BK292"/>
  <c r="BJ292"/>
  <c r="BI292"/>
  <c r="BH292"/>
  <c r="BG292"/>
  <c r="BF292"/>
  <c r="BE292"/>
  <c r="BD292"/>
  <c r="BC292"/>
  <c r="BB292"/>
  <c r="BA292"/>
  <c r="AZ292"/>
  <c r="AY292"/>
  <c r="AX292"/>
  <c r="AW292"/>
  <c r="AV292"/>
  <c r="AC292"/>
  <c r="H292"/>
  <c r="G292"/>
  <c r="E292"/>
  <c r="BT291"/>
  <c r="BS291"/>
  <c r="BR291"/>
  <c r="BQ291"/>
  <c r="BP291"/>
  <c r="BO291"/>
  <c r="BN291"/>
  <c r="BM291"/>
  <c r="BL291"/>
  <c r="BK291"/>
  <c r="BJ291"/>
  <c r="BI291"/>
  <c r="BH291"/>
  <c r="BG291"/>
  <c r="BF291"/>
  <c r="BE291"/>
  <c r="BD291"/>
  <c r="BC291"/>
  <c r="BB291"/>
  <c r="BA291"/>
  <c r="AZ291"/>
  <c r="AY291"/>
  <c r="AX291"/>
  <c r="AW291"/>
  <c r="AV291"/>
  <c r="AC291"/>
  <c r="H291"/>
  <c r="G291"/>
  <c r="E291"/>
  <c r="BT290"/>
  <c r="BS290"/>
  <c r="BR290"/>
  <c r="BQ290"/>
  <c r="BP290"/>
  <c r="BO290"/>
  <c r="BN290"/>
  <c r="BM290"/>
  <c r="BL290"/>
  <c r="BK290"/>
  <c r="BJ290"/>
  <c r="BI290"/>
  <c r="BH290"/>
  <c r="BG290"/>
  <c r="BF290"/>
  <c r="BE290"/>
  <c r="BD290"/>
  <c r="BC290"/>
  <c r="BB290"/>
  <c r="BA290"/>
  <c r="AZ290"/>
  <c r="AY290"/>
  <c r="AX290"/>
  <c r="AW290"/>
  <c r="AV290"/>
  <c r="AC290"/>
  <c r="H290"/>
  <c r="G290"/>
  <c r="E290"/>
  <c r="BT289"/>
  <c r="BS289"/>
  <c r="BR289"/>
  <c r="BQ289"/>
  <c r="BP289"/>
  <c r="BO289"/>
  <c r="BN289"/>
  <c r="BM289"/>
  <c r="BL289"/>
  <c r="BK289"/>
  <c r="BJ289"/>
  <c r="BI289"/>
  <c r="BH289"/>
  <c r="BG289"/>
  <c r="BF289"/>
  <c r="BE289"/>
  <c r="BD289"/>
  <c r="BC289"/>
  <c r="BB289"/>
  <c r="BA289"/>
  <c r="AZ289"/>
  <c r="AY289"/>
  <c r="AX289"/>
  <c r="AW289"/>
  <c r="AV289"/>
  <c r="AC289"/>
  <c r="H289"/>
  <c r="G289"/>
  <c r="E289"/>
  <c r="BT288"/>
  <c r="BS288"/>
  <c r="BR288"/>
  <c r="BQ288"/>
  <c r="BP288"/>
  <c r="BO288"/>
  <c r="BN288"/>
  <c r="BM288"/>
  <c r="BL288"/>
  <c r="BK288"/>
  <c r="BJ288"/>
  <c r="BI288"/>
  <c r="BH288"/>
  <c r="BG288"/>
  <c r="BF288"/>
  <c r="BE288"/>
  <c r="BD288"/>
  <c r="BC288"/>
  <c r="BB288"/>
  <c r="BA288"/>
  <c r="AZ288"/>
  <c r="AY288"/>
  <c r="AX288"/>
  <c r="AW288"/>
  <c r="AV288"/>
  <c r="AC288"/>
  <c r="H288"/>
  <c r="G288"/>
  <c r="E288"/>
  <c r="BT287"/>
  <c r="BS287"/>
  <c r="BR287"/>
  <c r="BQ287"/>
  <c r="BP287"/>
  <c r="BO287"/>
  <c r="BN287"/>
  <c r="BM287"/>
  <c r="BL287"/>
  <c r="BK287"/>
  <c r="BJ287"/>
  <c r="BI287"/>
  <c r="BH287"/>
  <c r="BG287"/>
  <c r="BF287"/>
  <c r="BE287"/>
  <c r="BD287"/>
  <c r="BC287"/>
  <c r="BB287"/>
  <c r="BA287"/>
  <c r="AZ287"/>
  <c r="AY287"/>
  <c r="AX287"/>
  <c r="AW287"/>
  <c r="AV287"/>
  <c r="AC287"/>
  <c r="H287"/>
  <c r="G287"/>
  <c r="E287"/>
  <c r="BT286"/>
  <c r="BS286"/>
  <c r="BR286"/>
  <c r="BQ286"/>
  <c r="BP286"/>
  <c r="BO286"/>
  <c r="BN286"/>
  <c r="BM286"/>
  <c r="BL286"/>
  <c r="BK286"/>
  <c r="BJ286"/>
  <c r="BI286"/>
  <c r="BH286"/>
  <c r="BG286"/>
  <c r="BF286"/>
  <c r="BE286"/>
  <c r="BD286"/>
  <c r="BC286"/>
  <c r="BB286"/>
  <c r="BA286"/>
  <c r="AZ286"/>
  <c r="AY286"/>
  <c r="AX286"/>
  <c r="AW286"/>
  <c r="AV286"/>
  <c r="AC286"/>
  <c r="H286"/>
  <c r="G286"/>
  <c r="E286"/>
  <c r="BT285"/>
  <c r="BS285"/>
  <c r="BR285"/>
  <c r="BQ285"/>
  <c r="BP285"/>
  <c r="BO285"/>
  <c r="BN285"/>
  <c r="BM285"/>
  <c r="BL285"/>
  <c r="BK285"/>
  <c r="BJ285"/>
  <c r="BI285"/>
  <c r="BH285"/>
  <c r="BG285"/>
  <c r="BF285"/>
  <c r="BE285"/>
  <c r="BD285"/>
  <c r="BC285"/>
  <c r="BB285"/>
  <c r="BA285"/>
  <c r="AZ285"/>
  <c r="AY285"/>
  <c r="AX285"/>
  <c r="AW285"/>
  <c r="AV285"/>
  <c r="AC285"/>
  <c r="H285"/>
  <c r="G285"/>
  <c r="E285"/>
  <c r="BT284"/>
  <c r="BS284"/>
  <c r="BR284"/>
  <c r="BQ284"/>
  <c r="BP284"/>
  <c r="BO284"/>
  <c r="BN284"/>
  <c r="BM284"/>
  <c r="BL284"/>
  <c r="BK284"/>
  <c r="BJ284"/>
  <c r="BI284"/>
  <c r="BH284"/>
  <c r="BG284"/>
  <c r="BF284"/>
  <c r="BE284"/>
  <c r="BD284"/>
  <c r="BC284"/>
  <c r="BB284"/>
  <c r="BA284"/>
  <c r="AZ284"/>
  <c r="AY284"/>
  <c r="AX284"/>
  <c r="AW284"/>
  <c r="AV284"/>
  <c r="AC284"/>
  <c r="H284"/>
  <c r="G284"/>
  <c r="E284"/>
  <c r="BT283"/>
  <c r="BS283"/>
  <c r="BR283"/>
  <c r="BQ283"/>
  <c r="BP283"/>
  <c r="BO283"/>
  <c r="BN283"/>
  <c r="BM283"/>
  <c r="BL283"/>
  <c r="BK283"/>
  <c r="BJ283"/>
  <c r="BI283"/>
  <c r="BH283"/>
  <c r="BG283"/>
  <c r="BF283"/>
  <c r="BE283"/>
  <c r="BD283"/>
  <c r="BC283"/>
  <c r="BB283"/>
  <c r="BA283"/>
  <c r="AZ283"/>
  <c r="AY283"/>
  <c r="AX283"/>
  <c r="AW283"/>
  <c r="AV283"/>
  <c r="AC283"/>
  <c r="H283"/>
  <c r="G283"/>
  <c r="E283"/>
  <c r="BT282"/>
  <c r="BS282"/>
  <c r="BR282"/>
  <c r="BQ282"/>
  <c r="BP282"/>
  <c r="BO282"/>
  <c r="BN282"/>
  <c r="BM282"/>
  <c r="BL282"/>
  <c r="BK282"/>
  <c r="BJ282"/>
  <c r="BI282"/>
  <c r="BH282"/>
  <c r="BG282"/>
  <c r="BF282"/>
  <c r="BE282"/>
  <c r="BD282"/>
  <c r="BC282"/>
  <c r="BB282"/>
  <c r="BA282"/>
  <c r="AZ282"/>
  <c r="AY282"/>
  <c r="AX282"/>
  <c r="AW282"/>
  <c r="AV282"/>
  <c r="AC282"/>
  <c r="H282"/>
  <c r="G282"/>
  <c r="E282"/>
  <c r="BT281"/>
  <c r="BS281"/>
  <c r="BR281"/>
  <c r="BQ281"/>
  <c r="BP281"/>
  <c r="BO281"/>
  <c r="BN281"/>
  <c r="BM281"/>
  <c r="BL281"/>
  <c r="BK281"/>
  <c r="BJ281"/>
  <c r="BI281"/>
  <c r="BH281"/>
  <c r="BG281"/>
  <c r="BF281"/>
  <c r="BE281"/>
  <c r="BD281"/>
  <c r="BC281"/>
  <c r="BB281"/>
  <c r="BA281"/>
  <c r="AZ281"/>
  <c r="AY281"/>
  <c r="AX281"/>
  <c r="AW281"/>
  <c r="AV281"/>
  <c r="AC281"/>
  <c r="H281"/>
  <c r="G281"/>
  <c r="E281"/>
  <c r="BT280"/>
  <c r="BS280"/>
  <c r="BR280"/>
  <c r="BQ280"/>
  <c r="BP280"/>
  <c r="BO280"/>
  <c r="BN280"/>
  <c r="BM280"/>
  <c r="BL280"/>
  <c r="BK280"/>
  <c r="BJ280"/>
  <c r="BI280"/>
  <c r="BH280"/>
  <c r="BG280"/>
  <c r="BF280"/>
  <c r="BE280"/>
  <c r="BD280"/>
  <c r="BC280"/>
  <c r="BB280"/>
  <c r="BA280"/>
  <c r="AZ280"/>
  <c r="AY280"/>
  <c r="AX280"/>
  <c r="AW280"/>
  <c r="AV280"/>
  <c r="AC280"/>
  <c r="H280"/>
  <c r="G280"/>
  <c r="E280"/>
  <c r="BT279"/>
  <c r="BS279"/>
  <c r="BR279"/>
  <c r="BQ279"/>
  <c r="BP279"/>
  <c r="BO279"/>
  <c r="BN279"/>
  <c r="BM279"/>
  <c r="BL279"/>
  <c r="BK279"/>
  <c r="BJ279"/>
  <c r="BI279"/>
  <c r="BH279"/>
  <c r="BG279"/>
  <c r="BF279"/>
  <c r="BE279"/>
  <c r="BD279"/>
  <c r="BC279"/>
  <c r="BB279"/>
  <c r="BA279"/>
  <c r="AZ279"/>
  <c r="AY279"/>
  <c r="AX279"/>
  <c r="AW279"/>
  <c r="AV279"/>
  <c r="AC279"/>
  <c r="H279"/>
  <c r="G279"/>
  <c r="E279"/>
  <c r="BT278"/>
  <c r="BS278"/>
  <c r="BR278"/>
  <c r="BQ278"/>
  <c r="BP278"/>
  <c r="BO278"/>
  <c r="BN278"/>
  <c r="BM278"/>
  <c r="BL278"/>
  <c r="BK278"/>
  <c r="BJ278"/>
  <c r="BI278"/>
  <c r="BH278"/>
  <c r="BG278"/>
  <c r="BF278"/>
  <c r="BE278"/>
  <c r="BD278"/>
  <c r="BC278"/>
  <c r="BB278"/>
  <c r="BA278"/>
  <c r="AZ278"/>
  <c r="AY278"/>
  <c r="AX278"/>
  <c r="AW278"/>
  <c r="AV278"/>
  <c r="AC278"/>
  <c r="H278"/>
  <c r="G278"/>
  <c r="E278"/>
  <c r="BT277"/>
  <c r="BS277"/>
  <c r="BR277"/>
  <c r="BQ277"/>
  <c r="BP277"/>
  <c r="BO277"/>
  <c r="BN277"/>
  <c r="BM277"/>
  <c r="BL277"/>
  <c r="BK277"/>
  <c r="BJ277"/>
  <c r="BI277"/>
  <c r="BH277"/>
  <c r="BG277"/>
  <c r="BF277"/>
  <c r="BE277"/>
  <c r="BD277"/>
  <c r="BC277"/>
  <c r="BB277"/>
  <c r="BA277"/>
  <c r="AZ277"/>
  <c r="AY277"/>
  <c r="AX277"/>
  <c r="AW277"/>
  <c r="AV277"/>
  <c r="AC277"/>
  <c r="H277"/>
  <c r="G277"/>
  <c r="E277"/>
  <c r="BT276"/>
  <c r="BS276"/>
  <c r="BR276"/>
  <c r="BQ276"/>
  <c r="BP276"/>
  <c r="BO276"/>
  <c r="BN276"/>
  <c r="BM276"/>
  <c r="BL276"/>
  <c r="BK276"/>
  <c r="BJ276"/>
  <c r="BI276"/>
  <c r="BH276"/>
  <c r="BG276"/>
  <c r="BF276"/>
  <c r="BE276"/>
  <c r="BD276"/>
  <c r="BC276"/>
  <c r="BB276"/>
  <c r="BA276"/>
  <c r="AZ276"/>
  <c r="AY276"/>
  <c r="AX276"/>
  <c r="AW276"/>
  <c r="AV276"/>
  <c r="AC276"/>
  <c r="H276"/>
  <c r="G276"/>
  <c r="E276"/>
  <c r="BT275"/>
  <c r="BS275"/>
  <c r="BR275"/>
  <c r="BQ275"/>
  <c r="BP275"/>
  <c r="BO275"/>
  <c r="BN275"/>
  <c r="BM275"/>
  <c r="BL275"/>
  <c r="BK275"/>
  <c r="BJ275"/>
  <c r="BI275"/>
  <c r="BH275"/>
  <c r="BG275"/>
  <c r="BF275"/>
  <c r="BE275"/>
  <c r="BD275"/>
  <c r="BC275"/>
  <c r="BB275"/>
  <c r="BA275"/>
  <c r="AZ275"/>
  <c r="AY275"/>
  <c r="AX275"/>
  <c r="AW275"/>
  <c r="AV275"/>
  <c r="AC275"/>
  <c r="H275"/>
  <c r="G275"/>
  <c r="E275"/>
  <c r="BT274"/>
  <c r="BS274"/>
  <c r="BR274"/>
  <c r="BQ274"/>
  <c r="BP274"/>
  <c r="BO274"/>
  <c r="BN274"/>
  <c r="BM274"/>
  <c r="BL274"/>
  <c r="BK274"/>
  <c r="BJ274"/>
  <c r="BI274"/>
  <c r="BH274"/>
  <c r="BG274"/>
  <c r="BF274"/>
  <c r="BE274"/>
  <c r="BD274"/>
  <c r="BC274"/>
  <c r="BB274"/>
  <c r="BA274"/>
  <c r="AZ274"/>
  <c r="AY274"/>
  <c r="AX274"/>
  <c r="AW274"/>
  <c r="AV274"/>
  <c r="AC274"/>
  <c r="H274"/>
  <c r="G274"/>
  <c r="E274"/>
  <c r="BT273"/>
  <c r="BS273"/>
  <c r="BR273"/>
  <c r="BQ273"/>
  <c r="BP273"/>
  <c r="BO273"/>
  <c r="BN273"/>
  <c r="BM273"/>
  <c r="BL273"/>
  <c r="BK273"/>
  <c r="BJ273"/>
  <c r="BI273"/>
  <c r="BH273"/>
  <c r="BG273"/>
  <c r="BF273"/>
  <c r="BE273"/>
  <c r="BD273"/>
  <c r="BC273"/>
  <c r="BB273"/>
  <c r="BA273"/>
  <c r="AZ273"/>
  <c r="AY273"/>
  <c r="AX273"/>
  <c r="AW273"/>
  <c r="AV273"/>
  <c r="AC273"/>
  <c r="H273"/>
  <c r="G273"/>
  <c r="E273"/>
  <c r="BT272"/>
  <c r="BS272"/>
  <c r="BR272"/>
  <c r="BQ272"/>
  <c r="BP272"/>
  <c r="BO272"/>
  <c r="BN272"/>
  <c r="BM272"/>
  <c r="BL272"/>
  <c r="BK272"/>
  <c r="BJ272"/>
  <c r="BI272"/>
  <c r="BH272"/>
  <c r="BG272"/>
  <c r="BF272"/>
  <c r="BE272"/>
  <c r="BD272"/>
  <c r="BC272"/>
  <c r="BB272"/>
  <c r="BA272"/>
  <c r="AZ272"/>
  <c r="AY272"/>
  <c r="AX272"/>
  <c r="AW272"/>
  <c r="AV272"/>
  <c r="AC272"/>
  <c r="H272"/>
  <c r="G272"/>
  <c r="E272"/>
  <c r="BT271"/>
  <c r="BS271"/>
  <c r="BR271"/>
  <c r="BQ271"/>
  <c r="BP271"/>
  <c r="BO271"/>
  <c r="BN271"/>
  <c r="BM271"/>
  <c r="BL271"/>
  <c r="BK271"/>
  <c r="BJ271"/>
  <c r="BI271"/>
  <c r="BH271"/>
  <c r="BG271"/>
  <c r="BF271"/>
  <c r="BE271"/>
  <c r="BD271"/>
  <c r="BC271"/>
  <c r="BB271"/>
  <c r="BA271"/>
  <c r="AZ271"/>
  <c r="AY271"/>
  <c r="AX271"/>
  <c r="AW271"/>
  <c r="AV271"/>
  <c r="AC271"/>
  <c r="H271"/>
  <c r="G271"/>
  <c r="E271"/>
  <c r="BT270"/>
  <c r="BS270"/>
  <c r="BR270"/>
  <c r="BQ270"/>
  <c r="BP270"/>
  <c r="BO270"/>
  <c r="BN270"/>
  <c r="BM270"/>
  <c r="BL270"/>
  <c r="BK270"/>
  <c r="BJ270"/>
  <c r="BI270"/>
  <c r="BH270"/>
  <c r="BG270"/>
  <c r="BF270"/>
  <c r="BE270"/>
  <c r="BD270"/>
  <c r="BC270"/>
  <c r="BB270"/>
  <c r="BA270"/>
  <c r="AZ270"/>
  <c r="AY270"/>
  <c r="AX270"/>
  <c r="AW270"/>
  <c r="AV270"/>
  <c r="AC270"/>
  <c r="H270"/>
  <c r="G270"/>
  <c r="E270"/>
  <c r="BT269"/>
  <c r="BS269"/>
  <c r="BR269"/>
  <c r="BQ269"/>
  <c r="BP269"/>
  <c r="BO269"/>
  <c r="BN269"/>
  <c r="BM269"/>
  <c r="BL269"/>
  <c r="BK269"/>
  <c r="BJ269"/>
  <c r="BI269"/>
  <c r="BH269"/>
  <c r="BG269"/>
  <c r="BF269"/>
  <c r="BE269"/>
  <c r="BD269"/>
  <c r="BC269"/>
  <c r="BB269"/>
  <c r="BA269"/>
  <c r="AZ269"/>
  <c r="AY269"/>
  <c r="AX269"/>
  <c r="AW269"/>
  <c r="AV269"/>
  <c r="AC269"/>
  <c r="H269"/>
  <c r="G269"/>
  <c r="E269"/>
  <c r="BT268"/>
  <c r="BS268"/>
  <c r="BR268"/>
  <c r="BQ268"/>
  <c r="BP268"/>
  <c r="BO268"/>
  <c r="BN268"/>
  <c r="BM268"/>
  <c r="BL268"/>
  <c r="BK268"/>
  <c r="BJ268"/>
  <c r="BI268"/>
  <c r="BH268"/>
  <c r="BG268"/>
  <c r="BF268"/>
  <c r="BE268"/>
  <c r="BD268"/>
  <c r="BC268"/>
  <c r="BB268"/>
  <c r="BA268"/>
  <c r="AZ268"/>
  <c r="AY268"/>
  <c r="AX268"/>
  <c r="AW268"/>
  <c r="AV268"/>
  <c r="AC268"/>
  <c r="H268"/>
  <c r="G268"/>
  <c r="E268"/>
  <c r="BT267"/>
  <c r="BS267"/>
  <c r="BR267"/>
  <c r="BQ267"/>
  <c r="BP267"/>
  <c r="BO267"/>
  <c r="BN267"/>
  <c r="BM267"/>
  <c r="BL267"/>
  <c r="BK267"/>
  <c r="BJ267"/>
  <c r="BI267"/>
  <c r="BH267"/>
  <c r="BG267"/>
  <c r="BF267"/>
  <c r="BE267"/>
  <c r="BD267"/>
  <c r="BC267"/>
  <c r="BB267"/>
  <c r="BA267"/>
  <c r="AZ267"/>
  <c r="AY267"/>
  <c r="AX267"/>
  <c r="AW267"/>
  <c r="AV267"/>
  <c r="AC267"/>
  <c r="H267"/>
  <c r="G267"/>
  <c r="E267"/>
  <c r="BT266"/>
  <c r="BS266"/>
  <c r="BR266"/>
  <c r="BQ266"/>
  <c r="BP266"/>
  <c r="BO266"/>
  <c r="BN266"/>
  <c r="BM266"/>
  <c r="BL266"/>
  <c r="BK266"/>
  <c r="BJ266"/>
  <c r="BI266"/>
  <c r="BH266"/>
  <c r="BG266"/>
  <c r="BF266"/>
  <c r="BE266"/>
  <c r="BD266"/>
  <c r="BC266"/>
  <c r="BB266"/>
  <c r="BA266"/>
  <c r="AZ266"/>
  <c r="AY266"/>
  <c r="AX266"/>
  <c r="AW266"/>
  <c r="AV266"/>
  <c r="AC266"/>
  <c r="H266"/>
  <c r="G266"/>
  <c r="E266"/>
  <c r="BT265"/>
  <c r="BS265"/>
  <c r="BR265"/>
  <c r="BQ265"/>
  <c r="BP265"/>
  <c r="BO265"/>
  <c r="BN265"/>
  <c r="BM265"/>
  <c r="BL265"/>
  <c r="BK265"/>
  <c r="BJ265"/>
  <c r="BI265"/>
  <c r="BH265"/>
  <c r="BG265"/>
  <c r="BF265"/>
  <c r="BE265"/>
  <c r="BD265"/>
  <c r="BC265"/>
  <c r="BB265"/>
  <c r="BA265"/>
  <c r="AZ265"/>
  <c r="AY265"/>
  <c r="AX265"/>
  <c r="AW265"/>
  <c r="AV265"/>
  <c r="AC265"/>
  <c r="H265"/>
  <c r="G265"/>
  <c r="E265"/>
  <c r="BT264"/>
  <c r="BS264"/>
  <c r="BR264"/>
  <c r="BQ264"/>
  <c r="BP264"/>
  <c r="BO264"/>
  <c r="BN264"/>
  <c r="BM264"/>
  <c r="BL264"/>
  <c r="BK264"/>
  <c r="BJ264"/>
  <c r="BI264"/>
  <c r="BH264"/>
  <c r="BG264"/>
  <c r="BF264"/>
  <c r="BE264"/>
  <c r="BD264"/>
  <c r="BC264"/>
  <c r="BB264"/>
  <c r="BA264"/>
  <c r="AZ264"/>
  <c r="AY264"/>
  <c r="AX264"/>
  <c r="AW264"/>
  <c r="AV264"/>
  <c r="AC264"/>
  <c r="H264"/>
  <c r="G264"/>
  <c r="E264"/>
  <c r="BT263"/>
  <c r="BS263"/>
  <c r="BR263"/>
  <c r="BQ263"/>
  <c r="BP263"/>
  <c r="BO263"/>
  <c r="BN263"/>
  <c r="BM263"/>
  <c r="BL263"/>
  <c r="BK263"/>
  <c r="BJ263"/>
  <c r="BI263"/>
  <c r="BH263"/>
  <c r="BG263"/>
  <c r="BF263"/>
  <c r="BE263"/>
  <c r="BD263"/>
  <c r="BC263"/>
  <c r="BB263"/>
  <c r="BA263"/>
  <c r="AZ263"/>
  <c r="AY263"/>
  <c r="AX263"/>
  <c r="AW263"/>
  <c r="AV263"/>
  <c r="AC263"/>
  <c r="H263"/>
  <c r="G263"/>
  <c r="E263"/>
  <c r="BT262"/>
  <c r="BS262"/>
  <c r="BR262"/>
  <c r="BQ262"/>
  <c r="BP262"/>
  <c r="BO262"/>
  <c r="BN262"/>
  <c r="BM262"/>
  <c r="BL262"/>
  <c r="BK262"/>
  <c r="BJ262"/>
  <c r="BI262"/>
  <c r="BH262"/>
  <c r="BG262"/>
  <c r="BF262"/>
  <c r="BE262"/>
  <c r="BD262"/>
  <c r="BC262"/>
  <c r="BB262"/>
  <c r="BA262"/>
  <c r="AZ262"/>
  <c r="AY262"/>
  <c r="AX262"/>
  <c r="AW262"/>
  <c r="AV262"/>
  <c r="AC262"/>
  <c r="H262"/>
  <c r="G262"/>
  <c r="E262"/>
  <c r="BT261"/>
  <c r="BS261"/>
  <c r="BR261"/>
  <c r="BQ261"/>
  <c r="BP261"/>
  <c r="BO261"/>
  <c r="BN261"/>
  <c r="BM261"/>
  <c r="BL261"/>
  <c r="BK261"/>
  <c r="BJ261"/>
  <c r="BI261"/>
  <c r="BH261"/>
  <c r="BG261"/>
  <c r="BF261"/>
  <c r="BE261"/>
  <c r="BD261"/>
  <c r="BC261"/>
  <c r="BB261"/>
  <c r="BA261"/>
  <c r="AZ261"/>
  <c r="AY261"/>
  <c r="AX261"/>
  <c r="AW261"/>
  <c r="AV261"/>
  <c r="AC261"/>
  <c r="H261"/>
  <c r="G261"/>
  <c r="E261"/>
  <c r="BT260"/>
  <c r="BS260"/>
  <c r="BR260"/>
  <c r="BQ260"/>
  <c r="BP260"/>
  <c r="BO260"/>
  <c r="BN260"/>
  <c r="BM260"/>
  <c r="BL260"/>
  <c r="BK260"/>
  <c r="BJ260"/>
  <c r="BI260"/>
  <c r="BH260"/>
  <c r="BG260"/>
  <c r="BF260"/>
  <c r="BE260"/>
  <c r="BD260"/>
  <c r="BC260"/>
  <c r="BB260"/>
  <c r="BA260"/>
  <c r="AZ260"/>
  <c r="AY260"/>
  <c r="AX260"/>
  <c r="AW260"/>
  <c r="AV260"/>
  <c r="AC260"/>
  <c r="H260"/>
  <c r="G260"/>
  <c r="E260"/>
  <c r="BT259"/>
  <c r="BS259"/>
  <c r="BR259"/>
  <c r="BQ259"/>
  <c r="BP259"/>
  <c r="BO259"/>
  <c r="BN259"/>
  <c r="BM259"/>
  <c r="BL259"/>
  <c r="BK259"/>
  <c r="BJ259"/>
  <c r="BI259"/>
  <c r="BH259"/>
  <c r="BG259"/>
  <c r="BF259"/>
  <c r="BE259"/>
  <c r="BD259"/>
  <c r="BC259"/>
  <c r="BB259"/>
  <c r="BA259"/>
  <c r="AZ259"/>
  <c r="AY259"/>
  <c r="AX259"/>
  <c r="AW259"/>
  <c r="AV259"/>
  <c r="AC259"/>
  <c r="H259"/>
  <c r="G259"/>
  <c r="E259"/>
  <c r="BT258"/>
  <c r="BS258"/>
  <c r="BR258"/>
  <c r="BQ258"/>
  <c r="BP258"/>
  <c r="BO258"/>
  <c r="BN258"/>
  <c r="BM258"/>
  <c r="BL258"/>
  <c r="BK258"/>
  <c r="BJ258"/>
  <c r="BI258"/>
  <c r="BH258"/>
  <c r="BG258"/>
  <c r="BF258"/>
  <c r="BE258"/>
  <c r="BD258"/>
  <c r="BC258"/>
  <c r="BB258"/>
  <c r="BA258"/>
  <c r="AZ258"/>
  <c r="AY258"/>
  <c r="AX258"/>
  <c r="AW258"/>
  <c r="AV258"/>
  <c r="AC258"/>
  <c r="H258"/>
  <c r="G258"/>
  <c r="E258"/>
  <c r="BT257"/>
  <c r="BS257"/>
  <c r="BR257"/>
  <c r="BQ257"/>
  <c r="BP257"/>
  <c r="BO257"/>
  <c r="BN257"/>
  <c r="BM257"/>
  <c r="BL257"/>
  <c r="BK257"/>
  <c r="BJ257"/>
  <c r="BI257"/>
  <c r="BH257"/>
  <c r="BG257"/>
  <c r="BF257"/>
  <c r="BE257"/>
  <c r="BD257"/>
  <c r="BC257"/>
  <c r="BB257"/>
  <c r="BA257"/>
  <c r="AZ257"/>
  <c r="AY257"/>
  <c r="AX257"/>
  <c r="AW257"/>
  <c r="AV257"/>
  <c r="AC257"/>
  <c r="H257"/>
  <c r="G257"/>
  <c r="E257"/>
  <c r="BT256"/>
  <c r="BS256"/>
  <c r="BR256"/>
  <c r="BQ256"/>
  <c r="BP256"/>
  <c r="BO256"/>
  <c r="BN256"/>
  <c r="BM256"/>
  <c r="BL256"/>
  <c r="BK256"/>
  <c r="BJ256"/>
  <c r="BI256"/>
  <c r="BH256"/>
  <c r="BG256"/>
  <c r="BF256"/>
  <c r="BE256"/>
  <c r="BD256"/>
  <c r="BC256"/>
  <c r="BB256"/>
  <c r="BA256"/>
  <c r="AZ256"/>
  <c r="AY256"/>
  <c r="AX256"/>
  <c r="AW256"/>
  <c r="AV256"/>
  <c r="AC256"/>
  <c r="H256"/>
  <c r="G256"/>
  <c r="E256"/>
  <c r="BT255"/>
  <c r="BS255"/>
  <c r="BR255"/>
  <c r="BQ255"/>
  <c r="BP255"/>
  <c r="BO255"/>
  <c r="BN255"/>
  <c r="BM255"/>
  <c r="BL255"/>
  <c r="BK255"/>
  <c r="BJ255"/>
  <c r="BI255"/>
  <c r="BH255"/>
  <c r="BG255"/>
  <c r="BF255"/>
  <c r="BE255"/>
  <c r="BD255"/>
  <c r="BC255"/>
  <c r="BB255"/>
  <c r="BA255"/>
  <c r="AZ255"/>
  <c r="AY255"/>
  <c r="AX255"/>
  <c r="AW255"/>
  <c r="AV255"/>
  <c r="AC255"/>
  <c r="H255"/>
  <c r="G255"/>
  <c r="E255"/>
  <c r="BT254"/>
  <c r="BS254"/>
  <c r="BR254"/>
  <c r="BQ254"/>
  <c r="BP254"/>
  <c r="BO254"/>
  <c r="BN254"/>
  <c r="BM254"/>
  <c r="BL254"/>
  <c r="BK254"/>
  <c r="BJ254"/>
  <c r="BI254"/>
  <c r="BH254"/>
  <c r="BG254"/>
  <c r="BF254"/>
  <c r="BE254"/>
  <c r="BD254"/>
  <c r="BC254"/>
  <c r="BB254"/>
  <c r="BA254"/>
  <c r="AZ254"/>
  <c r="AY254"/>
  <c r="AX254"/>
  <c r="AW254"/>
  <c r="AV254"/>
  <c r="AC254"/>
  <c r="H254"/>
  <c r="G254"/>
  <c r="E254"/>
  <c r="BT253"/>
  <c r="BS253"/>
  <c r="BR253"/>
  <c r="BQ253"/>
  <c r="BP253"/>
  <c r="BO253"/>
  <c r="BN253"/>
  <c r="BM253"/>
  <c r="BL253"/>
  <c r="BK253"/>
  <c r="BJ253"/>
  <c r="BI253"/>
  <c r="BH253"/>
  <c r="BG253"/>
  <c r="BF253"/>
  <c r="BE253"/>
  <c r="BD253"/>
  <c r="BC253"/>
  <c r="BB253"/>
  <c r="BA253"/>
  <c r="AZ253"/>
  <c r="AY253"/>
  <c r="AX253"/>
  <c r="AW253"/>
  <c r="AV253"/>
  <c r="AC253"/>
  <c r="H253"/>
  <c r="G253"/>
  <c r="E253"/>
  <c r="BT252"/>
  <c r="BS252"/>
  <c r="BR252"/>
  <c r="BQ252"/>
  <c r="BP252"/>
  <c r="BO252"/>
  <c r="BN252"/>
  <c r="BM252"/>
  <c r="BL252"/>
  <c r="BK252"/>
  <c r="BJ252"/>
  <c r="BI252"/>
  <c r="BH252"/>
  <c r="BG252"/>
  <c r="BF252"/>
  <c r="BE252"/>
  <c r="BD252"/>
  <c r="BC252"/>
  <c r="BB252"/>
  <c r="BA252"/>
  <c r="AZ252"/>
  <c r="AY252"/>
  <c r="AX252"/>
  <c r="AW252"/>
  <c r="AV252"/>
  <c r="AC252"/>
  <c r="H252"/>
  <c r="G252"/>
  <c r="E252"/>
  <c r="BT251"/>
  <c r="BS251"/>
  <c r="BR251"/>
  <c r="BQ251"/>
  <c r="BP251"/>
  <c r="BO251"/>
  <c r="BN251"/>
  <c r="BM251"/>
  <c r="BL251"/>
  <c r="BK251"/>
  <c r="BJ251"/>
  <c r="BI251"/>
  <c r="BH251"/>
  <c r="BG251"/>
  <c r="BF251"/>
  <c r="BE251"/>
  <c r="BD251"/>
  <c r="BC251"/>
  <c r="BB251"/>
  <c r="BA251"/>
  <c r="AZ251"/>
  <c r="AY251"/>
  <c r="AX251"/>
  <c r="AW251"/>
  <c r="AV251"/>
  <c r="AC251"/>
  <c r="H251"/>
  <c r="G251"/>
  <c r="E251"/>
  <c r="BT250"/>
  <c r="BS250"/>
  <c r="BR250"/>
  <c r="BQ250"/>
  <c r="BP250"/>
  <c r="BO250"/>
  <c r="BN250"/>
  <c r="BM250"/>
  <c r="BL250"/>
  <c r="BK250"/>
  <c r="BJ250"/>
  <c r="BI250"/>
  <c r="BH250"/>
  <c r="BG250"/>
  <c r="BF250"/>
  <c r="BE250"/>
  <c r="BD250"/>
  <c r="BC250"/>
  <c r="BB250"/>
  <c r="BA250"/>
  <c r="AZ250"/>
  <c r="AY250"/>
  <c r="AX250"/>
  <c r="AW250"/>
  <c r="AV250"/>
  <c r="AC250"/>
  <c r="H250"/>
  <c r="G250"/>
  <c r="E250"/>
  <c r="BT249"/>
  <c r="BS249"/>
  <c r="BR249"/>
  <c r="BQ249"/>
  <c r="BP249"/>
  <c r="BO249"/>
  <c r="BN249"/>
  <c r="BM249"/>
  <c r="BL249"/>
  <c r="BK249"/>
  <c r="BJ249"/>
  <c r="BI249"/>
  <c r="BH249"/>
  <c r="BG249"/>
  <c r="BF249"/>
  <c r="BE249"/>
  <c r="BD249"/>
  <c r="BC249"/>
  <c r="BB249"/>
  <c r="BA249"/>
  <c r="AZ249"/>
  <c r="AY249"/>
  <c r="AX249"/>
  <c r="AW249"/>
  <c r="AV249"/>
  <c r="AC249"/>
  <c r="H249"/>
  <c r="G249"/>
  <c r="E249"/>
  <c r="BT248"/>
  <c r="BS248"/>
  <c r="BR248"/>
  <c r="BQ248"/>
  <c r="BP248"/>
  <c r="BO248"/>
  <c r="BN248"/>
  <c r="BM248"/>
  <c r="BL248"/>
  <c r="BK248"/>
  <c r="BJ248"/>
  <c r="BI248"/>
  <c r="BH248"/>
  <c r="BG248"/>
  <c r="BF248"/>
  <c r="BE248"/>
  <c r="BD248"/>
  <c r="BC248"/>
  <c r="BB248"/>
  <c r="BA248"/>
  <c r="AZ248"/>
  <c r="AY248"/>
  <c r="AX248"/>
  <c r="AW248"/>
  <c r="AV248"/>
  <c r="AC248"/>
  <c r="H248"/>
  <c r="G248"/>
  <c r="E248"/>
  <c r="BT247"/>
  <c r="BS247"/>
  <c r="BR247"/>
  <c r="BQ247"/>
  <c r="BP247"/>
  <c r="BO247"/>
  <c r="BN247"/>
  <c r="BM247"/>
  <c r="BL247"/>
  <c r="BK247"/>
  <c r="BJ247"/>
  <c r="BI247"/>
  <c r="BH247"/>
  <c r="BG247"/>
  <c r="BF247"/>
  <c r="BE247"/>
  <c r="BD247"/>
  <c r="BC247"/>
  <c r="BB247"/>
  <c r="BA247"/>
  <c r="AZ247"/>
  <c r="AY247"/>
  <c r="AX247"/>
  <c r="AW247"/>
  <c r="AV247"/>
  <c r="AC247"/>
  <c r="H247"/>
  <c r="G247"/>
  <c r="E247"/>
  <c r="BT246"/>
  <c r="BS246"/>
  <c r="BR246"/>
  <c r="BQ246"/>
  <c r="BP246"/>
  <c r="BO246"/>
  <c r="BN246"/>
  <c r="BM246"/>
  <c r="BL246"/>
  <c r="BK246"/>
  <c r="BJ246"/>
  <c r="BI246"/>
  <c r="BH246"/>
  <c r="BG246"/>
  <c r="BF246"/>
  <c r="BE246"/>
  <c r="BD246"/>
  <c r="BC246"/>
  <c r="BB246"/>
  <c r="BA246"/>
  <c r="AZ246"/>
  <c r="AY246"/>
  <c r="AX246"/>
  <c r="AW246"/>
  <c r="AV246"/>
  <c r="AC246"/>
  <c r="H246"/>
  <c r="G246"/>
  <c r="E246"/>
  <c r="BT245"/>
  <c r="BS245"/>
  <c r="BR245"/>
  <c r="BQ245"/>
  <c r="BP245"/>
  <c r="BO245"/>
  <c r="BN245"/>
  <c r="BM245"/>
  <c r="BL245"/>
  <c r="BK245"/>
  <c r="BJ245"/>
  <c r="BI245"/>
  <c r="BH245"/>
  <c r="BG245"/>
  <c r="BF245"/>
  <c r="BE245"/>
  <c r="BD245"/>
  <c r="BC245"/>
  <c r="BB245"/>
  <c r="BA245"/>
  <c r="AZ245"/>
  <c r="AY245"/>
  <c r="AX245"/>
  <c r="AW245"/>
  <c r="AV245"/>
  <c r="AC245"/>
  <c r="H245"/>
  <c r="G245"/>
  <c r="E245"/>
  <c r="BT244"/>
  <c r="BS244"/>
  <c r="BR244"/>
  <c r="BQ244"/>
  <c r="BP244"/>
  <c r="BO244"/>
  <c r="BN244"/>
  <c r="BM244"/>
  <c r="BL244"/>
  <c r="BK244"/>
  <c r="BJ244"/>
  <c r="BI244"/>
  <c r="BH244"/>
  <c r="BG244"/>
  <c r="BF244"/>
  <c r="BE244"/>
  <c r="BD244"/>
  <c r="BC244"/>
  <c r="BB244"/>
  <c r="BA244"/>
  <c r="AZ244"/>
  <c r="AY244"/>
  <c r="AX244"/>
  <c r="AW244"/>
  <c r="AV244"/>
  <c r="AC244"/>
  <c r="H244"/>
  <c r="G244"/>
  <c r="E244"/>
  <c r="BT243"/>
  <c r="BS243"/>
  <c r="BR243"/>
  <c r="BQ243"/>
  <c r="BP243"/>
  <c r="BO243"/>
  <c r="BN243"/>
  <c r="BM243"/>
  <c r="BL243"/>
  <c r="BK243"/>
  <c r="BJ243"/>
  <c r="BI243"/>
  <c r="BH243"/>
  <c r="BG243"/>
  <c r="BF243"/>
  <c r="BE243"/>
  <c r="BD243"/>
  <c r="BC243"/>
  <c r="BB243"/>
  <c r="BA243"/>
  <c r="AZ243"/>
  <c r="AY243"/>
  <c r="AX243"/>
  <c r="AW243"/>
  <c r="AV243"/>
  <c r="AC243"/>
  <c r="H243"/>
  <c r="G243"/>
  <c r="E243"/>
  <c r="BT242"/>
  <c r="BS242"/>
  <c r="BR242"/>
  <c r="BQ242"/>
  <c r="BP242"/>
  <c r="BO242"/>
  <c r="BN242"/>
  <c r="BM242"/>
  <c r="BL242"/>
  <c r="BK242"/>
  <c r="BJ242"/>
  <c r="BI242"/>
  <c r="BH242"/>
  <c r="BG242"/>
  <c r="BF242"/>
  <c r="BE242"/>
  <c r="BD242"/>
  <c r="BC242"/>
  <c r="BB242"/>
  <c r="BA242"/>
  <c r="AZ242"/>
  <c r="AY242"/>
  <c r="AX242"/>
  <c r="AW242"/>
  <c r="AV242"/>
  <c r="AC242"/>
  <c r="H242"/>
  <c r="G242"/>
  <c r="E242"/>
  <c r="BT241"/>
  <c r="BS241"/>
  <c r="BR241"/>
  <c r="BQ241"/>
  <c r="BP241"/>
  <c r="BO241"/>
  <c r="BN241"/>
  <c r="BM241"/>
  <c r="BL241"/>
  <c r="BK241"/>
  <c r="BJ241"/>
  <c r="BI241"/>
  <c r="BH241"/>
  <c r="BG241"/>
  <c r="BF241"/>
  <c r="BE241"/>
  <c r="BD241"/>
  <c r="BC241"/>
  <c r="BB241"/>
  <c r="BA241"/>
  <c r="AZ241"/>
  <c r="AY241"/>
  <c r="AX241"/>
  <c r="AW241"/>
  <c r="AV241"/>
  <c r="AC241"/>
  <c r="H241"/>
  <c r="G241"/>
  <c r="E241"/>
  <c r="BT240"/>
  <c r="BS240"/>
  <c r="BR240"/>
  <c r="BQ240"/>
  <c r="BP240"/>
  <c r="BO240"/>
  <c r="BN240"/>
  <c r="BM240"/>
  <c r="BL240"/>
  <c r="BK240"/>
  <c r="BJ240"/>
  <c r="BI240"/>
  <c r="BH240"/>
  <c r="BG240"/>
  <c r="BF240"/>
  <c r="BE240"/>
  <c r="BD240"/>
  <c r="BC240"/>
  <c r="BB240"/>
  <c r="BA240"/>
  <c r="AZ240"/>
  <c r="AY240"/>
  <c r="AX240"/>
  <c r="AW240"/>
  <c r="AV240"/>
  <c r="AC240"/>
  <c r="H240"/>
  <c r="G240"/>
  <c r="E240"/>
  <c r="BT239"/>
  <c r="BS239"/>
  <c r="BR239"/>
  <c r="BQ239"/>
  <c r="BP239"/>
  <c r="BO239"/>
  <c r="BN239"/>
  <c r="BM239"/>
  <c r="BL239"/>
  <c r="BK239"/>
  <c r="BJ239"/>
  <c r="BI239"/>
  <c r="BH239"/>
  <c r="BG239"/>
  <c r="BF239"/>
  <c r="BE239"/>
  <c r="BD239"/>
  <c r="BC239"/>
  <c r="BB239"/>
  <c r="BA239"/>
  <c r="AZ239"/>
  <c r="AY239"/>
  <c r="AX239"/>
  <c r="AW239"/>
  <c r="AV239"/>
  <c r="AC239"/>
  <c r="H239"/>
  <c r="G239"/>
  <c r="E239"/>
  <c r="BT238"/>
  <c r="BS238"/>
  <c r="BR238"/>
  <c r="BQ238"/>
  <c r="BP238"/>
  <c r="BO238"/>
  <c r="BN238"/>
  <c r="BM238"/>
  <c r="BL238"/>
  <c r="BK238"/>
  <c r="BJ238"/>
  <c r="BI238"/>
  <c r="BH238"/>
  <c r="BG238"/>
  <c r="BF238"/>
  <c r="BE238"/>
  <c r="BD238"/>
  <c r="BC238"/>
  <c r="BB238"/>
  <c r="BA238"/>
  <c r="AZ238"/>
  <c r="AY238"/>
  <c r="AX238"/>
  <c r="AW238"/>
  <c r="AV238"/>
  <c r="AC238"/>
  <c r="H238"/>
  <c r="G238"/>
  <c r="E238"/>
  <c r="BT237"/>
  <c r="BS237"/>
  <c r="BR237"/>
  <c r="BQ237"/>
  <c r="BP237"/>
  <c r="BO237"/>
  <c r="BN237"/>
  <c r="BM237"/>
  <c r="BL237"/>
  <c r="BK237"/>
  <c r="BJ237"/>
  <c r="BI237"/>
  <c r="BH237"/>
  <c r="BG237"/>
  <c r="BF237"/>
  <c r="BE237"/>
  <c r="BD237"/>
  <c r="BC237"/>
  <c r="BB237"/>
  <c r="BA237"/>
  <c r="AZ237"/>
  <c r="AY237"/>
  <c r="AX237"/>
  <c r="AW237"/>
  <c r="AV237"/>
  <c r="AC237"/>
  <c r="H237"/>
  <c r="G237"/>
  <c r="E237"/>
  <c r="BT236"/>
  <c r="BS236"/>
  <c r="BR236"/>
  <c r="BQ236"/>
  <c r="BP236"/>
  <c r="BO236"/>
  <c r="BN236"/>
  <c r="BM236"/>
  <c r="BL236"/>
  <c r="BK236"/>
  <c r="BJ236"/>
  <c r="BI236"/>
  <c r="BH236"/>
  <c r="BG236"/>
  <c r="BF236"/>
  <c r="BE236"/>
  <c r="BD236"/>
  <c r="BC236"/>
  <c r="BB236"/>
  <c r="BA236"/>
  <c r="AZ236"/>
  <c r="AY236"/>
  <c r="AX236"/>
  <c r="AW236"/>
  <c r="AV236"/>
  <c r="AC236"/>
  <c r="H236"/>
  <c r="G236"/>
  <c r="E236"/>
  <c r="BT235"/>
  <c r="BS235"/>
  <c r="BR235"/>
  <c r="BQ235"/>
  <c r="BP235"/>
  <c r="BO235"/>
  <c r="BN235"/>
  <c r="BM235"/>
  <c r="BL235"/>
  <c r="BK235"/>
  <c r="BJ235"/>
  <c r="BI235"/>
  <c r="BH235"/>
  <c r="BG235"/>
  <c r="BF235"/>
  <c r="BE235"/>
  <c r="BD235"/>
  <c r="BC235"/>
  <c r="BB235"/>
  <c r="BA235"/>
  <c r="AZ235"/>
  <c r="AY235"/>
  <c r="AX235"/>
  <c r="AW235"/>
  <c r="AV235"/>
  <c r="AC235"/>
  <c r="H235"/>
  <c r="G235"/>
  <c r="E235"/>
  <c r="BT234"/>
  <c r="BS234"/>
  <c r="BR234"/>
  <c r="BQ234"/>
  <c r="BP234"/>
  <c r="BO234"/>
  <c r="BN234"/>
  <c r="BM234"/>
  <c r="BL234"/>
  <c r="BK234"/>
  <c r="BJ234"/>
  <c r="BI234"/>
  <c r="BH234"/>
  <c r="BG234"/>
  <c r="BF234"/>
  <c r="BE234"/>
  <c r="BD234"/>
  <c r="BC234"/>
  <c r="BB234"/>
  <c r="BA234"/>
  <c r="AZ234"/>
  <c r="AY234"/>
  <c r="AX234"/>
  <c r="AW234"/>
  <c r="AV234"/>
  <c r="AC234"/>
  <c r="H234"/>
  <c r="G234"/>
  <c r="E234"/>
  <c r="BT233"/>
  <c r="BS233"/>
  <c r="BR233"/>
  <c r="BQ233"/>
  <c r="BP233"/>
  <c r="BO233"/>
  <c r="BN233"/>
  <c r="BM233"/>
  <c r="BL233"/>
  <c r="BK233"/>
  <c r="BJ233"/>
  <c r="BI233"/>
  <c r="BH233"/>
  <c r="BG233"/>
  <c r="BF233"/>
  <c r="BE233"/>
  <c r="BD233"/>
  <c r="BC233"/>
  <c r="BB233"/>
  <c r="BA233"/>
  <c r="AZ233"/>
  <c r="AY233"/>
  <c r="AX233"/>
  <c r="AW233"/>
  <c r="AV233"/>
  <c r="AC233"/>
  <c r="H233"/>
  <c r="G233"/>
  <c r="E233"/>
  <c r="BT232"/>
  <c r="BS232"/>
  <c r="BR232"/>
  <c r="BQ232"/>
  <c r="BP232"/>
  <c r="BO232"/>
  <c r="BN232"/>
  <c r="BM232"/>
  <c r="BL232"/>
  <c r="BK232"/>
  <c r="BJ232"/>
  <c r="BI232"/>
  <c r="BH232"/>
  <c r="BG232"/>
  <c r="BF232"/>
  <c r="BE232"/>
  <c r="BD232"/>
  <c r="BC232"/>
  <c r="BB232"/>
  <c r="BA232"/>
  <c r="AZ232"/>
  <c r="AY232"/>
  <c r="AX232"/>
  <c r="AW232"/>
  <c r="AV232"/>
  <c r="AC232"/>
  <c r="H232"/>
  <c r="G232"/>
  <c r="E232"/>
  <c r="BT231"/>
  <c r="BS231"/>
  <c r="BR231"/>
  <c r="BQ231"/>
  <c r="BP231"/>
  <c r="BO231"/>
  <c r="BN231"/>
  <c r="BM231"/>
  <c r="BL231"/>
  <c r="BK231"/>
  <c r="BJ231"/>
  <c r="BI231"/>
  <c r="BH231"/>
  <c r="BG231"/>
  <c r="BF231"/>
  <c r="BE231"/>
  <c r="BD231"/>
  <c r="BC231"/>
  <c r="BB231"/>
  <c r="BA231"/>
  <c r="AZ231"/>
  <c r="AY231"/>
  <c r="AX231"/>
  <c r="AW231"/>
  <c r="AV231"/>
  <c r="AC231"/>
  <c r="H231"/>
  <c r="G231"/>
  <c r="E231"/>
  <c r="BT230"/>
  <c r="BS230"/>
  <c r="BR230"/>
  <c r="BQ230"/>
  <c r="BP230"/>
  <c r="BO230"/>
  <c r="BN230"/>
  <c r="BM230"/>
  <c r="BL230"/>
  <c r="BK230"/>
  <c r="BJ230"/>
  <c r="BI230"/>
  <c r="BH230"/>
  <c r="BG230"/>
  <c r="BF230"/>
  <c r="BE230"/>
  <c r="BD230"/>
  <c r="BC230"/>
  <c r="BB230"/>
  <c r="BA230"/>
  <c r="AZ230"/>
  <c r="AY230"/>
  <c r="AX230"/>
  <c r="AW230"/>
  <c r="AV230"/>
  <c r="AC230"/>
  <c r="H230"/>
  <c r="G230"/>
  <c r="E230"/>
  <c r="BT229"/>
  <c r="BS229"/>
  <c r="BR229"/>
  <c r="BQ229"/>
  <c r="BP229"/>
  <c r="BO229"/>
  <c r="BN229"/>
  <c r="BM229"/>
  <c r="BL229"/>
  <c r="BK229"/>
  <c r="BJ229"/>
  <c r="BI229"/>
  <c r="BH229"/>
  <c r="BG229"/>
  <c r="BF229"/>
  <c r="BE229"/>
  <c r="BD229"/>
  <c r="BC229"/>
  <c r="BB229"/>
  <c r="BA229"/>
  <c r="AZ229"/>
  <c r="AY229"/>
  <c r="AX229"/>
  <c r="AW229"/>
  <c r="AV229"/>
  <c r="AC229"/>
  <c r="H229"/>
  <c r="G229"/>
  <c r="E229"/>
  <c r="BT228"/>
  <c r="BS228"/>
  <c r="BR228"/>
  <c r="BQ228"/>
  <c r="BP228"/>
  <c r="BO228"/>
  <c r="BN228"/>
  <c r="BM228"/>
  <c r="BL228"/>
  <c r="BK228"/>
  <c r="BJ228"/>
  <c r="BI228"/>
  <c r="BH228"/>
  <c r="BG228"/>
  <c r="BF228"/>
  <c r="BE228"/>
  <c r="BD228"/>
  <c r="BC228"/>
  <c r="BB228"/>
  <c r="BA228"/>
  <c r="AZ228"/>
  <c r="AY228"/>
  <c r="AX228"/>
  <c r="AW228"/>
  <c r="AV228"/>
  <c r="AC228"/>
  <c r="H228"/>
  <c r="G228"/>
  <c r="E228"/>
  <c r="BT227"/>
  <c r="BS227"/>
  <c r="BR227"/>
  <c r="BQ227"/>
  <c r="BP227"/>
  <c r="BO227"/>
  <c r="BN227"/>
  <c r="BM227"/>
  <c r="BL227"/>
  <c r="BK227"/>
  <c r="BJ227"/>
  <c r="BI227"/>
  <c r="BH227"/>
  <c r="BG227"/>
  <c r="BF227"/>
  <c r="BE227"/>
  <c r="BD227"/>
  <c r="BC227"/>
  <c r="BB227"/>
  <c r="BA227"/>
  <c r="AZ227"/>
  <c r="AY227"/>
  <c r="AX227"/>
  <c r="AW227"/>
  <c r="AV227"/>
  <c r="AC227"/>
  <c r="H227"/>
  <c r="G227"/>
  <c r="E227"/>
  <c r="BT226"/>
  <c r="BS226"/>
  <c r="BR226"/>
  <c r="BQ226"/>
  <c r="BP226"/>
  <c r="BO226"/>
  <c r="BN226"/>
  <c r="BM226"/>
  <c r="BL226"/>
  <c r="BK226"/>
  <c r="BJ226"/>
  <c r="BI226"/>
  <c r="BH226"/>
  <c r="BG226"/>
  <c r="BF226"/>
  <c r="BE226"/>
  <c r="BD226"/>
  <c r="BC226"/>
  <c r="BB226"/>
  <c r="BA226"/>
  <c r="AZ226"/>
  <c r="AY226"/>
  <c r="AX226"/>
  <c r="AW226"/>
  <c r="AV226"/>
  <c r="AC226"/>
  <c r="H226"/>
  <c r="G226"/>
  <c r="E226"/>
  <c r="BT225"/>
  <c r="BS225"/>
  <c r="BR225"/>
  <c r="BQ225"/>
  <c r="BP225"/>
  <c r="BO225"/>
  <c r="BN225"/>
  <c r="BM225"/>
  <c r="BL225"/>
  <c r="BK225"/>
  <c r="BJ225"/>
  <c r="BI225"/>
  <c r="BH225"/>
  <c r="BG225"/>
  <c r="BF225"/>
  <c r="BE225"/>
  <c r="BD225"/>
  <c r="BC225"/>
  <c r="BB225"/>
  <c r="BA225"/>
  <c r="AZ225"/>
  <c r="AY225"/>
  <c r="AX225"/>
  <c r="AW225"/>
  <c r="AV225"/>
  <c r="AC225"/>
  <c r="H225"/>
  <c r="G225"/>
  <c r="E225"/>
  <c r="BT224"/>
  <c r="BS224"/>
  <c r="BR224"/>
  <c r="BQ224"/>
  <c r="BP224"/>
  <c r="BO224"/>
  <c r="BN224"/>
  <c r="BM224"/>
  <c r="BL224"/>
  <c r="BK224"/>
  <c r="BJ224"/>
  <c r="BI224"/>
  <c r="BH224"/>
  <c r="BG224"/>
  <c r="BF224"/>
  <c r="BE224"/>
  <c r="BD224"/>
  <c r="BC224"/>
  <c r="BB224"/>
  <c r="BA224"/>
  <c r="AZ224"/>
  <c r="AY224"/>
  <c r="AX224"/>
  <c r="AW224"/>
  <c r="AV224"/>
  <c r="AC224"/>
  <c r="H224"/>
  <c r="G224"/>
  <c r="E224"/>
  <c r="BT223"/>
  <c r="BS223"/>
  <c r="BR223"/>
  <c r="BQ223"/>
  <c r="BP223"/>
  <c r="BO223"/>
  <c r="BN223"/>
  <c r="BM223"/>
  <c r="BL223"/>
  <c r="BK223"/>
  <c r="BJ223"/>
  <c r="BI223"/>
  <c r="BH223"/>
  <c r="BG223"/>
  <c r="BF223"/>
  <c r="BE223"/>
  <c r="BD223"/>
  <c r="BC223"/>
  <c r="BB223"/>
  <c r="BA223"/>
  <c r="AZ223"/>
  <c r="AY223"/>
  <c r="AX223"/>
  <c r="AW223"/>
  <c r="AV223"/>
  <c r="AC223"/>
  <c r="H223"/>
  <c r="G223"/>
  <c r="E223"/>
  <c r="BT222"/>
  <c r="BS222"/>
  <c r="BR222"/>
  <c r="BQ222"/>
  <c r="BP222"/>
  <c r="BO222"/>
  <c r="BN222"/>
  <c r="BM222"/>
  <c r="BL222"/>
  <c r="BK222"/>
  <c r="BJ222"/>
  <c r="BI222"/>
  <c r="BH222"/>
  <c r="BG222"/>
  <c r="BF222"/>
  <c r="BE222"/>
  <c r="BD222"/>
  <c r="BC222"/>
  <c r="BB222"/>
  <c r="BA222"/>
  <c r="AZ222"/>
  <c r="AY222"/>
  <c r="AX222"/>
  <c r="AW222"/>
  <c r="AV222"/>
  <c r="AC222"/>
  <c r="H222"/>
  <c r="G222"/>
  <c r="E222"/>
  <c r="BT221"/>
  <c r="BS221"/>
  <c r="BR221"/>
  <c r="BQ221"/>
  <c r="BP221"/>
  <c r="BO221"/>
  <c r="BN221"/>
  <c r="BM221"/>
  <c r="BL221"/>
  <c r="BK221"/>
  <c r="BJ221"/>
  <c r="BI221"/>
  <c r="BH221"/>
  <c r="BG221"/>
  <c r="BF221"/>
  <c r="BE221"/>
  <c r="BD221"/>
  <c r="BC221"/>
  <c r="BB221"/>
  <c r="BA221"/>
  <c r="AZ221"/>
  <c r="AY221"/>
  <c r="AX221"/>
  <c r="AW221"/>
  <c r="AV221"/>
  <c r="AC221"/>
  <c r="H221"/>
  <c r="G221"/>
  <c r="E221"/>
  <c r="BT220"/>
  <c r="BS220"/>
  <c r="BR220"/>
  <c r="BQ220"/>
  <c r="BP220"/>
  <c r="BO220"/>
  <c r="BN220"/>
  <c r="BM220"/>
  <c r="BL220"/>
  <c r="BK220"/>
  <c r="BJ220"/>
  <c r="BI220"/>
  <c r="BH220"/>
  <c r="BG220"/>
  <c r="BF220"/>
  <c r="BE220"/>
  <c r="BD220"/>
  <c r="BC220"/>
  <c r="BB220"/>
  <c r="BA220"/>
  <c r="AZ220"/>
  <c r="AY220"/>
  <c r="AX220"/>
  <c r="AW220"/>
  <c r="AV220"/>
  <c r="AC220"/>
  <c r="H220"/>
  <c r="G220"/>
  <c r="E220"/>
  <c r="BT219"/>
  <c r="BS219"/>
  <c r="BR219"/>
  <c r="BQ219"/>
  <c r="BP219"/>
  <c r="BO219"/>
  <c r="BN219"/>
  <c r="BM219"/>
  <c r="BL219"/>
  <c r="BK219"/>
  <c r="BJ219"/>
  <c r="BI219"/>
  <c r="BH219"/>
  <c r="BG219"/>
  <c r="BF219"/>
  <c r="BE219"/>
  <c r="BD219"/>
  <c r="BC219"/>
  <c r="BB219"/>
  <c r="BA219"/>
  <c r="AZ219"/>
  <c r="AY219"/>
  <c r="AX219"/>
  <c r="AW219"/>
  <c r="AV219"/>
  <c r="AC219"/>
  <c r="H219"/>
  <c r="G219"/>
  <c r="E219"/>
  <c r="BT218"/>
  <c r="BS218"/>
  <c r="BR218"/>
  <c r="BQ218"/>
  <c r="BP218"/>
  <c r="BO218"/>
  <c r="BN218"/>
  <c r="BM218"/>
  <c r="BL218"/>
  <c r="BK218"/>
  <c r="BJ218"/>
  <c r="BI218"/>
  <c r="BH218"/>
  <c r="BG218"/>
  <c r="BF218"/>
  <c r="BE218"/>
  <c r="BD218"/>
  <c r="BC218"/>
  <c r="BB218"/>
  <c r="BA218"/>
  <c r="AZ218"/>
  <c r="AY218"/>
  <c r="AX218"/>
  <c r="AW218"/>
  <c r="AV218"/>
  <c r="AC218"/>
  <c r="H218"/>
  <c r="G218"/>
  <c r="E218"/>
  <c r="BT217"/>
  <c r="BS217"/>
  <c r="BR217"/>
  <c r="BQ217"/>
  <c r="BP217"/>
  <c r="BO217"/>
  <c r="BN217"/>
  <c r="BM217"/>
  <c r="BL217"/>
  <c r="BK217"/>
  <c r="BJ217"/>
  <c r="BI217"/>
  <c r="BH217"/>
  <c r="BG217"/>
  <c r="BF217"/>
  <c r="BE217"/>
  <c r="BD217"/>
  <c r="BC217"/>
  <c r="BB217"/>
  <c r="BA217"/>
  <c r="AZ217"/>
  <c r="AY217"/>
  <c r="AX217"/>
  <c r="AW217"/>
  <c r="AV217"/>
  <c r="AC217"/>
  <c r="H217"/>
  <c r="G217"/>
  <c r="E217"/>
  <c r="BT216"/>
  <c r="BS216"/>
  <c r="BR216"/>
  <c r="BQ216"/>
  <c r="BP216"/>
  <c r="BO216"/>
  <c r="BN216"/>
  <c r="BM216"/>
  <c r="BL216"/>
  <c r="BK216"/>
  <c r="BJ216"/>
  <c r="BI216"/>
  <c r="BH216"/>
  <c r="BG216"/>
  <c r="BF216"/>
  <c r="BE216"/>
  <c r="BD216"/>
  <c r="BC216"/>
  <c r="BB216"/>
  <c r="BA216"/>
  <c r="AZ216"/>
  <c r="AY216"/>
  <c r="AX216"/>
  <c r="AW216"/>
  <c r="AV216"/>
  <c r="AC216"/>
  <c r="H216"/>
  <c r="G216"/>
  <c r="E216"/>
  <c r="BT215"/>
  <c r="BS215"/>
  <c r="BR215"/>
  <c r="BQ215"/>
  <c r="BP215"/>
  <c r="BO215"/>
  <c r="BN215"/>
  <c r="BM215"/>
  <c r="BL215"/>
  <c r="BK215"/>
  <c r="BJ215"/>
  <c r="BI215"/>
  <c r="BH215"/>
  <c r="BG215"/>
  <c r="BF215"/>
  <c r="BE215"/>
  <c r="BD215"/>
  <c r="BC215"/>
  <c r="BB215"/>
  <c r="BA215"/>
  <c r="AZ215"/>
  <c r="AY215"/>
  <c r="AX215"/>
  <c r="AW215"/>
  <c r="AV215"/>
  <c r="AC215"/>
  <c r="H215"/>
  <c r="G215"/>
  <c r="E215"/>
  <c r="BT214"/>
  <c r="BS214"/>
  <c r="BR214"/>
  <c r="BQ214"/>
  <c r="BP214"/>
  <c r="BO214"/>
  <c r="BN214"/>
  <c r="BM214"/>
  <c r="BL214"/>
  <c r="BK214"/>
  <c r="BJ214"/>
  <c r="BI214"/>
  <c r="BH214"/>
  <c r="BG214"/>
  <c r="BF214"/>
  <c r="BE214"/>
  <c r="BD214"/>
  <c r="BC214"/>
  <c r="BB214"/>
  <c r="BA214"/>
  <c r="AZ214"/>
  <c r="AY214"/>
  <c r="AX214"/>
  <c r="AW214"/>
  <c r="AV214"/>
  <c r="AC214"/>
  <c r="H214"/>
  <c r="G214"/>
  <c r="E214"/>
  <c r="BT213"/>
  <c r="BS213"/>
  <c r="BR213"/>
  <c r="BQ213"/>
  <c r="BP213"/>
  <c r="BO213"/>
  <c r="BN213"/>
  <c r="BM213"/>
  <c r="BL213"/>
  <c r="BK213"/>
  <c r="BJ213"/>
  <c r="BI213"/>
  <c r="BH213"/>
  <c r="BG213"/>
  <c r="BF213"/>
  <c r="BE213"/>
  <c r="BD213"/>
  <c r="BC213"/>
  <c r="BB213"/>
  <c r="BA213"/>
  <c r="AZ213"/>
  <c r="AY213"/>
  <c r="AX213"/>
  <c r="AW213"/>
  <c r="AV213"/>
  <c r="AC213"/>
  <c r="H213"/>
  <c r="G213"/>
  <c r="E213"/>
  <c r="BT212"/>
  <c r="BS212"/>
  <c r="BR212"/>
  <c r="BQ212"/>
  <c r="BP212"/>
  <c r="BO212"/>
  <c r="BN212"/>
  <c r="BM212"/>
  <c r="BL212"/>
  <c r="BK212"/>
  <c r="BJ212"/>
  <c r="BI212"/>
  <c r="BH212"/>
  <c r="BG212"/>
  <c r="BF212"/>
  <c r="BE212"/>
  <c r="BD212"/>
  <c r="BC212"/>
  <c r="BB212"/>
  <c r="BA212"/>
  <c r="AZ212"/>
  <c r="AY212"/>
  <c r="AX212"/>
  <c r="AW212"/>
  <c r="AV212"/>
  <c r="AC212"/>
  <c r="H212"/>
  <c r="G212"/>
  <c r="E212"/>
  <c r="BT211"/>
  <c r="BS211"/>
  <c r="BR211"/>
  <c r="BQ211"/>
  <c r="BP211"/>
  <c r="BO211"/>
  <c r="BN211"/>
  <c r="BM211"/>
  <c r="BL211"/>
  <c r="BK211"/>
  <c r="BJ211"/>
  <c r="BI211"/>
  <c r="BH211"/>
  <c r="BG211"/>
  <c r="BF211"/>
  <c r="BE211"/>
  <c r="BD211"/>
  <c r="BC211"/>
  <c r="BB211"/>
  <c r="BA211"/>
  <c r="AZ211"/>
  <c r="AY211"/>
  <c r="AX211"/>
  <c r="AW211"/>
  <c r="AV211"/>
  <c r="AC211"/>
  <c r="H211"/>
  <c r="G211"/>
  <c r="E211"/>
  <c r="BT210"/>
  <c r="BS210"/>
  <c r="BR210"/>
  <c r="BQ210"/>
  <c r="BP210"/>
  <c r="BO210"/>
  <c r="BN210"/>
  <c r="BM210"/>
  <c r="BL210"/>
  <c r="BK210"/>
  <c r="BJ210"/>
  <c r="BI210"/>
  <c r="BH210"/>
  <c r="BG210"/>
  <c r="BF210"/>
  <c r="BE210"/>
  <c r="BD210"/>
  <c r="BC210"/>
  <c r="BB210"/>
  <c r="BA210"/>
  <c r="AZ210"/>
  <c r="AY210"/>
  <c r="AX210"/>
  <c r="AW210"/>
  <c r="AV210"/>
  <c r="AC210"/>
  <c r="H210"/>
  <c r="G210"/>
  <c r="E210"/>
  <c r="BT209"/>
  <c r="BS209"/>
  <c r="BR209"/>
  <c r="BQ209"/>
  <c r="BP209"/>
  <c r="BO209"/>
  <c r="BN209"/>
  <c r="BM209"/>
  <c r="BL209"/>
  <c r="BK209"/>
  <c r="BJ209"/>
  <c r="BI209"/>
  <c r="BH209"/>
  <c r="BG209"/>
  <c r="BF209"/>
  <c r="BE209"/>
  <c r="BD209"/>
  <c r="BC209"/>
  <c r="BB209"/>
  <c r="BA209"/>
  <c r="AZ209"/>
  <c r="AY209"/>
  <c r="AX209"/>
  <c r="AW209"/>
  <c r="AV209"/>
  <c r="AC209"/>
  <c r="H209"/>
  <c r="G209"/>
  <c r="E209"/>
  <c r="BT208"/>
  <c r="BS208"/>
  <c r="BR208"/>
  <c r="BQ208"/>
  <c r="BP208"/>
  <c r="BO208"/>
  <c r="BN208"/>
  <c r="BM208"/>
  <c r="BL208"/>
  <c r="BK208"/>
  <c r="BJ208"/>
  <c r="BI208"/>
  <c r="BH208"/>
  <c r="BG208"/>
  <c r="BF208"/>
  <c r="BE208"/>
  <c r="BD208"/>
  <c r="BC208"/>
  <c r="BB208"/>
  <c r="BA208"/>
  <c r="AZ208"/>
  <c r="AY208"/>
  <c r="AX208"/>
  <c r="AW208"/>
  <c r="AV208"/>
  <c r="AC208"/>
  <c r="H208"/>
  <c r="G208"/>
  <c r="E208"/>
  <c r="BT207"/>
  <c r="BS207"/>
  <c r="BR207"/>
  <c r="BQ207"/>
  <c r="BP207"/>
  <c r="BO207"/>
  <c r="BN207"/>
  <c r="BM207"/>
  <c r="BL207"/>
  <c r="BK207"/>
  <c r="BJ207"/>
  <c r="BI207"/>
  <c r="BH207"/>
  <c r="BG207"/>
  <c r="BF207"/>
  <c r="BE207"/>
  <c r="BD207"/>
  <c r="BC207"/>
  <c r="BB207"/>
  <c r="BA207"/>
  <c r="AZ207"/>
  <c r="AY207"/>
  <c r="AX207"/>
  <c r="AW207"/>
  <c r="AV207"/>
  <c r="AC207"/>
  <c r="H207"/>
  <c r="G207"/>
  <c r="E207"/>
  <c r="BT206"/>
  <c r="BS206"/>
  <c r="BR206"/>
  <c r="BQ206"/>
  <c r="BP206"/>
  <c r="BO206"/>
  <c r="BN206"/>
  <c r="BM206"/>
  <c r="BL206"/>
  <c r="BK206"/>
  <c r="BJ206"/>
  <c r="BI206"/>
  <c r="BH206"/>
  <c r="BG206"/>
  <c r="BF206"/>
  <c r="BE206"/>
  <c r="BD206"/>
  <c r="BC206"/>
  <c r="BB206"/>
  <c r="BA206"/>
  <c r="AZ206"/>
  <c r="AY206"/>
  <c r="AX206"/>
  <c r="AW206"/>
  <c r="AV206"/>
  <c r="AC206"/>
  <c r="H206"/>
  <c r="G206"/>
  <c r="E206"/>
  <c r="BT205"/>
  <c r="BS205"/>
  <c r="BR205"/>
  <c r="BQ205"/>
  <c r="BP205"/>
  <c r="BO205"/>
  <c r="BN205"/>
  <c r="BM205"/>
  <c r="BL205"/>
  <c r="BK205"/>
  <c r="BJ205"/>
  <c r="BI205"/>
  <c r="BH205"/>
  <c r="BG205"/>
  <c r="BF205"/>
  <c r="BE205"/>
  <c r="BD205"/>
  <c r="BC205"/>
  <c r="BB205"/>
  <c r="BA205"/>
  <c r="AZ205"/>
  <c r="AY205"/>
  <c r="AX205"/>
  <c r="AW205"/>
  <c r="AV205"/>
  <c r="AC205"/>
  <c r="H205"/>
  <c r="G205"/>
  <c r="E205"/>
  <c r="BT204"/>
  <c r="BS204"/>
  <c r="BR204"/>
  <c r="BQ204"/>
  <c r="BP204"/>
  <c r="BO204"/>
  <c r="BN204"/>
  <c r="BM204"/>
  <c r="BL204"/>
  <c r="BK204"/>
  <c r="BJ204"/>
  <c r="BI204"/>
  <c r="BH204"/>
  <c r="BG204"/>
  <c r="BF204"/>
  <c r="BE204"/>
  <c r="BD204"/>
  <c r="BC204"/>
  <c r="BB204"/>
  <c r="BA204"/>
  <c r="AZ204"/>
  <c r="AY204"/>
  <c r="AX204"/>
  <c r="AW204"/>
  <c r="AV204"/>
  <c r="AC204"/>
  <c r="H204"/>
  <c r="G204"/>
  <c r="E204"/>
  <c r="BT203"/>
  <c r="BS203"/>
  <c r="BR203"/>
  <c r="BQ203"/>
  <c r="BP203"/>
  <c r="BO203"/>
  <c r="BN203"/>
  <c r="BM203"/>
  <c r="BL203"/>
  <c r="BK203"/>
  <c r="BJ203"/>
  <c r="BI203"/>
  <c r="BH203"/>
  <c r="BG203"/>
  <c r="BF203"/>
  <c r="BE203"/>
  <c r="BD203"/>
  <c r="BC203"/>
  <c r="BB203"/>
  <c r="BA203"/>
  <c r="AZ203"/>
  <c r="AY203"/>
  <c r="AX203"/>
  <c r="AW203"/>
  <c r="AV203"/>
  <c r="AC203"/>
  <c r="H203"/>
  <c r="G203"/>
  <c r="E203"/>
  <c r="BT202"/>
  <c r="BS202"/>
  <c r="BR202"/>
  <c r="BQ202"/>
  <c r="BP202"/>
  <c r="BO202"/>
  <c r="BN202"/>
  <c r="BM202"/>
  <c r="BL202"/>
  <c r="BK202"/>
  <c r="BJ202"/>
  <c r="BI202"/>
  <c r="BH202"/>
  <c r="BG202"/>
  <c r="BF202"/>
  <c r="BE202"/>
  <c r="BD202"/>
  <c r="BC202"/>
  <c r="BB202"/>
  <c r="BA202"/>
  <c r="AZ202"/>
  <c r="AY202"/>
  <c r="AX202"/>
  <c r="AW202"/>
  <c r="AV202"/>
  <c r="AC202"/>
  <c r="H202"/>
  <c r="G202"/>
  <c r="E202"/>
  <c r="BT201"/>
  <c r="BS201"/>
  <c r="BR201"/>
  <c r="BQ201"/>
  <c r="BP201"/>
  <c r="BO201"/>
  <c r="BN201"/>
  <c r="BM201"/>
  <c r="BL201"/>
  <c r="BK201"/>
  <c r="BJ201"/>
  <c r="BI201"/>
  <c r="BH201"/>
  <c r="BG201"/>
  <c r="BF201"/>
  <c r="BE201"/>
  <c r="BD201"/>
  <c r="BC201"/>
  <c r="BB201"/>
  <c r="BA201"/>
  <c r="AZ201"/>
  <c r="AY201"/>
  <c r="AX201"/>
  <c r="AW201"/>
  <c r="AV201"/>
  <c r="AC201"/>
  <c r="H201"/>
  <c r="G201"/>
  <c r="E201"/>
  <c r="BT200"/>
  <c r="BS200"/>
  <c r="BR200"/>
  <c r="BQ200"/>
  <c r="BP200"/>
  <c r="BO200"/>
  <c r="BN200"/>
  <c r="BM200"/>
  <c r="BL200"/>
  <c r="BK200"/>
  <c r="BJ200"/>
  <c r="BI200"/>
  <c r="BH200"/>
  <c r="BG200"/>
  <c r="BF200"/>
  <c r="BE200"/>
  <c r="BD200"/>
  <c r="BC200"/>
  <c r="BB200"/>
  <c r="BA200"/>
  <c r="AZ200"/>
  <c r="AY200"/>
  <c r="AX200"/>
  <c r="AW200"/>
  <c r="AV200"/>
  <c r="AC200"/>
  <c r="H200"/>
  <c r="G200"/>
  <c r="E200"/>
  <c r="BT199"/>
  <c r="BS199"/>
  <c r="BR199"/>
  <c r="BQ199"/>
  <c r="BP199"/>
  <c r="BO199"/>
  <c r="BN199"/>
  <c r="BM199"/>
  <c r="BL199"/>
  <c r="BK199"/>
  <c r="BJ199"/>
  <c r="BI199"/>
  <c r="BH199"/>
  <c r="BG199"/>
  <c r="BF199"/>
  <c r="BE199"/>
  <c r="BD199"/>
  <c r="BC199"/>
  <c r="BB199"/>
  <c r="BA199"/>
  <c r="AZ199"/>
  <c r="AY199"/>
  <c r="AX199"/>
  <c r="AW199"/>
  <c r="AV199"/>
  <c r="AC199"/>
  <c r="H199"/>
  <c r="G199"/>
  <c r="E199"/>
  <c r="BT198"/>
  <c r="BS198"/>
  <c r="BR198"/>
  <c r="BQ198"/>
  <c r="BP198"/>
  <c r="BO198"/>
  <c r="BN198"/>
  <c r="BM198"/>
  <c r="BL198"/>
  <c r="BK198"/>
  <c r="BJ198"/>
  <c r="BI198"/>
  <c r="BH198"/>
  <c r="BG198"/>
  <c r="BF198"/>
  <c r="BE198"/>
  <c r="BD198"/>
  <c r="BC198"/>
  <c r="BB198"/>
  <c r="BA198"/>
  <c r="AZ198"/>
  <c r="AY198"/>
  <c r="AX198"/>
  <c r="AW198"/>
  <c r="AV198"/>
  <c r="AC198"/>
  <c r="H198"/>
  <c r="G198"/>
  <c r="E198"/>
  <c r="BT197"/>
  <c r="BS197"/>
  <c r="BR197"/>
  <c r="BQ197"/>
  <c r="BP197"/>
  <c r="BO197"/>
  <c r="BN197"/>
  <c r="BM197"/>
  <c r="BL197"/>
  <c r="BK197"/>
  <c r="BJ197"/>
  <c r="BI197"/>
  <c r="BH197"/>
  <c r="BG197"/>
  <c r="BF197"/>
  <c r="BE197"/>
  <c r="BD197"/>
  <c r="BC197"/>
  <c r="BB197"/>
  <c r="BA197"/>
  <c r="AZ197"/>
  <c r="AY197"/>
  <c r="AX197"/>
  <c r="AW197"/>
  <c r="AV197"/>
  <c r="AC197"/>
  <c r="H197"/>
  <c r="G197"/>
  <c r="E197"/>
  <c r="BT196"/>
  <c r="BS196"/>
  <c r="BR196"/>
  <c r="BQ196"/>
  <c r="BP196"/>
  <c r="BO196"/>
  <c r="BN196"/>
  <c r="BM196"/>
  <c r="BL196"/>
  <c r="BK196"/>
  <c r="BJ196"/>
  <c r="BI196"/>
  <c r="BH196"/>
  <c r="BG196"/>
  <c r="BF196"/>
  <c r="BE196"/>
  <c r="BD196"/>
  <c r="BC196"/>
  <c r="BB196"/>
  <c r="BA196"/>
  <c r="AZ196"/>
  <c r="AY196"/>
  <c r="AX196"/>
  <c r="AW196"/>
  <c r="AV196"/>
  <c r="AC196"/>
  <c r="H196"/>
  <c r="G196"/>
  <c r="E196"/>
  <c r="BT195"/>
  <c r="BS195"/>
  <c r="BR195"/>
  <c r="BQ195"/>
  <c r="BP195"/>
  <c r="BO195"/>
  <c r="BN195"/>
  <c r="BM195"/>
  <c r="BL195"/>
  <c r="BK195"/>
  <c r="BJ195"/>
  <c r="BI195"/>
  <c r="BH195"/>
  <c r="BG195"/>
  <c r="BF195"/>
  <c r="BE195"/>
  <c r="BD195"/>
  <c r="BC195"/>
  <c r="BB195"/>
  <c r="BA195"/>
  <c r="AZ195"/>
  <c r="AY195"/>
  <c r="AX195"/>
  <c r="AW195"/>
  <c r="AV195"/>
  <c r="AC195"/>
  <c r="H195"/>
  <c r="G195"/>
  <c r="E195"/>
  <c r="BT194"/>
  <c r="BS194"/>
  <c r="BR194"/>
  <c r="BQ194"/>
  <c r="BP194"/>
  <c r="BO194"/>
  <c r="BN194"/>
  <c r="BM194"/>
  <c r="BL194"/>
  <c r="BK194"/>
  <c r="BJ194"/>
  <c r="BI194"/>
  <c r="BH194"/>
  <c r="BG194"/>
  <c r="BF194"/>
  <c r="BE194"/>
  <c r="BD194"/>
  <c r="BC194"/>
  <c r="BB194"/>
  <c r="BA194"/>
  <c r="AZ194"/>
  <c r="AY194"/>
  <c r="AX194"/>
  <c r="AW194"/>
  <c r="AV194"/>
  <c r="AC194"/>
  <c r="H194"/>
  <c r="G194"/>
  <c r="E194"/>
  <c r="BT193"/>
  <c r="BS193"/>
  <c r="BR193"/>
  <c r="BQ193"/>
  <c r="BP193"/>
  <c r="BO193"/>
  <c r="BN193"/>
  <c r="BM193"/>
  <c r="BL193"/>
  <c r="BK193"/>
  <c r="BJ193"/>
  <c r="BI193"/>
  <c r="BH193"/>
  <c r="BG193"/>
  <c r="BF193"/>
  <c r="BE193"/>
  <c r="BD193"/>
  <c r="BC193"/>
  <c r="BB193"/>
  <c r="BA193"/>
  <c r="AZ193"/>
  <c r="AY193"/>
  <c r="AX193"/>
  <c r="AW193"/>
  <c r="AV193"/>
  <c r="AC193"/>
  <c r="H193"/>
  <c r="G193"/>
  <c r="E193"/>
  <c r="BT192"/>
  <c r="BS192"/>
  <c r="BR192"/>
  <c r="BQ192"/>
  <c r="BP192"/>
  <c r="BO192"/>
  <c r="BN192"/>
  <c r="BM192"/>
  <c r="BL192"/>
  <c r="BK192"/>
  <c r="BJ192"/>
  <c r="BI192"/>
  <c r="BH192"/>
  <c r="BG192"/>
  <c r="BF192"/>
  <c r="BE192"/>
  <c r="BD192"/>
  <c r="BC192"/>
  <c r="BB192"/>
  <c r="BA192"/>
  <c r="AZ192"/>
  <c r="AY192"/>
  <c r="AX192"/>
  <c r="AW192"/>
  <c r="AV192"/>
  <c r="AC192"/>
  <c r="H192"/>
  <c r="G192"/>
  <c r="E192"/>
  <c r="BT191"/>
  <c r="BS191"/>
  <c r="BR191"/>
  <c r="BQ191"/>
  <c r="BP191"/>
  <c r="BO191"/>
  <c r="BN191"/>
  <c r="BM191"/>
  <c r="BL191"/>
  <c r="BK191"/>
  <c r="BJ191"/>
  <c r="BI191"/>
  <c r="BH191"/>
  <c r="BG191"/>
  <c r="BF191"/>
  <c r="BE191"/>
  <c r="BD191"/>
  <c r="BC191"/>
  <c r="BB191"/>
  <c r="BA191"/>
  <c r="AZ191"/>
  <c r="AY191"/>
  <c r="AX191"/>
  <c r="AW191"/>
  <c r="AV191"/>
  <c r="AC191"/>
  <c r="H191"/>
  <c r="G191"/>
  <c r="E191"/>
  <c r="BT190"/>
  <c r="BS190"/>
  <c r="BR190"/>
  <c r="BQ190"/>
  <c r="BP190"/>
  <c r="BO190"/>
  <c r="BN190"/>
  <c r="BM190"/>
  <c r="BL190"/>
  <c r="BK190"/>
  <c r="BJ190"/>
  <c r="BI190"/>
  <c r="BH190"/>
  <c r="BG190"/>
  <c r="BF190"/>
  <c r="BE190"/>
  <c r="BD190"/>
  <c r="BC190"/>
  <c r="BB190"/>
  <c r="BA190"/>
  <c r="AZ190"/>
  <c r="AY190"/>
  <c r="AX190"/>
  <c r="AW190"/>
  <c r="AV190"/>
  <c r="AC190"/>
  <c r="H190"/>
  <c r="G190"/>
  <c r="E190"/>
  <c r="BT189"/>
  <c r="BS189"/>
  <c r="BR189"/>
  <c r="BQ189"/>
  <c r="BP189"/>
  <c r="BO189"/>
  <c r="BN189"/>
  <c r="BM189"/>
  <c r="BL189"/>
  <c r="BK189"/>
  <c r="BJ189"/>
  <c r="BI189"/>
  <c r="BH189"/>
  <c r="BG189"/>
  <c r="BF189"/>
  <c r="BE189"/>
  <c r="BD189"/>
  <c r="BC189"/>
  <c r="BB189"/>
  <c r="BA189"/>
  <c r="AZ189"/>
  <c r="AY189"/>
  <c r="AX189"/>
  <c r="AW189"/>
  <c r="AV189"/>
  <c r="AC189"/>
  <c r="H189"/>
  <c r="G189"/>
  <c r="E189"/>
  <c r="BT188"/>
  <c r="BS188"/>
  <c r="BR188"/>
  <c r="BQ188"/>
  <c r="BP188"/>
  <c r="BO188"/>
  <c r="BN188"/>
  <c r="BM188"/>
  <c r="BL188"/>
  <c r="BK188"/>
  <c r="BJ188"/>
  <c r="BI188"/>
  <c r="BH188"/>
  <c r="BG188"/>
  <c r="BF188"/>
  <c r="BE188"/>
  <c r="BD188"/>
  <c r="BC188"/>
  <c r="BB188"/>
  <c r="BA188"/>
  <c r="AZ188"/>
  <c r="AY188"/>
  <c r="AX188"/>
  <c r="AW188"/>
  <c r="AV188"/>
  <c r="AC188"/>
  <c r="H188"/>
  <c r="G188"/>
  <c r="E188"/>
  <c r="BT187"/>
  <c r="BS187"/>
  <c r="BR187"/>
  <c r="BQ187"/>
  <c r="BP187"/>
  <c r="BO187"/>
  <c r="BN187"/>
  <c r="BM187"/>
  <c r="BL187"/>
  <c r="BK187"/>
  <c r="BJ187"/>
  <c r="BI187"/>
  <c r="BH187"/>
  <c r="BG187"/>
  <c r="BF187"/>
  <c r="BE187"/>
  <c r="BD187"/>
  <c r="BC187"/>
  <c r="BB187"/>
  <c r="BA187"/>
  <c r="AZ187"/>
  <c r="AY187"/>
  <c r="AX187"/>
  <c r="AW187"/>
  <c r="AV187"/>
  <c r="AC187"/>
  <c r="H187"/>
  <c r="G187"/>
  <c r="E187"/>
  <c r="BT186"/>
  <c r="BS186"/>
  <c r="BR186"/>
  <c r="BQ186"/>
  <c r="BP186"/>
  <c r="BO186"/>
  <c r="BN186"/>
  <c r="BM186"/>
  <c r="BL186"/>
  <c r="BK186"/>
  <c r="BJ186"/>
  <c r="BI186"/>
  <c r="BH186"/>
  <c r="BG186"/>
  <c r="BF186"/>
  <c r="BE186"/>
  <c r="BD186"/>
  <c r="BC186"/>
  <c r="BB186"/>
  <c r="BA186"/>
  <c r="AZ186"/>
  <c r="AY186"/>
  <c r="AX186"/>
  <c r="AW186"/>
  <c r="AV186"/>
  <c r="AC186"/>
  <c r="H186"/>
  <c r="G186"/>
  <c r="E186"/>
  <c r="BT185"/>
  <c r="BS185"/>
  <c r="BR185"/>
  <c r="BQ185"/>
  <c r="BP185"/>
  <c r="BO185"/>
  <c r="BN185"/>
  <c r="BM185"/>
  <c r="BL185"/>
  <c r="BK185"/>
  <c r="BJ185"/>
  <c r="BI185"/>
  <c r="BH185"/>
  <c r="BG185"/>
  <c r="BF185"/>
  <c r="BE185"/>
  <c r="BD185"/>
  <c r="BC185"/>
  <c r="BB185"/>
  <c r="BA185"/>
  <c r="AZ185"/>
  <c r="AY185"/>
  <c r="AX185"/>
  <c r="AW185"/>
  <c r="AV185"/>
  <c r="AC185"/>
  <c r="H185"/>
  <c r="G185"/>
  <c r="E185"/>
  <c r="BT184"/>
  <c r="BS184"/>
  <c r="BR184"/>
  <c r="BQ184"/>
  <c r="BP184"/>
  <c r="BO184"/>
  <c r="BN184"/>
  <c r="BM184"/>
  <c r="BL184"/>
  <c r="BK184"/>
  <c r="BJ184"/>
  <c r="BI184"/>
  <c r="BH184"/>
  <c r="BG184"/>
  <c r="BF184"/>
  <c r="BE184"/>
  <c r="BD184"/>
  <c r="BC184"/>
  <c r="BB184"/>
  <c r="BA184"/>
  <c r="AZ184"/>
  <c r="AY184"/>
  <c r="AX184"/>
  <c r="AW184"/>
  <c r="AV184"/>
  <c r="AC184"/>
  <c r="H184"/>
  <c r="G184"/>
  <c r="E184"/>
  <c r="BT183"/>
  <c r="BS183"/>
  <c r="BR183"/>
  <c r="BQ183"/>
  <c r="BP183"/>
  <c r="BO183"/>
  <c r="BN183"/>
  <c r="BM183"/>
  <c r="BL183"/>
  <c r="BK183"/>
  <c r="BJ183"/>
  <c r="BI183"/>
  <c r="BH183"/>
  <c r="BG183"/>
  <c r="BF183"/>
  <c r="BE183"/>
  <c r="BD183"/>
  <c r="BC183"/>
  <c r="BB183"/>
  <c r="BA183"/>
  <c r="AZ183"/>
  <c r="AY183"/>
  <c r="AX183"/>
  <c r="AW183"/>
  <c r="AV183"/>
  <c r="AC183"/>
  <c r="H183"/>
  <c r="G183"/>
  <c r="E183"/>
  <c r="BT182"/>
  <c r="BS182"/>
  <c r="BR182"/>
  <c r="BQ182"/>
  <c r="BP182"/>
  <c r="BO182"/>
  <c r="BN182"/>
  <c r="BM182"/>
  <c r="BL182"/>
  <c r="BK182"/>
  <c r="BJ182"/>
  <c r="BI182"/>
  <c r="BH182"/>
  <c r="BG182"/>
  <c r="BF182"/>
  <c r="BE182"/>
  <c r="BD182"/>
  <c r="BC182"/>
  <c r="BB182"/>
  <c r="BA182"/>
  <c r="AZ182"/>
  <c r="AY182"/>
  <c r="AX182"/>
  <c r="AW182"/>
  <c r="AV182"/>
  <c r="AC182"/>
  <c r="H182"/>
  <c r="G182"/>
  <c r="E182"/>
  <c r="BT181"/>
  <c r="BS181"/>
  <c r="BR181"/>
  <c r="BQ181"/>
  <c r="BP181"/>
  <c r="BO181"/>
  <c r="BN181"/>
  <c r="BM181"/>
  <c r="BL181"/>
  <c r="BK181"/>
  <c r="BJ181"/>
  <c r="BI181"/>
  <c r="BH181"/>
  <c r="BG181"/>
  <c r="BF181"/>
  <c r="BE181"/>
  <c r="BD181"/>
  <c r="BC181"/>
  <c r="BB181"/>
  <c r="BA181"/>
  <c r="AZ181"/>
  <c r="AY181"/>
  <c r="AX181"/>
  <c r="AW181"/>
  <c r="AV181"/>
  <c r="AC181"/>
  <c r="H181"/>
  <c r="G181"/>
  <c r="E181"/>
  <c r="BT180"/>
  <c r="BS180"/>
  <c r="BR180"/>
  <c r="BQ180"/>
  <c r="BP180"/>
  <c r="BO180"/>
  <c r="BN180"/>
  <c r="BM180"/>
  <c r="BL180"/>
  <c r="BK180"/>
  <c r="BJ180"/>
  <c r="BI180"/>
  <c r="BH180"/>
  <c r="BG180"/>
  <c r="BF180"/>
  <c r="BE180"/>
  <c r="BD180"/>
  <c r="BC180"/>
  <c r="BB180"/>
  <c r="BA180"/>
  <c r="AZ180"/>
  <c r="AY180"/>
  <c r="AX180"/>
  <c r="AW180"/>
  <c r="AV180"/>
  <c r="AC180"/>
  <c r="H180"/>
  <c r="G180"/>
  <c r="E180"/>
  <c r="BT179"/>
  <c r="BS179"/>
  <c r="BR179"/>
  <c r="BQ179"/>
  <c r="BP179"/>
  <c r="BO179"/>
  <c r="BN179"/>
  <c r="BM179"/>
  <c r="BL179"/>
  <c r="BK179"/>
  <c r="BJ179"/>
  <c r="BI179"/>
  <c r="BH179"/>
  <c r="BG179"/>
  <c r="BF179"/>
  <c r="BE179"/>
  <c r="BD179"/>
  <c r="BC179"/>
  <c r="BB179"/>
  <c r="BA179"/>
  <c r="AZ179"/>
  <c r="AY179"/>
  <c r="AX179"/>
  <c r="AW179"/>
  <c r="AV179"/>
  <c r="AC179"/>
  <c r="H179"/>
  <c r="G179"/>
  <c r="E179"/>
  <c r="BT178"/>
  <c r="BS178"/>
  <c r="BR178"/>
  <c r="BQ178"/>
  <c r="BP178"/>
  <c r="BO178"/>
  <c r="BN178"/>
  <c r="BM178"/>
  <c r="BL178"/>
  <c r="BK178"/>
  <c r="BJ178"/>
  <c r="BI178"/>
  <c r="BH178"/>
  <c r="BG178"/>
  <c r="BF178"/>
  <c r="BE178"/>
  <c r="BD178"/>
  <c r="BC178"/>
  <c r="BB178"/>
  <c r="BA178"/>
  <c r="AZ178"/>
  <c r="AY178"/>
  <c r="AX178"/>
  <c r="AW178"/>
  <c r="AV178"/>
  <c r="AC178"/>
  <c r="H178"/>
  <c r="G178"/>
  <c r="E178"/>
  <c r="BT177"/>
  <c r="BS177"/>
  <c r="BR177"/>
  <c r="BQ177"/>
  <c r="BP177"/>
  <c r="BO177"/>
  <c r="BN177"/>
  <c r="BM177"/>
  <c r="BL177"/>
  <c r="BK177"/>
  <c r="BJ177"/>
  <c r="BI177"/>
  <c r="BH177"/>
  <c r="BG177"/>
  <c r="BF177"/>
  <c r="BE177"/>
  <c r="BD177"/>
  <c r="BC177"/>
  <c r="BB177"/>
  <c r="BA177"/>
  <c r="AZ177"/>
  <c r="AY177"/>
  <c r="AX177"/>
  <c r="AW177"/>
  <c r="AV177"/>
  <c r="AC177"/>
  <c r="H177"/>
  <c r="G177"/>
  <c r="E177"/>
  <c r="BT176"/>
  <c r="BS176"/>
  <c r="BR176"/>
  <c r="BQ176"/>
  <c r="BP176"/>
  <c r="BO176"/>
  <c r="BN176"/>
  <c r="BM176"/>
  <c r="BL176"/>
  <c r="BK176"/>
  <c r="BJ176"/>
  <c r="BI176"/>
  <c r="BH176"/>
  <c r="BG176"/>
  <c r="BF176"/>
  <c r="BE176"/>
  <c r="BD176"/>
  <c r="BC176"/>
  <c r="BB176"/>
  <c r="BA176"/>
  <c r="AZ176"/>
  <c r="AY176"/>
  <c r="AX176"/>
  <c r="AW176"/>
  <c r="AV176"/>
  <c r="AC176"/>
  <c r="H176"/>
  <c r="G176"/>
  <c r="E176"/>
  <c r="BT175"/>
  <c r="BS175"/>
  <c r="BR175"/>
  <c r="BQ175"/>
  <c r="BP175"/>
  <c r="BO175"/>
  <c r="BN175"/>
  <c r="BM175"/>
  <c r="BL175"/>
  <c r="BK175"/>
  <c r="BJ175"/>
  <c r="BI175"/>
  <c r="BH175"/>
  <c r="BG175"/>
  <c r="BF175"/>
  <c r="BE175"/>
  <c r="BD175"/>
  <c r="BC175"/>
  <c r="BB175"/>
  <c r="BA175"/>
  <c r="AZ175"/>
  <c r="AY175"/>
  <c r="AX175"/>
  <c r="AW175"/>
  <c r="AV175"/>
  <c r="AC175"/>
  <c r="H175"/>
  <c r="G175"/>
  <c r="E175"/>
  <c r="BT174"/>
  <c r="BS174"/>
  <c r="BR174"/>
  <c r="BQ174"/>
  <c r="BP174"/>
  <c r="BO174"/>
  <c r="BN174"/>
  <c r="BM174"/>
  <c r="BL174"/>
  <c r="BK174"/>
  <c r="BJ174"/>
  <c r="BI174"/>
  <c r="BH174"/>
  <c r="BG174"/>
  <c r="BF174"/>
  <c r="BE174"/>
  <c r="BD174"/>
  <c r="BC174"/>
  <c r="BB174"/>
  <c r="BA174"/>
  <c r="AZ174"/>
  <c r="AY174"/>
  <c r="AX174"/>
  <c r="AW174"/>
  <c r="AV174"/>
  <c r="AC174"/>
  <c r="H174"/>
  <c r="G174"/>
  <c r="E174"/>
  <c r="BT173"/>
  <c r="BS173"/>
  <c r="BR173"/>
  <c r="BQ173"/>
  <c r="BP173"/>
  <c r="BO173"/>
  <c r="BN173"/>
  <c r="BM173"/>
  <c r="BL173"/>
  <c r="BK173"/>
  <c r="BJ173"/>
  <c r="BI173"/>
  <c r="BH173"/>
  <c r="BG173"/>
  <c r="BF173"/>
  <c r="BE173"/>
  <c r="BD173"/>
  <c r="BC173"/>
  <c r="BB173"/>
  <c r="BA173"/>
  <c r="AZ173"/>
  <c r="AY173"/>
  <c r="AX173"/>
  <c r="AW173"/>
  <c r="AV173"/>
  <c r="AC173"/>
  <c r="H173"/>
  <c r="G173"/>
  <c r="E173"/>
  <c r="BT172"/>
  <c r="BS172"/>
  <c r="BR172"/>
  <c r="BQ172"/>
  <c r="BP172"/>
  <c r="BO172"/>
  <c r="BN172"/>
  <c r="BM172"/>
  <c r="BL172"/>
  <c r="BK172"/>
  <c r="BJ172"/>
  <c r="BI172"/>
  <c r="BH172"/>
  <c r="BG172"/>
  <c r="BF172"/>
  <c r="BE172"/>
  <c r="BD172"/>
  <c r="BC172"/>
  <c r="BB172"/>
  <c r="BA172"/>
  <c r="AZ172"/>
  <c r="AY172"/>
  <c r="AX172"/>
  <c r="AW172"/>
  <c r="AV172"/>
  <c r="AC172"/>
  <c r="H172"/>
  <c r="G172"/>
  <c r="E172"/>
  <c r="BT171"/>
  <c r="BS171"/>
  <c r="BR171"/>
  <c r="BQ171"/>
  <c r="BP171"/>
  <c r="BO171"/>
  <c r="BN171"/>
  <c r="BM171"/>
  <c r="BL171"/>
  <c r="BK171"/>
  <c r="BJ171"/>
  <c r="BI171"/>
  <c r="BH171"/>
  <c r="BG171"/>
  <c r="BF171"/>
  <c r="BE171"/>
  <c r="BD171"/>
  <c r="BC171"/>
  <c r="BB171"/>
  <c r="BA171"/>
  <c r="AZ171"/>
  <c r="AY171"/>
  <c r="AX171"/>
  <c r="AW171"/>
  <c r="AV171"/>
  <c r="AC171"/>
  <c r="H171"/>
  <c r="G171"/>
  <c r="E171"/>
  <c r="BT170"/>
  <c r="BS170"/>
  <c r="BR170"/>
  <c r="BQ170"/>
  <c r="BP170"/>
  <c r="BO170"/>
  <c r="BN170"/>
  <c r="BM170"/>
  <c r="BL170"/>
  <c r="BK170"/>
  <c r="BJ170"/>
  <c r="BI170"/>
  <c r="BH170"/>
  <c r="BG170"/>
  <c r="BF170"/>
  <c r="BE170"/>
  <c r="BD170"/>
  <c r="BC170"/>
  <c r="BB170"/>
  <c r="BA170"/>
  <c r="AZ170"/>
  <c r="AY170"/>
  <c r="AX170"/>
  <c r="AW170"/>
  <c r="AV170"/>
  <c r="AC170"/>
  <c r="H170"/>
  <c r="G170"/>
  <c r="E170"/>
  <c r="BT169"/>
  <c r="BS169"/>
  <c r="BR169"/>
  <c r="BQ169"/>
  <c r="BP169"/>
  <c r="BO169"/>
  <c r="BN169"/>
  <c r="BM169"/>
  <c r="BL169"/>
  <c r="BK169"/>
  <c r="BJ169"/>
  <c r="BI169"/>
  <c r="BH169"/>
  <c r="BG169"/>
  <c r="BF169"/>
  <c r="BE169"/>
  <c r="BD169"/>
  <c r="BC169"/>
  <c r="BB169"/>
  <c r="BA169"/>
  <c r="AZ169"/>
  <c r="AY169"/>
  <c r="AX169"/>
  <c r="AW169"/>
  <c r="AV169"/>
  <c r="AC169"/>
  <c r="H169"/>
  <c r="G169"/>
  <c r="E169"/>
  <c r="BT168"/>
  <c r="BS168"/>
  <c r="BR168"/>
  <c r="BQ168"/>
  <c r="BP168"/>
  <c r="BO168"/>
  <c r="BN168"/>
  <c r="BM168"/>
  <c r="BL168"/>
  <c r="BK168"/>
  <c r="BJ168"/>
  <c r="BI168"/>
  <c r="BH168"/>
  <c r="BG168"/>
  <c r="BF168"/>
  <c r="BE168"/>
  <c r="BD168"/>
  <c r="BC168"/>
  <c r="BB168"/>
  <c r="BA168"/>
  <c r="AZ168"/>
  <c r="AY168"/>
  <c r="AX168"/>
  <c r="AW168"/>
  <c r="AV168"/>
  <c r="AC168"/>
  <c r="H168"/>
  <c r="G168"/>
  <c r="E168"/>
  <c r="BT167"/>
  <c r="BS167"/>
  <c r="BR167"/>
  <c r="BQ167"/>
  <c r="BP167"/>
  <c r="BO167"/>
  <c r="BN167"/>
  <c r="BM167"/>
  <c r="BL167"/>
  <c r="BK167"/>
  <c r="BJ167"/>
  <c r="BI167"/>
  <c r="BH167"/>
  <c r="BG167"/>
  <c r="BF167"/>
  <c r="BE167"/>
  <c r="BD167"/>
  <c r="BC167"/>
  <c r="BB167"/>
  <c r="BA167"/>
  <c r="AZ167"/>
  <c r="AY167"/>
  <c r="AX167"/>
  <c r="AW167"/>
  <c r="AV167"/>
  <c r="AC167"/>
  <c r="H167"/>
  <c r="G167"/>
  <c r="E167"/>
  <c r="BT166"/>
  <c r="BS166"/>
  <c r="BR166"/>
  <c r="BQ166"/>
  <c r="BP166"/>
  <c r="BO166"/>
  <c r="BN166"/>
  <c r="BM166"/>
  <c r="BL166"/>
  <c r="BK166"/>
  <c r="BJ166"/>
  <c r="BI166"/>
  <c r="BH166"/>
  <c r="BG166"/>
  <c r="BF166"/>
  <c r="BE166"/>
  <c r="BD166"/>
  <c r="BC166"/>
  <c r="BB166"/>
  <c r="BA166"/>
  <c r="AZ166"/>
  <c r="AY166"/>
  <c r="AX166"/>
  <c r="AW166"/>
  <c r="AV166"/>
  <c r="AC166"/>
  <c r="H166"/>
  <c r="G166"/>
  <c r="E166"/>
  <c r="BT165"/>
  <c r="BS165"/>
  <c r="BR165"/>
  <c r="BQ165"/>
  <c r="BP165"/>
  <c r="BO165"/>
  <c r="BN165"/>
  <c r="BM165"/>
  <c r="BL165"/>
  <c r="BK165"/>
  <c r="BJ165"/>
  <c r="BI165"/>
  <c r="BH165"/>
  <c r="BG165"/>
  <c r="BF165"/>
  <c r="BE165"/>
  <c r="BD165"/>
  <c r="BC165"/>
  <c r="BB165"/>
  <c r="BA165"/>
  <c r="AZ165"/>
  <c r="AY165"/>
  <c r="AX165"/>
  <c r="AW165"/>
  <c r="AV165"/>
  <c r="AC165"/>
  <c r="H165"/>
  <c r="G165"/>
  <c r="E165"/>
  <c r="BT164"/>
  <c r="BS164"/>
  <c r="BR164"/>
  <c r="BQ164"/>
  <c r="BP164"/>
  <c r="BO164"/>
  <c r="BN164"/>
  <c r="BM164"/>
  <c r="BL164"/>
  <c r="BK164"/>
  <c r="BJ164"/>
  <c r="BI164"/>
  <c r="BH164"/>
  <c r="BG164"/>
  <c r="BF164"/>
  <c r="BE164"/>
  <c r="BD164"/>
  <c r="BC164"/>
  <c r="BB164"/>
  <c r="BA164"/>
  <c r="AZ164"/>
  <c r="AY164"/>
  <c r="AX164"/>
  <c r="AW164"/>
  <c r="AV164"/>
  <c r="AC164"/>
  <c r="H164"/>
  <c r="G164"/>
  <c r="E164"/>
  <c r="BT163"/>
  <c r="BS163"/>
  <c r="BR163"/>
  <c r="BQ163"/>
  <c r="BP163"/>
  <c r="BO163"/>
  <c r="BN163"/>
  <c r="BM163"/>
  <c r="BL163"/>
  <c r="BK163"/>
  <c r="BJ163"/>
  <c r="BI163"/>
  <c r="BH163"/>
  <c r="BG163"/>
  <c r="BF163"/>
  <c r="BE163"/>
  <c r="BD163"/>
  <c r="BC163"/>
  <c r="BB163"/>
  <c r="BA163"/>
  <c r="AZ163"/>
  <c r="AY163"/>
  <c r="AX163"/>
  <c r="AW163"/>
  <c r="AV163"/>
  <c r="AC163"/>
  <c r="H163"/>
  <c r="G163"/>
  <c r="E163"/>
  <c r="BT162"/>
  <c r="BS162"/>
  <c r="BR162"/>
  <c r="BQ162"/>
  <c r="BP162"/>
  <c r="BO162"/>
  <c r="BN162"/>
  <c r="BM162"/>
  <c r="BL162"/>
  <c r="BK162"/>
  <c r="BJ162"/>
  <c r="BI162"/>
  <c r="BH162"/>
  <c r="BG162"/>
  <c r="BF162"/>
  <c r="BE162"/>
  <c r="BD162"/>
  <c r="BC162"/>
  <c r="BB162"/>
  <c r="BA162"/>
  <c r="AZ162"/>
  <c r="AY162"/>
  <c r="AX162"/>
  <c r="AW162"/>
  <c r="AV162"/>
  <c r="AC162"/>
  <c r="H162"/>
  <c r="G162"/>
  <c r="E162"/>
  <c r="BT161"/>
  <c r="BS161"/>
  <c r="BR161"/>
  <c r="BQ161"/>
  <c r="BP161"/>
  <c r="BO161"/>
  <c r="BN161"/>
  <c r="BM161"/>
  <c r="BL161"/>
  <c r="BK161"/>
  <c r="BJ161"/>
  <c r="BI161"/>
  <c r="BH161"/>
  <c r="BG161"/>
  <c r="BF161"/>
  <c r="BE161"/>
  <c r="BD161"/>
  <c r="BC161"/>
  <c r="BB161"/>
  <c r="BA161"/>
  <c r="AZ161"/>
  <c r="AY161"/>
  <c r="AX161"/>
  <c r="AW161"/>
  <c r="AV161"/>
  <c r="AC161"/>
  <c r="H161"/>
  <c r="G161"/>
  <c r="E161"/>
  <c r="BT160"/>
  <c r="BS160"/>
  <c r="BR160"/>
  <c r="BQ160"/>
  <c r="BP160"/>
  <c r="BO160"/>
  <c r="BN160"/>
  <c r="BM160"/>
  <c r="BL160"/>
  <c r="BK160"/>
  <c r="BJ160"/>
  <c r="BI160"/>
  <c r="BH160"/>
  <c r="BG160"/>
  <c r="BF160"/>
  <c r="BE160"/>
  <c r="BD160"/>
  <c r="BC160"/>
  <c r="BB160"/>
  <c r="BA160"/>
  <c r="AZ160"/>
  <c r="AY160"/>
  <c r="AX160"/>
  <c r="AW160"/>
  <c r="AV160"/>
  <c r="AC160"/>
  <c r="H160"/>
  <c r="G160"/>
  <c r="E160"/>
  <c r="BT159"/>
  <c r="BS159"/>
  <c r="BR159"/>
  <c r="BQ159"/>
  <c r="BP159"/>
  <c r="BO159"/>
  <c r="BN159"/>
  <c r="BM159"/>
  <c r="BL159"/>
  <c r="BK159"/>
  <c r="BJ159"/>
  <c r="BI159"/>
  <c r="BH159"/>
  <c r="BG159"/>
  <c r="BF159"/>
  <c r="BE159"/>
  <c r="BD159"/>
  <c r="BC159"/>
  <c r="BB159"/>
  <c r="BA159"/>
  <c r="AZ159"/>
  <c r="AY159"/>
  <c r="AX159"/>
  <c r="AW159"/>
  <c r="AV159"/>
  <c r="AC159"/>
  <c r="H159"/>
  <c r="G159"/>
  <c r="E159"/>
  <c r="BT158"/>
  <c r="BS158"/>
  <c r="BR158"/>
  <c r="BQ158"/>
  <c r="BP158"/>
  <c r="BO158"/>
  <c r="BN158"/>
  <c r="BM158"/>
  <c r="BL158"/>
  <c r="BK158"/>
  <c r="BJ158"/>
  <c r="BI158"/>
  <c r="BH158"/>
  <c r="BG158"/>
  <c r="BF158"/>
  <c r="BE158"/>
  <c r="BD158"/>
  <c r="BC158"/>
  <c r="BB158"/>
  <c r="BA158"/>
  <c r="AZ158"/>
  <c r="AY158"/>
  <c r="AX158"/>
  <c r="AW158"/>
  <c r="AV158"/>
  <c r="AC158"/>
  <c r="H158"/>
  <c r="G158"/>
  <c r="E158"/>
  <c r="BT157"/>
  <c r="BS157"/>
  <c r="BR157"/>
  <c r="BQ157"/>
  <c r="BP157"/>
  <c r="BO157"/>
  <c r="BN157"/>
  <c r="BM157"/>
  <c r="BL157"/>
  <c r="BK157"/>
  <c r="BJ157"/>
  <c r="BI157"/>
  <c r="BH157"/>
  <c r="BG157"/>
  <c r="BF157"/>
  <c r="BE157"/>
  <c r="BD157"/>
  <c r="BC157"/>
  <c r="BB157"/>
  <c r="BA157"/>
  <c r="AZ157"/>
  <c r="AY157"/>
  <c r="AX157"/>
  <c r="AW157"/>
  <c r="AV157"/>
  <c r="AC157"/>
  <c r="H157"/>
  <c r="G157"/>
  <c r="E157"/>
  <c r="BT156"/>
  <c r="BS156"/>
  <c r="BR156"/>
  <c r="BQ156"/>
  <c r="BP156"/>
  <c r="BO156"/>
  <c r="BN156"/>
  <c r="BM156"/>
  <c r="BL156"/>
  <c r="BK156"/>
  <c r="BJ156"/>
  <c r="BI156"/>
  <c r="BH156"/>
  <c r="BG156"/>
  <c r="BF156"/>
  <c r="BE156"/>
  <c r="BD156"/>
  <c r="BC156"/>
  <c r="BB156"/>
  <c r="BA156"/>
  <c r="AZ156"/>
  <c r="AY156"/>
  <c r="AX156"/>
  <c r="AW156"/>
  <c r="AV156"/>
  <c r="AC156"/>
  <c r="H156"/>
  <c r="G156"/>
  <c r="E156"/>
  <c r="BT155"/>
  <c r="BS155"/>
  <c r="BR155"/>
  <c r="BQ155"/>
  <c r="BP155"/>
  <c r="BO155"/>
  <c r="BN155"/>
  <c r="BM155"/>
  <c r="BL155"/>
  <c r="BK155"/>
  <c r="BJ155"/>
  <c r="BI155"/>
  <c r="BH155"/>
  <c r="BG155"/>
  <c r="BF155"/>
  <c r="BE155"/>
  <c r="BD155"/>
  <c r="BC155"/>
  <c r="BB155"/>
  <c r="BA155"/>
  <c r="AZ155"/>
  <c r="AY155"/>
  <c r="AX155"/>
  <c r="AW155"/>
  <c r="AV155"/>
  <c r="AC155"/>
  <c r="H155"/>
  <c r="G155"/>
  <c r="E155"/>
  <c r="BT154"/>
  <c r="BS154"/>
  <c r="BR154"/>
  <c r="BQ154"/>
  <c r="BP154"/>
  <c r="BO154"/>
  <c r="BN154"/>
  <c r="BM154"/>
  <c r="BL154"/>
  <c r="BK154"/>
  <c r="BJ154"/>
  <c r="BI154"/>
  <c r="BH154"/>
  <c r="BG154"/>
  <c r="BF154"/>
  <c r="BE154"/>
  <c r="BD154"/>
  <c r="BC154"/>
  <c r="BB154"/>
  <c r="BA154"/>
  <c r="AZ154"/>
  <c r="AY154"/>
  <c r="AX154"/>
  <c r="AW154"/>
  <c r="AV154"/>
  <c r="AC154"/>
  <c r="H154"/>
  <c r="G154"/>
  <c r="E154"/>
  <c r="BT153"/>
  <c r="BS153"/>
  <c r="BR153"/>
  <c r="BQ153"/>
  <c r="BP153"/>
  <c r="BO153"/>
  <c r="BN153"/>
  <c r="BM153"/>
  <c r="BL153"/>
  <c r="BK153"/>
  <c r="BJ153"/>
  <c r="BI153"/>
  <c r="BH153"/>
  <c r="BG153"/>
  <c r="BF153"/>
  <c r="BE153"/>
  <c r="BD153"/>
  <c r="BC153"/>
  <c r="BB153"/>
  <c r="BA153"/>
  <c r="AZ153"/>
  <c r="AY153"/>
  <c r="AX153"/>
  <c r="AW153"/>
  <c r="AV153"/>
  <c r="AC153"/>
  <c r="H153"/>
  <c r="G153"/>
  <c r="E153"/>
  <c r="BT152"/>
  <c r="BS152"/>
  <c r="BR152"/>
  <c r="BQ152"/>
  <c r="BP152"/>
  <c r="BO152"/>
  <c r="BN152"/>
  <c r="BM152"/>
  <c r="BL152"/>
  <c r="BK152"/>
  <c r="BJ152"/>
  <c r="BI152"/>
  <c r="BH152"/>
  <c r="BG152"/>
  <c r="BF152"/>
  <c r="BE152"/>
  <c r="BD152"/>
  <c r="BC152"/>
  <c r="BB152"/>
  <c r="BA152"/>
  <c r="AZ152"/>
  <c r="AY152"/>
  <c r="AX152"/>
  <c r="AW152"/>
  <c r="AV152"/>
  <c r="AC152"/>
  <c r="H152"/>
  <c r="G152"/>
  <c r="E152"/>
  <c r="BT151"/>
  <c r="BS151"/>
  <c r="BR151"/>
  <c r="BQ151"/>
  <c r="BP151"/>
  <c r="BO151"/>
  <c r="BN151"/>
  <c r="BM151"/>
  <c r="BL151"/>
  <c r="BK151"/>
  <c r="BJ151"/>
  <c r="BI151"/>
  <c r="BH151"/>
  <c r="BG151"/>
  <c r="BF151"/>
  <c r="BE151"/>
  <c r="BD151"/>
  <c r="BC151"/>
  <c r="BB151"/>
  <c r="BA151"/>
  <c r="AZ151"/>
  <c r="AY151"/>
  <c r="AX151"/>
  <c r="AW151"/>
  <c r="AV151"/>
  <c r="AC151"/>
  <c r="H151"/>
  <c r="G151"/>
  <c r="E151"/>
  <c r="BT150"/>
  <c r="BS150"/>
  <c r="BR150"/>
  <c r="BQ150"/>
  <c r="BP150"/>
  <c r="BO150"/>
  <c r="BN150"/>
  <c r="BM150"/>
  <c r="BL150"/>
  <c r="BK150"/>
  <c r="BJ150"/>
  <c r="BI150"/>
  <c r="BH150"/>
  <c r="BG150"/>
  <c r="BF150"/>
  <c r="BE150"/>
  <c r="BD150"/>
  <c r="BC150"/>
  <c r="BB150"/>
  <c r="BA150"/>
  <c r="AZ150"/>
  <c r="AY150"/>
  <c r="AX150"/>
  <c r="AW150"/>
  <c r="AV150"/>
  <c r="AC150"/>
  <c r="H150"/>
  <c r="G150"/>
  <c r="E150"/>
  <c r="BT149"/>
  <c r="BS149"/>
  <c r="BR149"/>
  <c r="BQ149"/>
  <c r="BP149"/>
  <c r="BO149"/>
  <c r="BN149"/>
  <c r="BM149"/>
  <c r="BL149"/>
  <c r="BK149"/>
  <c r="BJ149"/>
  <c r="BI149"/>
  <c r="BH149"/>
  <c r="BG149"/>
  <c r="BF149"/>
  <c r="BE149"/>
  <c r="BD149"/>
  <c r="BC149"/>
  <c r="BB149"/>
  <c r="BA149"/>
  <c r="AZ149"/>
  <c r="AY149"/>
  <c r="AX149"/>
  <c r="AW149"/>
  <c r="AV149"/>
  <c r="AC149"/>
  <c r="H149"/>
  <c r="G149"/>
  <c r="E149"/>
  <c r="BT148"/>
  <c r="BS148"/>
  <c r="BR148"/>
  <c r="BQ148"/>
  <c r="BP148"/>
  <c r="BO148"/>
  <c r="BN148"/>
  <c r="BM148"/>
  <c r="BL148"/>
  <c r="BK148"/>
  <c r="BJ148"/>
  <c r="BI148"/>
  <c r="BH148"/>
  <c r="BG148"/>
  <c r="BF148"/>
  <c r="BE148"/>
  <c r="BD148"/>
  <c r="BC148"/>
  <c r="BB148"/>
  <c r="BA148"/>
  <c r="AZ148"/>
  <c r="AY148"/>
  <c r="AX148"/>
  <c r="AW148"/>
  <c r="AV148"/>
  <c r="AC148"/>
  <c r="H148"/>
  <c r="G148"/>
  <c r="E148"/>
  <c r="BT147"/>
  <c r="BS147"/>
  <c r="BR147"/>
  <c r="BQ147"/>
  <c r="BP147"/>
  <c r="BO147"/>
  <c r="BN147"/>
  <c r="BM147"/>
  <c r="BL147"/>
  <c r="BK147"/>
  <c r="BJ147"/>
  <c r="BI147"/>
  <c r="BH147"/>
  <c r="BG147"/>
  <c r="BF147"/>
  <c r="BE147"/>
  <c r="BD147"/>
  <c r="BC147"/>
  <c r="BB147"/>
  <c r="BA147"/>
  <c r="AZ147"/>
  <c r="AY147"/>
  <c r="AX147"/>
  <c r="AW147"/>
  <c r="AV147"/>
  <c r="AC147"/>
  <c r="H147"/>
  <c r="G147"/>
  <c r="E147"/>
  <c r="BT146"/>
  <c r="BS146"/>
  <c r="BR146"/>
  <c r="BQ146"/>
  <c r="BP146"/>
  <c r="BO146"/>
  <c r="BN146"/>
  <c r="BM146"/>
  <c r="BL146"/>
  <c r="BK146"/>
  <c r="BJ146"/>
  <c r="BI146"/>
  <c r="BH146"/>
  <c r="BG146"/>
  <c r="BF146"/>
  <c r="BE146"/>
  <c r="BD146"/>
  <c r="BC146"/>
  <c r="BB146"/>
  <c r="BA146"/>
  <c r="AZ146"/>
  <c r="AY146"/>
  <c r="AX146"/>
  <c r="AW146"/>
  <c r="AV146"/>
  <c r="AC146"/>
  <c r="H146"/>
  <c r="G146"/>
  <c r="E146"/>
  <c r="BT145"/>
  <c r="BS145"/>
  <c r="BR145"/>
  <c r="BQ145"/>
  <c r="BP145"/>
  <c r="BO145"/>
  <c r="BN145"/>
  <c r="BM145"/>
  <c r="BL145"/>
  <c r="BK145"/>
  <c r="BJ145"/>
  <c r="BI145"/>
  <c r="BH145"/>
  <c r="BG145"/>
  <c r="BF145"/>
  <c r="BE145"/>
  <c r="BD145"/>
  <c r="BC145"/>
  <c r="BB145"/>
  <c r="BA145"/>
  <c r="AZ145"/>
  <c r="AY145"/>
  <c r="AX145"/>
  <c r="AW145"/>
  <c r="AV145"/>
  <c r="AC145"/>
  <c r="H145"/>
  <c r="G145"/>
  <c r="E145"/>
  <c r="BT144"/>
  <c r="BS144"/>
  <c r="BR144"/>
  <c r="BQ144"/>
  <c r="BP144"/>
  <c r="BO144"/>
  <c r="BN144"/>
  <c r="BM144"/>
  <c r="BL144"/>
  <c r="BK144"/>
  <c r="BJ144"/>
  <c r="BI144"/>
  <c r="BH144"/>
  <c r="BG144"/>
  <c r="BF144"/>
  <c r="BE144"/>
  <c r="BD144"/>
  <c r="BC144"/>
  <c r="BB144"/>
  <c r="BA144"/>
  <c r="AZ144"/>
  <c r="AY144"/>
  <c r="AX144"/>
  <c r="AW144"/>
  <c r="AV144"/>
  <c r="AC144"/>
  <c r="H144"/>
  <c r="G144"/>
  <c r="E144"/>
  <c r="BT143"/>
  <c r="BS143"/>
  <c r="BR143"/>
  <c r="BQ143"/>
  <c r="BP143"/>
  <c r="BO143"/>
  <c r="BN143"/>
  <c r="BM143"/>
  <c r="BL143"/>
  <c r="BK143"/>
  <c r="BJ143"/>
  <c r="BI143"/>
  <c r="BH143"/>
  <c r="BG143"/>
  <c r="BF143"/>
  <c r="BE143"/>
  <c r="BD143"/>
  <c r="BC143"/>
  <c r="BB143"/>
  <c r="BA143"/>
  <c r="AZ143"/>
  <c r="AY143"/>
  <c r="AX143"/>
  <c r="AW143"/>
  <c r="AV143"/>
  <c r="AC143"/>
  <c r="H143"/>
  <c r="G143"/>
  <c r="E143"/>
  <c r="BT142"/>
  <c r="BS142"/>
  <c r="BR142"/>
  <c r="BQ142"/>
  <c r="BP142"/>
  <c r="BO142"/>
  <c r="BN142"/>
  <c r="BM142"/>
  <c r="BL142"/>
  <c r="BK142"/>
  <c r="BJ142"/>
  <c r="BI142"/>
  <c r="BH142"/>
  <c r="BG142"/>
  <c r="BF142"/>
  <c r="BE142"/>
  <c r="BD142"/>
  <c r="BC142"/>
  <c r="BB142"/>
  <c r="BA142"/>
  <c r="AZ142"/>
  <c r="AY142"/>
  <c r="AX142"/>
  <c r="AW142"/>
  <c r="AV142"/>
  <c r="AC142"/>
  <c r="H142"/>
  <c r="G142"/>
  <c r="E142"/>
  <c r="BT141"/>
  <c r="BS141"/>
  <c r="BR141"/>
  <c r="BQ141"/>
  <c r="BP141"/>
  <c r="BO141"/>
  <c r="BN141"/>
  <c r="BM141"/>
  <c r="BL141"/>
  <c r="BK141"/>
  <c r="BJ141"/>
  <c r="BI141"/>
  <c r="BH141"/>
  <c r="BG141"/>
  <c r="BF141"/>
  <c r="BE141"/>
  <c r="BD141"/>
  <c r="BC141"/>
  <c r="BB141"/>
  <c r="BA141"/>
  <c r="AZ141"/>
  <c r="AY141"/>
  <c r="AX141"/>
  <c r="AW141"/>
  <c r="AV141"/>
  <c r="AC141"/>
  <c r="H141"/>
  <c r="G141"/>
  <c r="E141"/>
  <c r="BT140"/>
  <c r="BS140"/>
  <c r="BR140"/>
  <c r="BQ140"/>
  <c r="BP140"/>
  <c r="BO140"/>
  <c r="BN140"/>
  <c r="BM140"/>
  <c r="BL140"/>
  <c r="BK140"/>
  <c r="BJ140"/>
  <c r="BI140"/>
  <c r="BH140"/>
  <c r="BG140"/>
  <c r="BF140"/>
  <c r="BE140"/>
  <c r="BD140"/>
  <c r="BC140"/>
  <c r="BB140"/>
  <c r="BA140"/>
  <c r="AZ140"/>
  <c r="AY140"/>
  <c r="AX140"/>
  <c r="AW140"/>
  <c r="AV140"/>
  <c r="AC140"/>
  <c r="H140"/>
  <c r="G140"/>
  <c r="E140"/>
  <c r="BT139"/>
  <c r="BS139"/>
  <c r="BR139"/>
  <c r="BQ139"/>
  <c r="BP139"/>
  <c r="BO139"/>
  <c r="BN139"/>
  <c r="BM139"/>
  <c r="BL139"/>
  <c r="BK139"/>
  <c r="BJ139"/>
  <c r="BI139"/>
  <c r="BH139"/>
  <c r="BG139"/>
  <c r="BF139"/>
  <c r="BE139"/>
  <c r="BD139"/>
  <c r="BC139"/>
  <c r="BB139"/>
  <c r="BA139"/>
  <c r="AZ139"/>
  <c r="AY139"/>
  <c r="AX139"/>
  <c r="AW139"/>
  <c r="AV139"/>
  <c r="AC139"/>
  <c r="H139"/>
  <c r="G139"/>
  <c r="E139"/>
  <c r="BT138"/>
  <c r="BS138"/>
  <c r="BR138"/>
  <c r="BQ138"/>
  <c r="BP138"/>
  <c r="BO138"/>
  <c r="BN138"/>
  <c r="BM138"/>
  <c r="BL138"/>
  <c r="BK138"/>
  <c r="BJ138"/>
  <c r="BI138"/>
  <c r="BH138"/>
  <c r="BG138"/>
  <c r="BF138"/>
  <c r="BE138"/>
  <c r="BD138"/>
  <c r="BC138"/>
  <c r="BB138"/>
  <c r="BA138"/>
  <c r="AZ138"/>
  <c r="AY138"/>
  <c r="AX138"/>
  <c r="AW138"/>
  <c r="AV138"/>
  <c r="AC138"/>
  <c r="H138"/>
  <c r="G138"/>
  <c r="E138"/>
  <c r="BT137"/>
  <c r="BS137"/>
  <c r="BR137"/>
  <c r="BQ137"/>
  <c r="BP137"/>
  <c r="BO137"/>
  <c r="BN137"/>
  <c r="BM137"/>
  <c r="BL137"/>
  <c r="BK137"/>
  <c r="BJ137"/>
  <c r="BI137"/>
  <c r="BH137"/>
  <c r="BG137"/>
  <c r="BF137"/>
  <c r="BE137"/>
  <c r="BD137"/>
  <c r="BC137"/>
  <c r="BB137"/>
  <c r="BA137"/>
  <c r="AZ137"/>
  <c r="AY137"/>
  <c r="AX137"/>
  <c r="AW137"/>
  <c r="AV137"/>
  <c r="AC137"/>
  <c r="H137"/>
  <c r="G137"/>
  <c r="E137"/>
  <c r="BT136"/>
  <c r="BS136"/>
  <c r="BR136"/>
  <c r="BQ136"/>
  <c r="BP136"/>
  <c r="BO136"/>
  <c r="BN136"/>
  <c r="BM136"/>
  <c r="BL136"/>
  <c r="BK136"/>
  <c r="BJ136"/>
  <c r="BI136"/>
  <c r="BH136"/>
  <c r="BG136"/>
  <c r="BF136"/>
  <c r="BE136"/>
  <c r="BD136"/>
  <c r="BC136"/>
  <c r="BB136"/>
  <c r="BA136"/>
  <c r="AZ136"/>
  <c r="AY136"/>
  <c r="AX136"/>
  <c r="AW136"/>
  <c r="AV136"/>
  <c r="AC136"/>
  <c r="H136"/>
  <c r="G136"/>
  <c r="E136"/>
  <c r="BT135"/>
  <c r="BS135"/>
  <c r="BR135"/>
  <c r="BQ135"/>
  <c r="BP135"/>
  <c r="BO135"/>
  <c r="BN135"/>
  <c r="BM135"/>
  <c r="BL135"/>
  <c r="BK135"/>
  <c r="BJ135"/>
  <c r="BI135"/>
  <c r="BH135"/>
  <c r="BG135"/>
  <c r="BF135"/>
  <c r="BE135"/>
  <c r="BD135"/>
  <c r="BC135"/>
  <c r="BB135"/>
  <c r="BA135"/>
  <c r="AZ135"/>
  <c r="AY135"/>
  <c r="AX135"/>
  <c r="AW135"/>
  <c r="AV135"/>
  <c r="AC135"/>
  <c r="H135"/>
  <c r="G135"/>
  <c r="E135"/>
  <c r="BT134"/>
  <c r="BS134"/>
  <c r="BR134"/>
  <c r="BQ134"/>
  <c r="BP134"/>
  <c r="BO134"/>
  <c r="BN134"/>
  <c r="BM134"/>
  <c r="BL134"/>
  <c r="BK134"/>
  <c r="BJ134"/>
  <c r="BI134"/>
  <c r="BH134"/>
  <c r="BG134"/>
  <c r="BF134"/>
  <c r="BE134"/>
  <c r="BD134"/>
  <c r="BC134"/>
  <c r="BB134"/>
  <c r="BA134"/>
  <c r="AZ134"/>
  <c r="AY134"/>
  <c r="AX134"/>
  <c r="AW134"/>
  <c r="AV134"/>
  <c r="AC134"/>
  <c r="H134"/>
  <c r="G134"/>
  <c r="E134"/>
  <c r="BT133"/>
  <c r="BS133"/>
  <c r="BR133"/>
  <c r="BQ133"/>
  <c r="BP133"/>
  <c r="BO133"/>
  <c r="BN133"/>
  <c r="BM133"/>
  <c r="BL133"/>
  <c r="BK133"/>
  <c r="BJ133"/>
  <c r="BI133"/>
  <c r="BH133"/>
  <c r="BG133"/>
  <c r="BF133"/>
  <c r="BE133"/>
  <c r="BD133"/>
  <c r="BC133"/>
  <c r="BB133"/>
  <c r="BA133"/>
  <c r="AZ133"/>
  <c r="AY133"/>
  <c r="AX133"/>
  <c r="AW133"/>
  <c r="AV133"/>
  <c r="AC133"/>
  <c r="H133"/>
  <c r="G133"/>
  <c r="E133"/>
  <c r="BT132"/>
  <c r="BS132"/>
  <c r="BR132"/>
  <c r="BQ132"/>
  <c r="BP132"/>
  <c r="BO132"/>
  <c r="BN132"/>
  <c r="BM132"/>
  <c r="BL132"/>
  <c r="BK132"/>
  <c r="BJ132"/>
  <c r="BI132"/>
  <c r="BH132"/>
  <c r="BG132"/>
  <c r="BF132"/>
  <c r="BE132"/>
  <c r="BD132"/>
  <c r="BC132"/>
  <c r="BB132"/>
  <c r="BA132"/>
  <c r="AZ132"/>
  <c r="AY132"/>
  <c r="AX132"/>
  <c r="AW132"/>
  <c r="AV132"/>
  <c r="AC132"/>
  <c r="H132"/>
  <c r="G132"/>
  <c r="E132"/>
  <c r="BT131"/>
  <c r="BS131"/>
  <c r="BR131"/>
  <c r="BQ131"/>
  <c r="BP131"/>
  <c r="BO131"/>
  <c r="BN131"/>
  <c r="BM131"/>
  <c r="BL131"/>
  <c r="BK131"/>
  <c r="BJ131"/>
  <c r="BI131"/>
  <c r="BH131"/>
  <c r="BG131"/>
  <c r="BF131"/>
  <c r="BE131"/>
  <c r="BD131"/>
  <c r="BC131"/>
  <c r="BB131"/>
  <c r="BA131"/>
  <c r="AZ131"/>
  <c r="AY131"/>
  <c r="AX131"/>
  <c r="AW131"/>
  <c r="AV131"/>
  <c r="AC131"/>
  <c r="H131"/>
  <c r="G131"/>
  <c r="E131"/>
  <c r="BT130"/>
  <c r="BS130"/>
  <c r="BR130"/>
  <c r="BQ130"/>
  <c r="BP130"/>
  <c r="BO130"/>
  <c r="BN130"/>
  <c r="BM130"/>
  <c r="BL130"/>
  <c r="BK130"/>
  <c r="BJ130"/>
  <c r="BI130"/>
  <c r="BH130"/>
  <c r="BG130"/>
  <c r="BF130"/>
  <c r="BE130"/>
  <c r="BD130"/>
  <c r="BC130"/>
  <c r="BB130"/>
  <c r="BA130"/>
  <c r="AZ130"/>
  <c r="AY130"/>
  <c r="AX130"/>
  <c r="AW130"/>
  <c r="AV130"/>
  <c r="AC130"/>
  <c r="H130"/>
  <c r="G130"/>
  <c r="E130"/>
  <c r="BT129"/>
  <c r="BS129"/>
  <c r="BR129"/>
  <c r="BQ129"/>
  <c r="BP129"/>
  <c r="BO129"/>
  <c r="BN129"/>
  <c r="BM129"/>
  <c r="BL129"/>
  <c r="BK129"/>
  <c r="BJ129"/>
  <c r="BI129"/>
  <c r="BH129"/>
  <c r="BG129"/>
  <c r="BF129"/>
  <c r="BE129"/>
  <c r="BD129"/>
  <c r="BC129"/>
  <c r="BB129"/>
  <c r="BA129"/>
  <c r="AZ129"/>
  <c r="AY129"/>
  <c r="AX129"/>
  <c r="AW129"/>
  <c r="AV129"/>
  <c r="AC129"/>
  <c r="H129"/>
  <c r="G129"/>
  <c r="E129"/>
  <c r="BT128"/>
  <c r="BS128"/>
  <c r="BR128"/>
  <c r="BQ128"/>
  <c r="BP128"/>
  <c r="BO128"/>
  <c r="BN128"/>
  <c r="BM128"/>
  <c r="BL128"/>
  <c r="BK128"/>
  <c r="BJ128"/>
  <c r="BI128"/>
  <c r="BH128"/>
  <c r="BG128"/>
  <c r="BF128"/>
  <c r="BE128"/>
  <c r="BD128"/>
  <c r="BC128"/>
  <c r="BB128"/>
  <c r="BA128"/>
  <c r="AZ128"/>
  <c r="AY128"/>
  <c r="AX128"/>
  <c r="AW128"/>
  <c r="AV128"/>
  <c r="AC128"/>
  <c r="H128"/>
  <c r="G128"/>
  <c r="E128"/>
  <c r="BT127"/>
  <c r="BS127"/>
  <c r="BR127"/>
  <c r="BQ127"/>
  <c r="BP127"/>
  <c r="BO127"/>
  <c r="BN127"/>
  <c r="BM127"/>
  <c r="BL127"/>
  <c r="BK127"/>
  <c r="BJ127"/>
  <c r="BI127"/>
  <c r="BH127"/>
  <c r="BG127"/>
  <c r="BF127"/>
  <c r="BE127"/>
  <c r="BD127"/>
  <c r="BC127"/>
  <c r="BB127"/>
  <c r="BA127"/>
  <c r="AZ127"/>
  <c r="AY127"/>
  <c r="AX127"/>
  <c r="AW127"/>
  <c r="AV127"/>
  <c r="AC127"/>
  <c r="H127"/>
  <c r="G127"/>
  <c r="E127"/>
  <c r="BT126"/>
  <c r="BS126"/>
  <c r="BR126"/>
  <c r="BQ126"/>
  <c r="BP126"/>
  <c r="BO126"/>
  <c r="BN126"/>
  <c r="BM126"/>
  <c r="BL126"/>
  <c r="BK126"/>
  <c r="BJ126"/>
  <c r="BI126"/>
  <c r="BH126"/>
  <c r="BG126"/>
  <c r="BF126"/>
  <c r="BE126"/>
  <c r="BD126"/>
  <c r="BC126"/>
  <c r="BB126"/>
  <c r="BA126"/>
  <c r="AZ126"/>
  <c r="AY126"/>
  <c r="AX126"/>
  <c r="AW126"/>
  <c r="AV126"/>
  <c r="AC126"/>
  <c r="H126"/>
  <c r="G126"/>
  <c r="E126"/>
  <c r="BT125"/>
  <c r="BS125"/>
  <c r="BR125"/>
  <c r="BQ125"/>
  <c r="BP125"/>
  <c r="BO125"/>
  <c r="BN125"/>
  <c r="BM125"/>
  <c r="BL125"/>
  <c r="BK125"/>
  <c r="BJ125"/>
  <c r="BI125"/>
  <c r="BH125"/>
  <c r="BG125"/>
  <c r="BF125"/>
  <c r="BE125"/>
  <c r="BD125"/>
  <c r="BC125"/>
  <c r="BB125"/>
  <c r="BA125"/>
  <c r="AZ125"/>
  <c r="AY125"/>
  <c r="AX125"/>
  <c r="AW125"/>
  <c r="AV125"/>
  <c r="AC125"/>
  <c r="H125"/>
  <c r="G125"/>
  <c r="E125"/>
  <c r="BT124"/>
  <c r="BS124"/>
  <c r="BR124"/>
  <c r="BQ124"/>
  <c r="BP124"/>
  <c r="BO124"/>
  <c r="BN124"/>
  <c r="BM124"/>
  <c r="BL124"/>
  <c r="BK124"/>
  <c r="BJ124"/>
  <c r="BI124"/>
  <c r="BH124"/>
  <c r="BG124"/>
  <c r="BF124"/>
  <c r="BE124"/>
  <c r="BD124"/>
  <c r="BC124"/>
  <c r="BB124"/>
  <c r="BA124"/>
  <c r="AZ124"/>
  <c r="AY124"/>
  <c r="AX124"/>
  <c r="AW124"/>
  <c r="AV124"/>
  <c r="AC124"/>
  <c r="H124"/>
  <c r="G124"/>
  <c r="E124"/>
  <c r="BT123"/>
  <c r="BS123"/>
  <c r="BR123"/>
  <c r="BQ123"/>
  <c r="BP123"/>
  <c r="BO123"/>
  <c r="BN123"/>
  <c r="BM123"/>
  <c r="BL123"/>
  <c r="BK123"/>
  <c r="BJ123"/>
  <c r="BI123"/>
  <c r="BH123"/>
  <c r="BG123"/>
  <c r="BF123"/>
  <c r="BE123"/>
  <c r="BD123"/>
  <c r="BC123"/>
  <c r="BB123"/>
  <c r="BA123"/>
  <c r="AZ123"/>
  <c r="AY123"/>
  <c r="AX123"/>
  <c r="AW123"/>
  <c r="AV123"/>
  <c r="AC123"/>
  <c r="H123"/>
  <c r="G123"/>
  <c r="E123"/>
  <c r="BT122"/>
  <c r="BS122"/>
  <c r="BR122"/>
  <c r="BQ122"/>
  <c r="BP122"/>
  <c r="BO122"/>
  <c r="BN122"/>
  <c r="BM122"/>
  <c r="BL122"/>
  <c r="BK122"/>
  <c r="BJ122"/>
  <c r="BI122"/>
  <c r="BH122"/>
  <c r="BG122"/>
  <c r="BF122"/>
  <c r="BE122"/>
  <c r="BD122"/>
  <c r="BC122"/>
  <c r="BB122"/>
  <c r="BA122"/>
  <c r="AZ122"/>
  <c r="AY122"/>
  <c r="AX122"/>
  <c r="AW122"/>
  <c r="AV122"/>
  <c r="AC122"/>
  <c r="H122"/>
  <c r="G122"/>
  <c r="E122"/>
  <c r="BT121"/>
  <c r="BS121"/>
  <c r="BR121"/>
  <c r="BQ121"/>
  <c r="BP121"/>
  <c r="BO121"/>
  <c r="BN121"/>
  <c r="BM121"/>
  <c r="BL121"/>
  <c r="BK121"/>
  <c r="BJ121"/>
  <c r="BI121"/>
  <c r="BH121"/>
  <c r="BG121"/>
  <c r="BF121"/>
  <c r="BE121"/>
  <c r="BD121"/>
  <c r="BC121"/>
  <c r="BB121"/>
  <c r="BA121"/>
  <c r="AZ121"/>
  <c r="AY121"/>
  <c r="AX121"/>
  <c r="AW121"/>
  <c r="AV121"/>
  <c r="AC121"/>
  <c r="H121"/>
  <c r="G121"/>
  <c r="E121"/>
  <c r="BT120"/>
  <c r="BS120"/>
  <c r="BR120"/>
  <c r="BQ120"/>
  <c r="BP120"/>
  <c r="BO120"/>
  <c r="BN120"/>
  <c r="BM120"/>
  <c r="BL120"/>
  <c r="BK120"/>
  <c r="BJ120"/>
  <c r="BI120"/>
  <c r="BH120"/>
  <c r="BG120"/>
  <c r="BF120"/>
  <c r="BE120"/>
  <c r="BD120"/>
  <c r="BC120"/>
  <c r="BB120"/>
  <c r="BA120"/>
  <c r="AZ120"/>
  <c r="AY120"/>
  <c r="AX120"/>
  <c r="AW120"/>
  <c r="AV120"/>
  <c r="AC120"/>
  <c r="H120"/>
  <c r="G120"/>
  <c r="E120"/>
  <c r="BT119"/>
  <c r="BS119"/>
  <c r="BR119"/>
  <c r="BQ119"/>
  <c r="BP119"/>
  <c r="BO119"/>
  <c r="BN119"/>
  <c r="BM119"/>
  <c r="BL119"/>
  <c r="BK119"/>
  <c r="BJ119"/>
  <c r="BI119"/>
  <c r="BH119"/>
  <c r="BG119"/>
  <c r="BF119"/>
  <c r="BE119"/>
  <c r="BD119"/>
  <c r="BC119"/>
  <c r="BB119"/>
  <c r="BA119"/>
  <c r="AZ119"/>
  <c r="AY119"/>
  <c r="AX119"/>
  <c r="AW119"/>
  <c r="AV119"/>
  <c r="AC119"/>
  <c r="H119"/>
  <c r="G119"/>
  <c r="E119"/>
  <c r="BT118"/>
  <c r="BS118"/>
  <c r="BR118"/>
  <c r="BQ118"/>
  <c r="BP118"/>
  <c r="BO118"/>
  <c r="BN118"/>
  <c r="BM118"/>
  <c r="BL118"/>
  <c r="BK118"/>
  <c r="BJ118"/>
  <c r="BI118"/>
  <c r="BH118"/>
  <c r="BG118"/>
  <c r="BF118"/>
  <c r="BE118"/>
  <c r="BD118"/>
  <c r="BC118"/>
  <c r="BB118"/>
  <c r="BA118"/>
  <c r="AZ118"/>
  <c r="AY118"/>
  <c r="AX118"/>
  <c r="AW118"/>
  <c r="AV118"/>
  <c r="AC118"/>
  <c r="H118"/>
  <c r="G118"/>
  <c r="E118"/>
  <c r="BT117"/>
  <c r="BS117"/>
  <c r="BR117"/>
  <c r="BQ117"/>
  <c r="BP117"/>
  <c r="BO117"/>
  <c r="BN117"/>
  <c r="BM117"/>
  <c r="BL117"/>
  <c r="BK117"/>
  <c r="BJ117"/>
  <c r="BI117"/>
  <c r="BH117"/>
  <c r="BG117"/>
  <c r="BF117"/>
  <c r="BE117"/>
  <c r="BD117"/>
  <c r="BC117"/>
  <c r="BB117"/>
  <c r="BA117"/>
  <c r="AZ117"/>
  <c r="AY117"/>
  <c r="AX117"/>
  <c r="AW117"/>
  <c r="AV117"/>
  <c r="AC117"/>
  <c r="H117"/>
  <c r="G117"/>
  <c r="E117"/>
  <c r="BT116"/>
  <c r="BS116"/>
  <c r="BR116"/>
  <c r="BQ116"/>
  <c r="BP116"/>
  <c r="BO116"/>
  <c r="BN116"/>
  <c r="BM116"/>
  <c r="BL116"/>
  <c r="BK116"/>
  <c r="BJ116"/>
  <c r="BI116"/>
  <c r="BH116"/>
  <c r="BG116"/>
  <c r="BF116"/>
  <c r="BE116"/>
  <c r="BD116"/>
  <c r="BC116"/>
  <c r="BB116"/>
  <c r="BA116"/>
  <c r="AZ116"/>
  <c r="AY116"/>
  <c r="AX116"/>
  <c r="AW116"/>
  <c r="AV116"/>
  <c r="AC116"/>
  <c r="H116"/>
  <c r="G116"/>
  <c r="E116"/>
  <c r="BT115"/>
  <c r="BS115"/>
  <c r="BR115"/>
  <c r="BQ115"/>
  <c r="BP115"/>
  <c r="BO115"/>
  <c r="BN115"/>
  <c r="BM115"/>
  <c r="BL115"/>
  <c r="BK115"/>
  <c r="BJ115"/>
  <c r="BI115"/>
  <c r="BH115"/>
  <c r="BG115"/>
  <c r="BF115"/>
  <c r="BE115"/>
  <c r="BD115"/>
  <c r="BC115"/>
  <c r="BB115"/>
  <c r="BA115"/>
  <c r="AZ115"/>
  <c r="AY115"/>
  <c r="AX115"/>
  <c r="AW115"/>
  <c r="AV115"/>
  <c r="AC115"/>
  <c r="H115"/>
  <c r="G115"/>
  <c r="E115"/>
  <c r="BT114"/>
  <c r="BS114"/>
  <c r="BR114"/>
  <c r="BQ114"/>
  <c r="BP114"/>
  <c r="BO114"/>
  <c r="BN114"/>
  <c r="BM114"/>
  <c r="BL114"/>
  <c r="BK114"/>
  <c r="BJ114"/>
  <c r="BI114"/>
  <c r="BH114"/>
  <c r="BG114"/>
  <c r="BF114"/>
  <c r="BE114"/>
  <c r="BD114"/>
  <c r="BC114"/>
  <c r="BB114"/>
  <c r="BA114"/>
  <c r="AZ114"/>
  <c r="AY114"/>
  <c r="AX114"/>
  <c r="AW114"/>
  <c r="AV114"/>
  <c r="AC114"/>
  <c r="H114"/>
  <c r="G114"/>
  <c r="E114"/>
  <c r="BT113"/>
  <c r="BS113"/>
  <c r="BR113"/>
  <c r="BQ113"/>
  <c r="BP113"/>
  <c r="BO113"/>
  <c r="BN113"/>
  <c r="BM113"/>
  <c r="BL113"/>
  <c r="BK113"/>
  <c r="BJ113"/>
  <c r="BI113"/>
  <c r="BH113"/>
  <c r="BG113"/>
  <c r="BF113"/>
  <c r="BE113"/>
  <c r="BD113"/>
  <c r="BC113"/>
  <c r="BB113"/>
  <c r="BA113"/>
  <c r="AZ113"/>
  <c r="AY113"/>
  <c r="AX113"/>
  <c r="AW113"/>
  <c r="AV113"/>
  <c r="AC113"/>
  <c r="H113"/>
  <c r="G113"/>
  <c r="E113"/>
  <c r="BT112"/>
  <c r="BS112"/>
  <c r="BR112"/>
  <c r="BQ112"/>
  <c r="BP112"/>
  <c r="BO112"/>
  <c r="BN112"/>
  <c r="BM112"/>
  <c r="BL112"/>
  <c r="BK112"/>
  <c r="BJ112"/>
  <c r="BI112"/>
  <c r="BH112"/>
  <c r="BG112"/>
  <c r="BF112"/>
  <c r="BE112"/>
  <c r="BD112"/>
  <c r="BC112"/>
  <c r="BB112"/>
  <c r="BA112"/>
  <c r="AZ112"/>
  <c r="AY112"/>
  <c r="AX112"/>
  <c r="AW112"/>
  <c r="AV112"/>
  <c r="AC112"/>
  <c r="H112"/>
  <c r="G112"/>
  <c r="E112"/>
  <c r="BT111"/>
  <c r="BS111"/>
  <c r="BR111"/>
  <c r="BQ111"/>
  <c r="BP111"/>
  <c r="BO111"/>
  <c r="BN111"/>
  <c r="BM111"/>
  <c r="BL111"/>
  <c r="BK111"/>
  <c r="BJ111"/>
  <c r="BI111"/>
  <c r="BH111"/>
  <c r="BG111"/>
  <c r="BF111"/>
  <c r="BE111"/>
  <c r="BD111"/>
  <c r="BC111"/>
  <c r="BB111"/>
  <c r="BA111"/>
  <c r="AZ111"/>
  <c r="AY111"/>
  <c r="AX111"/>
  <c r="AW111"/>
  <c r="AV111"/>
  <c r="AC111"/>
  <c r="H111"/>
  <c r="G111"/>
  <c r="E111"/>
  <c r="BT110"/>
  <c r="BS110"/>
  <c r="BR110"/>
  <c r="BQ110"/>
  <c r="BP110"/>
  <c r="BO110"/>
  <c r="BN110"/>
  <c r="BM110"/>
  <c r="BL110"/>
  <c r="BK110"/>
  <c r="BJ110"/>
  <c r="BI110"/>
  <c r="BH110"/>
  <c r="BG110"/>
  <c r="BF110"/>
  <c r="BE110"/>
  <c r="BD110"/>
  <c r="BC110"/>
  <c r="BB110"/>
  <c r="BA110"/>
  <c r="AZ110"/>
  <c r="AY110"/>
  <c r="AX110"/>
  <c r="AW110"/>
  <c r="AV110"/>
  <c r="AC110"/>
  <c r="H110"/>
  <c r="G110"/>
  <c r="E110"/>
  <c r="BT109"/>
  <c r="BS109"/>
  <c r="BR109"/>
  <c r="BQ109"/>
  <c r="BP109"/>
  <c r="BO109"/>
  <c r="BN109"/>
  <c r="BM109"/>
  <c r="BL109"/>
  <c r="BK109"/>
  <c r="BJ109"/>
  <c r="BI109"/>
  <c r="BH109"/>
  <c r="BG109"/>
  <c r="BF109"/>
  <c r="BE109"/>
  <c r="BD109"/>
  <c r="BC109"/>
  <c r="BB109"/>
  <c r="BA109"/>
  <c r="AZ109"/>
  <c r="AY109"/>
  <c r="AX109"/>
  <c r="AW109"/>
  <c r="AV109"/>
  <c r="AC109"/>
  <c r="H109"/>
  <c r="G109"/>
  <c r="E109"/>
  <c r="BT108"/>
  <c r="BS108"/>
  <c r="BR108"/>
  <c r="BQ108"/>
  <c r="BP108"/>
  <c r="BO108"/>
  <c r="BN108"/>
  <c r="BM108"/>
  <c r="BL108"/>
  <c r="BK108"/>
  <c r="BJ108"/>
  <c r="BI108"/>
  <c r="BH108"/>
  <c r="BG108"/>
  <c r="BF108"/>
  <c r="BE108"/>
  <c r="BD108"/>
  <c r="BC108"/>
  <c r="BB108"/>
  <c r="BA108"/>
  <c r="AZ108"/>
  <c r="AY108"/>
  <c r="AX108"/>
  <c r="AW108"/>
  <c r="AV108"/>
  <c r="AC108"/>
  <c r="H108"/>
  <c r="G108"/>
  <c r="E108"/>
  <c r="BT107"/>
  <c r="BS107"/>
  <c r="BR107"/>
  <c r="BQ107"/>
  <c r="BP107"/>
  <c r="BO107"/>
  <c r="BN107"/>
  <c r="BM107"/>
  <c r="BL107"/>
  <c r="BK107"/>
  <c r="BJ107"/>
  <c r="BI107"/>
  <c r="BH107"/>
  <c r="BG107"/>
  <c r="BF107"/>
  <c r="BE107"/>
  <c r="BD107"/>
  <c r="BC107"/>
  <c r="BB107"/>
  <c r="BA107"/>
  <c r="AZ107"/>
  <c r="AY107"/>
  <c r="AX107"/>
  <c r="AW107"/>
  <c r="AV107"/>
  <c r="AC107"/>
  <c r="H107"/>
  <c r="G107"/>
  <c r="E107"/>
  <c r="BT106"/>
  <c r="BS106"/>
  <c r="BR106"/>
  <c r="BQ106"/>
  <c r="BP106"/>
  <c r="BO106"/>
  <c r="BN106"/>
  <c r="BM106"/>
  <c r="BL106"/>
  <c r="BK106"/>
  <c r="BJ106"/>
  <c r="BI106"/>
  <c r="BH106"/>
  <c r="BG106"/>
  <c r="BF106"/>
  <c r="BE106"/>
  <c r="BD106"/>
  <c r="BC106"/>
  <c r="BB106"/>
  <c r="BA106"/>
  <c r="AZ106"/>
  <c r="AY106"/>
  <c r="AX106"/>
  <c r="AW106"/>
  <c r="AV106"/>
  <c r="AC106"/>
  <c r="H106"/>
  <c r="G106"/>
  <c r="E106"/>
  <c r="BT105"/>
  <c r="BS105"/>
  <c r="BR105"/>
  <c r="BQ105"/>
  <c r="BP105"/>
  <c r="BO105"/>
  <c r="BN105"/>
  <c r="BM105"/>
  <c r="BL105"/>
  <c r="BK105"/>
  <c r="BJ105"/>
  <c r="BI105"/>
  <c r="BH105"/>
  <c r="BG105"/>
  <c r="BF105"/>
  <c r="BE105"/>
  <c r="BD105"/>
  <c r="BC105"/>
  <c r="BB105"/>
  <c r="BA105"/>
  <c r="AZ105"/>
  <c r="AY105"/>
  <c r="AX105"/>
  <c r="AW105"/>
  <c r="AV105"/>
  <c r="AC105"/>
  <c r="H105"/>
  <c r="G105"/>
  <c r="E105"/>
  <c r="BT104"/>
  <c r="BS104"/>
  <c r="BR104"/>
  <c r="BQ104"/>
  <c r="BP104"/>
  <c r="BO104"/>
  <c r="BN104"/>
  <c r="BM104"/>
  <c r="BL104"/>
  <c r="BK104"/>
  <c r="BJ104"/>
  <c r="BI104"/>
  <c r="BH104"/>
  <c r="BG104"/>
  <c r="BF104"/>
  <c r="BE104"/>
  <c r="BD104"/>
  <c r="BC104"/>
  <c r="BB104"/>
  <c r="BA104"/>
  <c r="AZ104"/>
  <c r="AY104"/>
  <c r="AX104"/>
  <c r="AW104"/>
  <c r="AV104"/>
  <c r="AC104"/>
  <c r="H104"/>
  <c r="G104"/>
  <c r="E104"/>
  <c r="BT103"/>
  <c r="BS103"/>
  <c r="BR103"/>
  <c r="BQ103"/>
  <c r="BP103"/>
  <c r="BO103"/>
  <c r="BN103"/>
  <c r="BM103"/>
  <c r="BL103"/>
  <c r="BK103"/>
  <c r="BJ103"/>
  <c r="BI103"/>
  <c r="BH103"/>
  <c r="BG103"/>
  <c r="BF103"/>
  <c r="BE103"/>
  <c r="BD103"/>
  <c r="BC103"/>
  <c r="BB103"/>
  <c r="BA103"/>
  <c r="AZ103"/>
  <c r="AY103"/>
  <c r="AX103"/>
  <c r="AW103"/>
  <c r="AV103"/>
  <c r="AC103"/>
  <c r="H103"/>
  <c r="G103"/>
  <c r="E103"/>
  <c r="BT102"/>
  <c r="BS102"/>
  <c r="BR102"/>
  <c r="BQ102"/>
  <c r="BP102"/>
  <c r="BO102"/>
  <c r="BN102"/>
  <c r="BM102"/>
  <c r="BL102"/>
  <c r="BK102"/>
  <c r="BJ102"/>
  <c r="BI102"/>
  <c r="BH102"/>
  <c r="BG102"/>
  <c r="BF102"/>
  <c r="BE102"/>
  <c r="BD102"/>
  <c r="BC102"/>
  <c r="BB102"/>
  <c r="BA102"/>
  <c r="AZ102"/>
  <c r="AY102"/>
  <c r="AX102"/>
  <c r="AW102"/>
  <c r="AV102"/>
  <c r="AC102"/>
  <c r="H102"/>
  <c r="G102"/>
  <c r="E102"/>
  <c r="BT101"/>
  <c r="BS101"/>
  <c r="BR101"/>
  <c r="BQ101"/>
  <c r="BP101"/>
  <c r="BO101"/>
  <c r="BN101"/>
  <c r="BM101"/>
  <c r="BL101"/>
  <c r="BK101"/>
  <c r="BJ101"/>
  <c r="BI101"/>
  <c r="BH101"/>
  <c r="BG101"/>
  <c r="BF101"/>
  <c r="BE101"/>
  <c r="BD101"/>
  <c r="BC101"/>
  <c r="BB101"/>
  <c r="BA101"/>
  <c r="AZ101"/>
  <c r="AY101"/>
  <c r="AX101"/>
  <c r="AW101"/>
  <c r="AV101"/>
  <c r="AC101"/>
  <c r="H101"/>
  <c r="G101"/>
  <c r="E101"/>
  <c r="BT100"/>
  <c r="BS100"/>
  <c r="BR100"/>
  <c r="BQ100"/>
  <c r="BP100"/>
  <c r="BO100"/>
  <c r="BN100"/>
  <c r="BM100"/>
  <c r="BL100"/>
  <c r="BK100"/>
  <c r="BJ100"/>
  <c r="BI100"/>
  <c r="BH100"/>
  <c r="BG100"/>
  <c r="BF100"/>
  <c r="BE100"/>
  <c r="BD100"/>
  <c r="BC100"/>
  <c r="BB100"/>
  <c r="BA100"/>
  <c r="AZ100"/>
  <c r="AY100"/>
  <c r="AX100"/>
  <c r="AW100"/>
  <c r="AV100"/>
  <c r="AC100"/>
  <c r="H100"/>
  <c r="G100"/>
  <c r="E100"/>
  <c r="BT99"/>
  <c r="BS99"/>
  <c r="BR99"/>
  <c r="BQ99"/>
  <c r="BP99"/>
  <c r="BO99"/>
  <c r="BN99"/>
  <c r="BM99"/>
  <c r="BL99"/>
  <c r="BK99"/>
  <c r="BJ99"/>
  <c r="BI99"/>
  <c r="BH99"/>
  <c r="BG99"/>
  <c r="BF99"/>
  <c r="BE99"/>
  <c r="BD99"/>
  <c r="BC99"/>
  <c r="BB99"/>
  <c r="BA99"/>
  <c r="AZ99"/>
  <c r="AY99"/>
  <c r="AX99"/>
  <c r="AW99"/>
  <c r="AV99"/>
  <c r="AC99"/>
  <c r="H99"/>
  <c r="G99"/>
  <c r="E99"/>
  <c r="BT98"/>
  <c r="BS98"/>
  <c r="BR98"/>
  <c r="BQ98"/>
  <c r="BP98"/>
  <c r="BO98"/>
  <c r="BN98"/>
  <c r="BM98"/>
  <c r="BL98"/>
  <c r="BK98"/>
  <c r="BJ98"/>
  <c r="BI98"/>
  <c r="BH98"/>
  <c r="BG98"/>
  <c r="BF98"/>
  <c r="BE98"/>
  <c r="BD98"/>
  <c r="BC98"/>
  <c r="BB98"/>
  <c r="BA98"/>
  <c r="AZ98"/>
  <c r="AY98"/>
  <c r="AX98"/>
  <c r="AW98"/>
  <c r="AV98"/>
  <c r="AC98"/>
  <c r="H98"/>
  <c r="G98"/>
  <c r="E98"/>
  <c r="BT97"/>
  <c r="BS97"/>
  <c r="BR97"/>
  <c r="BQ97"/>
  <c r="BP97"/>
  <c r="BO97"/>
  <c r="BN97"/>
  <c r="BM97"/>
  <c r="BL97"/>
  <c r="BK97"/>
  <c r="BJ97"/>
  <c r="BI97"/>
  <c r="BH97"/>
  <c r="BG97"/>
  <c r="BF97"/>
  <c r="BE97"/>
  <c r="BD97"/>
  <c r="BC97"/>
  <c r="BB97"/>
  <c r="BA97"/>
  <c r="AZ97"/>
  <c r="AY97"/>
  <c r="AX97"/>
  <c r="AW97"/>
  <c r="AV97"/>
  <c r="AC97"/>
  <c r="H97"/>
  <c r="G97"/>
  <c r="E97"/>
  <c r="BT96"/>
  <c r="BS96"/>
  <c r="BR96"/>
  <c r="BQ96"/>
  <c r="BP96"/>
  <c r="BO96"/>
  <c r="BN96"/>
  <c r="BM96"/>
  <c r="BL96"/>
  <c r="BK96"/>
  <c r="BJ96"/>
  <c r="BI96"/>
  <c r="BH96"/>
  <c r="BG96"/>
  <c r="BF96"/>
  <c r="BE96"/>
  <c r="BD96"/>
  <c r="BC96"/>
  <c r="BB96"/>
  <c r="BA96"/>
  <c r="AZ96"/>
  <c r="AY96"/>
  <c r="AX96"/>
  <c r="AW96"/>
  <c r="AV96"/>
  <c r="AC96"/>
  <c r="H96"/>
  <c r="G96"/>
  <c r="E96"/>
  <c r="BT95"/>
  <c r="BS95"/>
  <c r="BR95"/>
  <c r="BQ95"/>
  <c r="BP95"/>
  <c r="BO95"/>
  <c r="BN95"/>
  <c r="BM95"/>
  <c r="BL95"/>
  <c r="BK95"/>
  <c r="BJ95"/>
  <c r="BI95"/>
  <c r="BH95"/>
  <c r="BG95"/>
  <c r="BF95"/>
  <c r="BE95"/>
  <c r="BD95"/>
  <c r="BC95"/>
  <c r="BB95"/>
  <c r="BA95"/>
  <c r="AZ95"/>
  <c r="AY95"/>
  <c r="AX95"/>
  <c r="AW95"/>
  <c r="AV95"/>
  <c r="AC95"/>
  <c r="H95"/>
  <c r="G95"/>
  <c r="E95"/>
  <c r="BT94"/>
  <c r="BS94"/>
  <c r="BR94"/>
  <c r="BQ94"/>
  <c r="BP94"/>
  <c r="BO94"/>
  <c r="BN94"/>
  <c r="BM94"/>
  <c r="BL94"/>
  <c r="BK94"/>
  <c r="BJ94"/>
  <c r="BI94"/>
  <c r="BH94"/>
  <c r="BG94"/>
  <c r="BF94"/>
  <c r="BE94"/>
  <c r="BD94"/>
  <c r="BC94"/>
  <c r="BB94"/>
  <c r="BA94"/>
  <c r="AZ94"/>
  <c r="AY94"/>
  <c r="AX94"/>
  <c r="AW94"/>
  <c r="AV94"/>
  <c r="AC94"/>
  <c r="H94"/>
  <c r="G94"/>
  <c r="E94"/>
  <c r="BT93"/>
  <c r="BS93"/>
  <c r="BR93"/>
  <c r="BQ93"/>
  <c r="BP93"/>
  <c r="BO93"/>
  <c r="BN93"/>
  <c r="BM93"/>
  <c r="BL93"/>
  <c r="BK93"/>
  <c r="BJ93"/>
  <c r="BI93"/>
  <c r="BH93"/>
  <c r="BG93"/>
  <c r="BF93"/>
  <c r="BE93"/>
  <c r="BD93"/>
  <c r="BC93"/>
  <c r="BB93"/>
  <c r="BA93"/>
  <c r="AZ93"/>
  <c r="AY93"/>
  <c r="AX93"/>
  <c r="AW93"/>
  <c r="AV93"/>
  <c r="AC93"/>
  <c r="H93"/>
  <c r="G93"/>
  <c r="E93"/>
  <c r="BT92"/>
  <c r="BS92"/>
  <c r="BR92"/>
  <c r="BQ92"/>
  <c r="BP92"/>
  <c r="BO92"/>
  <c r="BN92"/>
  <c r="BM92"/>
  <c r="BL92"/>
  <c r="BK92"/>
  <c r="BJ92"/>
  <c r="BI92"/>
  <c r="BH92"/>
  <c r="BG92"/>
  <c r="BF92"/>
  <c r="BE92"/>
  <c r="BD92"/>
  <c r="BC92"/>
  <c r="BB92"/>
  <c r="BA92"/>
  <c r="AZ92"/>
  <c r="AY92"/>
  <c r="AX92"/>
  <c r="AW92"/>
  <c r="AV92"/>
  <c r="AC92"/>
  <c r="H92"/>
  <c r="G92"/>
  <c r="E92"/>
  <c r="BT91"/>
  <c r="BS91"/>
  <c r="BR91"/>
  <c r="BQ91"/>
  <c r="BP91"/>
  <c r="BO91"/>
  <c r="BN91"/>
  <c r="BM91"/>
  <c r="BL91"/>
  <c r="BK91"/>
  <c r="BJ91"/>
  <c r="BI91"/>
  <c r="BH91"/>
  <c r="BG91"/>
  <c r="BF91"/>
  <c r="BE91"/>
  <c r="BD91"/>
  <c r="BC91"/>
  <c r="BB91"/>
  <c r="BA91"/>
  <c r="AZ91"/>
  <c r="AY91"/>
  <c r="AX91"/>
  <c r="AW91"/>
  <c r="AV91"/>
  <c r="AC91"/>
  <c r="H91"/>
  <c r="G91"/>
  <c r="E91"/>
  <c r="BT90"/>
  <c r="BS90"/>
  <c r="BR90"/>
  <c r="BQ90"/>
  <c r="BP90"/>
  <c r="BO90"/>
  <c r="BN90"/>
  <c r="BM90"/>
  <c r="BL90"/>
  <c r="BK90"/>
  <c r="BJ90"/>
  <c r="BI90"/>
  <c r="BH90"/>
  <c r="BG90"/>
  <c r="BF90"/>
  <c r="BE90"/>
  <c r="BD90"/>
  <c r="BC90"/>
  <c r="BB90"/>
  <c r="BA90"/>
  <c r="AZ90"/>
  <c r="AY90"/>
  <c r="AX90"/>
  <c r="AW90"/>
  <c r="AV90"/>
  <c r="AC90"/>
  <c r="H90"/>
  <c r="G90"/>
  <c r="E90"/>
  <c r="BT89"/>
  <c r="BS89"/>
  <c r="BR89"/>
  <c r="BQ89"/>
  <c r="BP89"/>
  <c r="BO89"/>
  <c r="BN89"/>
  <c r="BM89"/>
  <c r="BL89"/>
  <c r="BK89"/>
  <c r="BJ89"/>
  <c r="BI89"/>
  <c r="BH89"/>
  <c r="BG89"/>
  <c r="BF89"/>
  <c r="BE89"/>
  <c r="BD89"/>
  <c r="BC89"/>
  <c r="BB89"/>
  <c r="BA89"/>
  <c r="AZ89"/>
  <c r="AY89"/>
  <c r="AX89"/>
  <c r="AW89"/>
  <c r="AV89"/>
  <c r="AC89"/>
  <c r="H89"/>
  <c r="G89"/>
  <c r="E89"/>
  <c r="BT88"/>
  <c r="BS88"/>
  <c r="BR88"/>
  <c r="BQ88"/>
  <c r="BP88"/>
  <c r="BO88"/>
  <c r="BN88"/>
  <c r="BM88"/>
  <c r="BL88"/>
  <c r="BK88"/>
  <c r="BJ88"/>
  <c r="BI88"/>
  <c r="BH88"/>
  <c r="BG88"/>
  <c r="BF88"/>
  <c r="BE88"/>
  <c r="BD88"/>
  <c r="BC88"/>
  <c r="BB88"/>
  <c r="BA88"/>
  <c r="AZ88"/>
  <c r="AY88"/>
  <c r="AX88"/>
  <c r="AW88"/>
  <c r="AV88"/>
  <c r="AC88"/>
  <c r="H88"/>
  <c r="G88"/>
  <c r="E88"/>
  <c r="BT87"/>
  <c r="BS87"/>
  <c r="BR87"/>
  <c r="BQ87"/>
  <c r="BP87"/>
  <c r="BO87"/>
  <c r="BN87"/>
  <c r="BM87"/>
  <c r="BL87"/>
  <c r="BK87"/>
  <c r="BJ87"/>
  <c r="BI87"/>
  <c r="BH87"/>
  <c r="BG87"/>
  <c r="BF87"/>
  <c r="BE87"/>
  <c r="BD87"/>
  <c r="BC87"/>
  <c r="BB87"/>
  <c r="BA87"/>
  <c r="AZ87"/>
  <c r="AY87"/>
  <c r="AX87"/>
  <c r="AW87"/>
  <c r="AV87"/>
  <c r="AC87"/>
  <c r="H87"/>
  <c r="G87"/>
  <c r="E87"/>
  <c r="BT86"/>
  <c r="BS86"/>
  <c r="BR86"/>
  <c r="BQ86"/>
  <c r="BP86"/>
  <c r="BO86"/>
  <c r="BN86"/>
  <c r="BM86"/>
  <c r="BL86"/>
  <c r="BK86"/>
  <c r="BJ86"/>
  <c r="BI86"/>
  <c r="BH86"/>
  <c r="BG86"/>
  <c r="BF86"/>
  <c r="BE86"/>
  <c r="BD86"/>
  <c r="BC86"/>
  <c r="BB86"/>
  <c r="BA86"/>
  <c r="AZ86"/>
  <c r="AY86"/>
  <c r="AX86"/>
  <c r="AW86"/>
  <c r="AV86"/>
  <c r="AC86"/>
  <c r="H86"/>
  <c r="G86"/>
  <c r="E86"/>
  <c r="BT85"/>
  <c r="BS85"/>
  <c r="BR85"/>
  <c r="BQ85"/>
  <c r="BP85"/>
  <c r="BO85"/>
  <c r="BN85"/>
  <c r="BM85"/>
  <c r="BL85"/>
  <c r="BK85"/>
  <c r="BJ85"/>
  <c r="BI85"/>
  <c r="BH85"/>
  <c r="BG85"/>
  <c r="BF85"/>
  <c r="BE85"/>
  <c r="BD85"/>
  <c r="BC85"/>
  <c r="BB85"/>
  <c r="BA85"/>
  <c r="AZ85"/>
  <c r="AY85"/>
  <c r="AX85"/>
  <c r="AW85"/>
  <c r="AV85"/>
  <c r="AC85"/>
  <c r="H85"/>
  <c r="G85"/>
  <c r="E85"/>
  <c r="BT84"/>
  <c r="BS84"/>
  <c r="BR84"/>
  <c r="BQ84"/>
  <c r="BP84"/>
  <c r="BO84"/>
  <c r="BN84"/>
  <c r="BM84"/>
  <c r="BL84"/>
  <c r="BK84"/>
  <c r="BJ84"/>
  <c r="BI84"/>
  <c r="BH84"/>
  <c r="BG84"/>
  <c r="BF84"/>
  <c r="BE84"/>
  <c r="BD84"/>
  <c r="BC84"/>
  <c r="BB84"/>
  <c r="BA84"/>
  <c r="AZ84"/>
  <c r="AY84"/>
  <c r="AX84"/>
  <c r="AW84"/>
  <c r="AV84"/>
  <c r="AC84"/>
  <c r="H84"/>
  <c r="G84"/>
  <c r="E84"/>
  <c r="BT83"/>
  <c r="BS83"/>
  <c r="BR83"/>
  <c r="BQ83"/>
  <c r="BP83"/>
  <c r="BO83"/>
  <c r="BN83"/>
  <c r="BM83"/>
  <c r="BL83"/>
  <c r="BK83"/>
  <c r="BJ83"/>
  <c r="BI83"/>
  <c r="BH83"/>
  <c r="BG83"/>
  <c r="BF83"/>
  <c r="BE83"/>
  <c r="BD83"/>
  <c r="BC83"/>
  <c r="BB83"/>
  <c r="BA83"/>
  <c r="AZ83"/>
  <c r="AY83"/>
  <c r="AX83"/>
  <c r="AW83"/>
  <c r="AV83"/>
  <c r="AC83"/>
  <c r="H83"/>
  <c r="G83"/>
  <c r="E83"/>
  <c r="BT82"/>
  <c r="BS82"/>
  <c r="BR82"/>
  <c r="BQ82"/>
  <c r="BP82"/>
  <c r="BO82"/>
  <c r="BN82"/>
  <c r="BM82"/>
  <c r="BL82"/>
  <c r="BK82"/>
  <c r="BJ82"/>
  <c r="BI82"/>
  <c r="BH82"/>
  <c r="BG82"/>
  <c r="BF82"/>
  <c r="BE82"/>
  <c r="BD82"/>
  <c r="BC82"/>
  <c r="BB82"/>
  <c r="BA82"/>
  <c r="AZ82"/>
  <c r="AY82"/>
  <c r="AX82"/>
  <c r="AW82"/>
  <c r="AV82"/>
  <c r="AC82"/>
  <c r="H82"/>
  <c r="G82"/>
  <c r="E82"/>
  <c r="BT81"/>
  <c r="BS81"/>
  <c r="BR81"/>
  <c r="BQ81"/>
  <c r="BP81"/>
  <c r="BO81"/>
  <c r="BN81"/>
  <c r="BM81"/>
  <c r="BL81"/>
  <c r="BK81"/>
  <c r="BJ81"/>
  <c r="BI81"/>
  <c r="BH81"/>
  <c r="BG81"/>
  <c r="BF81"/>
  <c r="BE81"/>
  <c r="BD81"/>
  <c r="BC81"/>
  <c r="BB81"/>
  <c r="BA81"/>
  <c r="AZ81"/>
  <c r="AY81"/>
  <c r="AX81"/>
  <c r="AW81"/>
  <c r="AV81"/>
  <c r="AC81"/>
  <c r="H81"/>
  <c r="G81"/>
  <c r="E81"/>
  <c r="BT80"/>
  <c r="BS80"/>
  <c r="BR80"/>
  <c r="BQ80"/>
  <c r="BP80"/>
  <c r="BO80"/>
  <c r="BN80"/>
  <c r="BM80"/>
  <c r="BL80"/>
  <c r="BK80"/>
  <c r="BJ80"/>
  <c r="BI80"/>
  <c r="BH80"/>
  <c r="BG80"/>
  <c r="BF80"/>
  <c r="BE80"/>
  <c r="BD80"/>
  <c r="BC80"/>
  <c r="BB80"/>
  <c r="BA80"/>
  <c r="AZ80"/>
  <c r="AY80"/>
  <c r="AX80"/>
  <c r="AW80"/>
  <c r="AV80"/>
  <c r="AC80"/>
  <c r="H80"/>
  <c r="G80"/>
  <c r="E80"/>
  <c r="BT79"/>
  <c r="BS79"/>
  <c r="BR79"/>
  <c r="BQ79"/>
  <c r="BP79"/>
  <c r="BO79"/>
  <c r="BN79"/>
  <c r="BM79"/>
  <c r="BL79"/>
  <c r="BK79"/>
  <c r="BJ79"/>
  <c r="BI79"/>
  <c r="BH79"/>
  <c r="BG79"/>
  <c r="BF79"/>
  <c r="BE79"/>
  <c r="BD79"/>
  <c r="BC79"/>
  <c r="BB79"/>
  <c r="BA79"/>
  <c r="AZ79"/>
  <c r="AY79"/>
  <c r="AX79"/>
  <c r="AW79"/>
  <c r="AV79"/>
  <c r="AC79"/>
  <c r="H79"/>
  <c r="G79"/>
  <c r="E79"/>
  <c r="BT78"/>
  <c r="BS78"/>
  <c r="BR78"/>
  <c r="BQ78"/>
  <c r="BP78"/>
  <c r="BO78"/>
  <c r="BN78"/>
  <c r="BM78"/>
  <c r="BL78"/>
  <c r="BK78"/>
  <c r="BJ78"/>
  <c r="BI78"/>
  <c r="BH78"/>
  <c r="BG78"/>
  <c r="BF78"/>
  <c r="BE78"/>
  <c r="BD78"/>
  <c r="BC78"/>
  <c r="BB78"/>
  <c r="BA78"/>
  <c r="AZ78"/>
  <c r="AY78"/>
  <c r="AX78"/>
  <c r="AW78"/>
  <c r="AV78"/>
  <c r="AC78"/>
  <c r="H78"/>
  <c r="G78"/>
  <c r="E78"/>
  <c r="BT77"/>
  <c r="BS77"/>
  <c r="BR77"/>
  <c r="BQ77"/>
  <c r="BP77"/>
  <c r="BO77"/>
  <c r="BN77"/>
  <c r="BM77"/>
  <c r="BL77"/>
  <c r="BK77"/>
  <c r="BJ77"/>
  <c r="BI77"/>
  <c r="BH77"/>
  <c r="BG77"/>
  <c r="BF77"/>
  <c r="BE77"/>
  <c r="BD77"/>
  <c r="BC77"/>
  <c r="BB77"/>
  <c r="BA77"/>
  <c r="AZ77"/>
  <c r="AY77"/>
  <c r="AX77"/>
  <c r="AW77"/>
  <c r="AV77"/>
  <c r="AC77"/>
  <c r="H77"/>
  <c r="G77"/>
  <c r="E77"/>
  <c r="BT76"/>
  <c r="BS76"/>
  <c r="BR76"/>
  <c r="BQ76"/>
  <c r="BP76"/>
  <c r="BO76"/>
  <c r="BN76"/>
  <c r="BM76"/>
  <c r="BL76"/>
  <c r="BK76"/>
  <c r="BJ76"/>
  <c r="BI76"/>
  <c r="BH76"/>
  <c r="BG76"/>
  <c r="BF76"/>
  <c r="BE76"/>
  <c r="BD76"/>
  <c r="BC76"/>
  <c r="BB76"/>
  <c r="BA76"/>
  <c r="AZ76"/>
  <c r="AY76"/>
  <c r="AX76"/>
  <c r="AW76"/>
  <c r="AV76"/>
  <c r="AC76"/>
  <c r="H76"/>
  <c r="G76"/>
  <c r="E76"/>
  <c r="BT75"/>
  <c r="BS75"/>
  <c r="BR75"/>
  <c r="BQ75"/>
  <c r="BP75"/>
  <c r="BO75"/>
  <c r="BN75"/>
  <c r="BM75"/>
  <c r="BL75"/>
  <c r="BK75"/>
  <c r="BJ75"/>
  <c r="BI75"/>
  <c r="BH75"/>
  <c r="BG75"/>
  <c r="BF75"/>
  <c r="BE75"/>
  <c r="BD75"/>
  <c r="BC75"/>
  <c r="BB75"/>
  <c r="BA75"/>
  <c r="AZ75"/>
  <c r="AY75"/>
  <c r="AX75"/>
  <c r="AW75"/>
  <c r="AV75"/>
  <c r="AC75"/>
  <c r="H75"/>
  <c r="G75"/>
  <c r="E75"/>
  <c r="BT74"/>
  <c r="BS74"/>
  <c r="BR74"/>
  <c r="BQ74"/>
  <c r="BP74"/>
  <c r="BO74"/>
  <c r="BN74"/>
  <c r="BM74"/>
  <c r="BL74"/>
  <c r="BK74"/>
  <c r="BJ74"/>
  <c r="BI74"/>
  <c r="BH74"/>
  <c r="BG74"/>
  <c r="BF74"/>
  <c r="BE74"/>
  <c r="BD74"/>
  <c r="BC74"/>
  <c r="BB74"/>
  <c r="BA74"/>
  <c r="AZ74"/>
  <c r="AY74"/>
  <c r="AX74"/>
  <c r="AW74"/>
  <c r="AV74"/>
  <c r="AC74"/>
  <c r="H74"/>
  <c r="G74"/>
  <c r="E74"/>
  <c r="BT73"/>
  <c r="BS73"/>
  <c r="BR73"/>
  <c r="BQ73"/>
  <c r="BP73"/>
  <c r="BO73"/>
  <c r="BN73"/>
  <c r="BM73"/>
  <c r="BL73"/>
  <c r="BK73"/>
  <c r="BJ73"/>
  <c r="BI73"/>
  <c r="BH73"/>
  <c r="BG73"/>
  <c r="BF73"/>
  <c r="BE73"/>
  <c r="BD73"/>
  <c r="BC73"/>
  <c r="BB73"/>
  <c r="BA73"/>
  <c r="AZ73"/>
  <c r="AY73"/>
  <c r="AX73"/>
  <c r="AW73"/>
  <c r="AV73"/>
  <c r="AC73"/>
  <c r="H73"/>
  <c r="G73"/>
  <c r="E73"/>
  <c r="BT72"/>
  <c r="BS72"/>
  <c r="BR72"/>
  <c r="BQ72"/>
  <c r="BP72"/>
  <c r="BO72"/>
  <c r="BN72"/>
  <c r="BM72"/>
  <c r="BL72"/>
  <c r="BK72"/>
  <c r="BJ72"/>
  <c r="BI72"/>
  <c r="BH72"/>
  <c r="BG72"/>
  <c r="BF72"/>
  <c r="BE72"/>
  <c r="BD72"/>
  <c r="BC72"/>
  <c r="BB72"/>
  <c r="BA72"/>
  <c r="AZ72"/>
  <c r="AY72"/>
  <c r="AX72"/>
  <c r="AW72"/>
  <c r="AV72"/>
  <c r="AC72"/>
  <c r="H72"/>
  <c r="G72"/>
  <c r="E72"/>
  <c r="BT71"/>
  <c r="BS71"/>
  <c r="BR71"/>
  <c r="BQ71"/>
  <c r="BP71"/>
  <c r="BO71"/>
  <c r="BN71"/>
  <c r="BM71"/>
  <c r="BL71"/>
  <c r="BK71"/>
  <c r="BJ71"/>
  <c r="BI71"/>
  <c r="BH71"/>
  <c r="BG71"/>
  <c r="BF71"/>
  <c r="BE71"/>
  <c r="BD71"/>
  <c r="BC71"/>
  <c r="BB71"/>
  <c r="BA71"/>
  <c r="AZ71"/>
  <c r="AY71"/>
  <c r="AX71"/>
  <c r="AW71"/>
  <c r="AV71"/>
  <c r="AC71"/>
  <c r="H71"/>
  <c r="G71"/>
  <c r="E71"/>
  <c r="BT70"/>
  <c r="BS70"/>
  <c r="BR70"/>
  <c r="BQ70"/>
  <c r="BP70"/>
  <c r="BO70"/>
  <c r="BN70"/>
  <c r="BM70"/>
  <c r="BL70"/>
  <c r="BK70"/>
  <c r="BJ70"/>
  <c r="BI70"/>
  <c r="BH70"/>
  <c r="BG70"/>
  <c r="BF70"/>
  <c r="BE70"/>
  <c r="BD70"/>
  <c r="BC70"/>
  <c r="BB70"/>
  <c r="BA70"/>
  <c r="AZ70"/>
  <c r="AY70"/>
  <c r="AX70"/>
  <c r="AW70"/>
  <c r="AV70"/>
  <c r="AC70"/>
  <c r="H70"/>
  <c r="G70"/>
  <c r="E70"/>
  <c r="BT69"/>
  <c r="BS69"/>
  <c r="BR69"/>
  <c r="BQ69"/>
  <c r="BP69"/>
  <c r="BO69"/>
  <c r="BN69"/>
  <c r="BM69"/>
  <c r="BL69"/>
  <c r="BK69"/>
  <c r="BJ69"/>
  <c r="BI69"/>
  <c r="BH69"/>
  <c r="BG69"/>
  <c r="BF69"/>
  <c r="BE69"/>
  <c r="BD69"/>
  <c r="BC69"/>
  <c r="BB69"/>
  <c r="BA69"/>
  <c r="AZ69"/>
  <c r="AY69"/>
  <c r="AX69"/>
  <c r="AW69"/>
  <c r="AV69"/>
  <c r="AC69"/>
  <c r="H69"/>
  <c r="G69"/>
  <c r="E69"/>
  <c r="BT68"/>
  <c r="BS68"/>
  <c r="BR68"/>
  <c r="BQ68"/>
  <c r="BP68"/>
  <c r="BO68"/>
  <c r="BN68"/>
  <c r="BM68"/>
  <c r="BL68"/>
  <c r="BK68"/>
  <c r="BJ68"/>
  <c r="BI68"/>
  <c r="BH68"/>
  <c r="BG68"/>
  <c r="BF68"/>
  <c r="BE68"/>
  <c r="BD68"/>
  <c r="BC68"/>
  <c r="BB68"/>
  <c r="BA68"/>
  <c r="AZ68"/>
  <c r="AY68"/>
  <c r="AX68"/>
  <c r="AW68"/>
  <c r="AV68"/>
  <c r="AC68"/>
  <c r="H68"/>
  <c r="G68"/>
  <c r="E68"/>
  <c r="BT67"/>
  <c r="BS67"/>
  <c r="BR67"/>
  <c r="BQ67"/>
  <c r="BP67"/>
  <c r="BO67"/>
  <c r="BN67"/>
  <c r="BM67"/>
  <c r="BL67"/>
  <c r="BK67"/>
  <c r="BJ67"/>
  <c r="BI67"/>
  <c r="BH67"/>
  <c r="BG67"/>
  <c r="BF67"/>
  <c r="BE67"/>
  <c r="BD67"/>
  <c r="BC67"/>
  <c r="BB67"/>
  <c r="BA67"/>
  <c r="AZ67"/>
  <c r="AY67"/>
  <c r="AX67"/>
  <c r="AW67"/>
  <c r="AV67"/>
  <c r="AC67"/>
  <c r="H67"/>
  <c r="G67"/>
  <c r="E67"/>
  <c r="BT66"/>
  <c r="BS66"/>
  <c r="BR66"/>
  <c r="BQ66"/>
  <c r="BP66"/>
  <c r="BO66"/>
  <c r="BN66"/>
  <c r="BM66"/>
  <c r="BL66"/>
  <c r="BK66"/>
  <c r="BJ66"/>
  <c r="BI66"/>
  <c r="BH66"/>
  <c r="BG66"/>
  <c r="BF66"/>
  <c r="BE66"/>
  <c r="BD66"/>
  <c r="BC66"/>
  <c r="BB66"/>
  <c r="BA66"/>
  <c r="AZ66"/>
  <c r="AY66"/>
  <c r="AX66"/>
  <c r="AW66"/>
  <c r="AV66"/>
  <c r="AC66"/>
  <c r="H66"/>
  <c r="G66"/>
  <c r="E66"/>
  <c r="BT65"/>
  <c r="BS65"/>
  <c r="BR65"/>
  <c r="BQ65"/>
  <c r="BP65"/>
  <c r="BO65"/>
  <c r="BN65"/>
  <c r="BM65"/>
  <c r="BL65"/>
  <c r="BK65"/>
  <c r="BJ65"/>
  <c r="BI65"/>
  <c r="BH65"/>
  <c r="BG65"/>
  <c r="BF65"/>
  <c r="BE65"/>
  <c r="BD65"/>
  <c r="BC65"/>
  <c r="BB65"/>
  <c r="BA65"/>
  <c r="AZ65"/>
  <c r="AY65"/>
  <c r="AX65"/>
  <c r="AW65"/>
  <c r="AV65"/>
  <c r="AC65"/>
  <c r="H65"/>
  <c r="G65"/>
  <c r="E65"/>
  <c r="BT64"/>
  <c r="BS64"/>
  <c r="BR64"/>
  <c r="BQ64"/>
  <c r="BP64"/>
  <c r="BO64"/>
  <c r="BN64"/>
  <c r="BM64"/>
  <c r="BL64"/>
  <c r="BK64"/>
  <c r="BJ64"/>
  <c r="BI64"/>
  <c r="BH64"/>
  <c r="BG64"/>
  <c r="BF64"/>
  <c r="BE64"/>
  <c r="BD64"/>
  <c r="BC64"/>
  <c r="BB64"/>
  <c r="BA64"/>
  <c r="AZ64"/>
  <c r="AY64"/>
  <c r="AX64"/>
  <c r="AW64"/>
  <c r="AV64"/>
  <c r="AC64"/>
  <c r="H64"/>
  <c r="G64"/>
  <c r="E64"/>
  <c r="BT63"/>
  <c r="BS63"/>
  <c r="BR63"/>
  <c r="BQ63"/>
  <c r="BP63"/>
  <c r="BO63"/>
  <c r="BN63"/>
  <c r="BM63"/>
  <c r="BL63"/>
  <c r="BK63"/>
  <c r="BJ63"/>
  <c r="BI63"/>
  <c r="BH63"/>
  <c r="BG63"/>
  <c r="BF63"/>
  <c r="BE63"/>
  <c r="BD63"/>
  <c r="BC63"/>
  <c r="BB63"/>
  <c r="BA63"/>
  <c r="AZ63"/>
  <c r="AY63"/>
  <c r="AX63"/>
  <c r="AW63"/>
  <c r="AV63"/>
  <c r="AC63"/>
  <c r="H63"/>
  <c r="G63"/>
  <c r="E63"/>
  <c r="BT62"/>
  <c r="BS62"/>
  <c r="BR62"/>
  <c r="BQ62"/>
  <c r="BP62"/>
  <c r="BO62"/>
  <c r="BN62"/>
  <c r="BM62"/>
  <c r="BL62"/>
  <c r="BK62"/>
  <c r="BJ62"/>
  <c r="BI62"/>
  <c r="BH62"/>
  <c r="BG62"/>
  <c r="BF62"/>
  <c r="BE62"/>
  <c r="BD62"/>
  <c r="BC62"/>
  <c r="BB62"/>
  <c r="BA62"/>
  <c r="AZ62"/>
  <c r="AY62"/>
  <c r="AX62"/>
  <c r="AW62"/>
  <c r="AV62"/>
  <c r="AC62"/>
  <c r="H62"/>
  <c r="G62"/>
  <c r="E62"/>
  <c r="BT61"/>
  <c r="BS61"/>
  <c r="BR61"/>
  <c r="BQ61"/>
  <c r="BP61"/>
  <c r="BO61"/>
  <c r="BN61"/>
  <c r="BM61"/>
  <c r="BL61"/>
  <c r="BK61"/>
  <c r="BJ61"/>
  <c r="BI61"/>
  <c r="BH61"/>
  <c r="BG61"/>
  <c r="BF61"/>
  <c r="BE61"/>
  <c r="BD61"/>
  <c r="BC61"/>
  <c r="BB61"/>
  <c r="BA61"/>
  <c r="AZ61"/>
  <c r="AY61"/>
  <c r="AX61"/>
  <c r="AW61"/>
  <c r="AV61"/>
  <c r="AC61"/>
  <c r="H61"/>
  <c r="G61"/>
  <c r="E61"/>
  <c r="BT60"/>
  <c r="BS60"/>
  <c r="BR60"/>
  <c r="BQ60"/>
  <c r="BP60"/>
  <c r="BO60"/>
  <c r="BN60"/>
  <c r="BM60"/>
  <c r="BL60"/>
  <c r="BK60"/>
  <c r="BJ60"/>
  <c r="BI60"/>
  <c r="BH60"/>
  <c r="BG60"/>
  <c r="BF60"/>
  <c r="BE60"/>
  <c r="BD60"/>
  <c r="BC60"/>
  <c r="BB60"/>
  <c r="BA60"/>
  <c r="AZ60"/>
  <c r="AY60"/>
  <c r="AX60"/>
  <c r="AW60"/>
  <c r="AV60"/>
  <c r="AC60"/>
  <c r="H60"/>
  <c r="G60"/>
  <c r="E60"/>
  <c r="BT59"/>
  <c r="BS59"/>
  <c r="BR59"/>
  <c r="BQ59"/>
  <c r="BP59"/>
  <c r="BO59"/>
  <c r="BN59"/>
  <c r="BM59"/>
  <c r="BL59"/>
  <c r="BK59"/>
  <c r="BJ59"/>
  <c r="BI59"/>
  <c r="BH59"/>
  <c r="BG59"/>
  <c r="BF59"/>
  <c r="BE59"/>
  <c r="BD59"/>
  <c r="BC59"/>
  <c r="BB59"/>
  <c r="BA59"/>
  <c r="AZ59"/>
  <c r="AY59"/>
  <c r="AX59"/>
  <c r="AW59"/>
  <c r="AV59"/>
  <c r="AC59"/>
  <c r="H59"/>
  <c r="G59"/>
  <c r="E59"/>
  <c r="BT58"/>
  <c r="BS58"/>
  <c r="BR58"/>
  <c r="BQ58"/>
  <c r="BP58"/>
  <c r="BO58"/>
  <c r="BN58"/>
  <c r="BM58"/>
  <c r="BL58"/>
  <c r="BK58"/>
  <c r="BJ58"/>
  <c r="BI58"/>
  <c r="BH58"/>
  <c r="BG58"/>
  <c r="BF58"/>
  <c r="BE58"/>
  <c r="BD58"/>
  <c r="BC58"/>
  <c r="BB58"/>
  <c r="BA58"/>
  <c r="AZ58"/>
  <c r="AY58"/>
  <c r="AX58"/>
  <c r="AW58"/>
  <c r="AV58"/>
  <c r="AC58"/>
  <c r="H58"/>
  <c r="G58"/>
  <c r="E58"/>
  <c r="BT57"/>
  <c r="BS57"/>
  <c r="BR57"/>
  <c r="BQ57"/>
  <c r="BP57"/>
  <c r="BO57"/>
  <c r="BN57"/>
  <c r="BM57"/>
  <c r="BL57"/>
  <c r="BK57"/>
  <c r="BJ57"/>
  <c r="BI57"/>
  <c r="BH57"/>
  <c r="BG57"/>
  <c r="BF57"/>
  <c r="BE57"/>
  <c r="BD57"/>
  <c r="BC57"/>
  <c r="BB57"/>
  <c r="BA57"/>
  <c r="AZ57"/>
  <c r="AY57"/>
  <c r="AX57"/>
  <c r="AW57"/>
  <c r="AV57"/>
  <c r="AC57"/>
  <c r="H57"/>
  <c r="G57"/>
  <c r="E57"/>
  <c r="BT56"/>
  <c r="BS56"/>
  <c r="BR56"/>
  <c r="BQ56"/>
  <c r="BP56"/>
  <c r="BO56"/>
  <c r="BN56"/>
  <c r="BM56"/>
  <c r="BL56"/>
  <c r="BK56"/>
  <c r="BJ56"/>
  <c r="BI56"/>
  <c r="BH56"/>
  <c r="BG56"/>
  <c r="BF56"/>
  <c r="BE56"/>
  <c r="BD56"/>
  <c r="BC56"/>
  <c r="BB56"/>
  <c r="BA56"/>
  <c r="AZ56"/>
  <c r="AY56"/>
  <c r="AX56"/>
  <c r="AW56"/>
  <c r="AV56"/>
  <c r="AC56"/>
  <c r="H56"/>
  <c r="G56"/>
  <c r="E56"/>
  <c r="BT55"/>
  <c r="BS55"/>
  <c r="BR55"/>
  <c r="BQ55"/>
  <c r="BP55"/>
  <c r="BO55"/>
  <c r="BN55"/>
  <c r="BM55"/>
  <c r="BL55"/>
  <c r="BK55"/>
  <c r="BJ55"/>
  <c r="BI55"/>
  <c r="BH55"/>
  <c r="BG55"/>
  <c r="BF55"/>
  <c r="BE55"/>
  <c r="BD55"/>
  <c r="BC55"/>
  <c r="BB55"/>
  <c r="BA55"/>
  <c r="AZ55"/>
  <c r="AY55"/>
  <c r="AX55"/>
  <c r="AW55"/>
  <c r="AV55"/>
  <c r="AC55"/>
  <c r="H55"/>
  <c r="G55"/>
  <c r="E55"/>
  <c r="BT54"/>
  <c r="BS54"/>
  <c r="BR54"/>
  <c r="BQ54"/>
  <c r="BP54"/>
  <c r="BO54"/>
  <c r="BN54"/>
  <c r="BM54"/>
  <c r="BL54"/>
  <c r="BK54"/>
  <c r="BJ54"/>
  <c r="BI54"/>
  <c r="BH54"/>
  <c r="BG54"/>
  <c r="BF54"/>
  <c r="BE54"/>
  <c r="BD54"/>
  <c r="BC54"/>
  <c r="BB54"/>
  <c r="BA54"/>
  <c r="AZ54"/>
  <c r="AY54"/>
  <c r="AX54"/>
  <c r="AW54"/>
  <c r="AV54"/>
  <c r="AC54"/>
  <c r="H54"/>
  <c r="G54"/>
  <c r="E54"/>
  <c r="BT53"/>
  <c r="BS53"/>
  <c r="BR53"/>
  <c r="BQ53"/>
  <c r="BP53"/>
  <c r="BO53"/>
  <c r="BN53"/>
  <c r="BM53"/>
  <c r="BL53"/>
  <c r="BK53"/>
  <c r="BJ53"/>
  <c r="BI53"/>
  <c r="BH53"/>
  <c r="BG53"/>
  <c r="BF53"/>
  <c r="BE53"/>
  <c r="BD53"/>
  <c r="BC53"/>
  <c r="BB53"/>
  <c r="BA53"/>
  <c r="AZ53"/>
  <c r="AY53"/>
  <c r="AX53"/>
  <c r="AW53"/>
  <c r="AV53"/>
  <c r="AC53"/>
  <c r="H53"/>
  <c r="G53"/>
  <c r="E53"/>
  <c r="BT52"/>
  <c r="BS52"/>
  <c r="BR52"/>
  <c r="BQ52"/>
  <c r="BP52"/>
  <c r="BO52"/>
  <c r="BN52"/>
  <c r="BM52"/>
  <c r="BL52"/>
  <c r="BK52"/>
  <c r="BJ52"/>
  <c r="BI52"/>
  <c r="BH52"/>
  <c r="BG52"/>
  <c r="BF52"/>
  <c r="BE52"/>
  <c r="BD52"/>
  <c r="BC52"/>
  <c r="BB52"/>
  <c r="BA52"/>
  <c r="AZ52"/>
  <c r="AY52"/>
  <c r="AX52"/>
  <c r="AW52"/>
  <c r="AV52"/>
  <c r="AC52"/>
  <c r="H52"/>
  <c r="G52"/>
  <c r="E52"/>
  <c r="BT51"/>
  <c r="BS51"/>
  <c r="BR51"/>
  <c r="BQ51"/>
  <c r="BP51"/>
  <c r="BO51"/>
  <c r="BN51"/>
  <c r="BM51"/>
  <c r="BL51"/>
  <c r="BK51"/>
  <c r="BJ51"/>
  <c r="BI51"/>
  <c r="BH51"/>
  <c r="BG51"/>
  <c r="BF51"/>
  <c r="BE51"/>
  <c r="BD51"/>
  <c r="BC51"/>
  <c r="BB51"/>
  <c r="BA51"/>
  <c r="AZ51"/>
  <c r="AY51"/>
  <c r="AX51"/>
  <c r="AW51"/>
  <c r="AV51"/>
  <c r="AC51"/>
  <c r="H51"/>
  <c r="G51"/>
  <c r="E51"/>
  <c r="BT50"/>
  <c r="BS50"/>
  <c r="BR50"/>
  <c r="BQ50"/>
  <c r="BP50"/>
  <c r="BO50"/>
  <c r="BN50"/>
  <c r="BM50"/>
  <c r="BL50"/>
  <c r="BK50"/>
  <c r="BJ50"/>
  <c r="BI50"/>
  <c r="BH50"/>
  <c r="BG50"/>
  <c r="BF50"/>
  <c r="BE50"/>
  <c r="BD50"/>
  <c r="BC50"/>
  <c r="BB50"/>
  <c r="BA50"/>
  <c r="AZ50"/>
  <c r="AY50"/>
  <c r="AX50"/>
  <c r="AW50"/>
  <c r="AV50"/>
  <c r="AC50"/>
  <c r="H50"/>
  <c r="G50"/>
  <c r="E50"/>
  <c r="BT49"/>
  <c r="BS49"/>
  <c r="BR49"/>
  <c r="BQ49"/>
  <c r="BP49"/>
  <c r="BO49"/>
  <c r="BN49"/>
  <c r="BM49"/>
  <c r="BL49"/>
  <c r="BK49"/>
  <c r="BJ49"/>
  <c r="BI49"/>
  <c r="BH49"/>
  <c r="BG49"/>
  <c r="BF49"/>
  <c r="BE49"/>
  <c r="BD49"/>
  <c r="BC49"/>
  <c r="BB49"/>
  <c r="BA49"/>
  <c r="AZ49"/>
  <c r="AY49"/>
  <c r="AX49"/>
  <c r="AW49"/>
  <c r="AV49"/>
  <c r="AC49"/>
  <c r="H49"/>
  <c r="G49"/>
  <c r="E49"/>
  <c r="BT48"/>
  <c r="BS48"/>
  <c r="BR48"/>
  <c r="BQ48"/>
  <c r="BP48"/>
  <c r="BO48"/>
  <c r="BN48"/>
  <c r="BM48"/>
  <c r="BL48"/>
  <c r="BK48"/>
  <c r="BJ48"/>
  <c r="BI48"/>
  <c r="BH48"/>
  <c r="BG48"/>
  <c r="BF48"/>
  <c r="BE48"/>
  <c r="BD48"/>
  <c r="BC48"/>
  <c r="BB48"/>
  <c r="BA48"/>
  <c r="AZ48"/>
  <c r="AY48"/>
  <c r="AX48"/>
  <c r="AW48"/>
  <c r="AV48"/>
  <c r="AC48"/>
  <c r="H48"/>
  <c r="G48"/>
  <c r="E48"/>
  <c r="BT47"/>
  <c r="BS47"/>
  <c r="BR47"/>
  <c r="BQ47"/>
  <c r="BP47"/>
  <c r="BO47"/>
  <c r="BN47"/>
  <c r="BM47"/>
  <c r="BL47"/>
  <c r="BK47"/>
  <c r="BJ47"/>
  <c r="BI47"/>
  <c r="BH47"/>
  <c r="BG47"/>
  <c r="BF47"/>
  <c r="BE47"/>
  <c r="BD47"/>
  <c r="BC47"/>
  <c r="BB47"/>
  <c r="BA47"/>
  <c r="AZ47"/>
  <c r="AY47"/>
  <c r="AX47"/>
  <c r="AW47"/>
  <c r="AV47"/>
  <c r="AC47"/>
  <c r="H47"/>
  <c r="G47"/>
  <c r="E47"/>
  <c r="BT46"/>
  <c r="BS46"/>
  <c r="BR46"/>
  <c r="BQ46"/>
  <c r="BP46"/>
  <c r="BO46"/>
  <c r="BN46"/>
  <c r="BM46"/>
  <c r="BL46"/>
  <c r="BK46"/>
  <c r="BJ46"/>
  <c r="BI46"/>
  <c r="BH46"/>
  <c r="BG46"/>
  <c r="BF46"/>
  <c r="BE46"/>
  <c r="BD46"/>
  <c r="BC46"/>
  <c r="BB46"/>
  <c r="BA46"/>
  <c r="AZ46"/>
  <c r="AY46"/>
  <c r="AX46"/>
  <c r="AW46"/>
  <c r="AV46"/>
  <c r="AC46"/>
  <c r="H46"/>
  <c r="G46"/>
  <c r="E46"/>
  <c r="BT45"/>
  <c r="BS45"/>
  <c r="BR45"/>
  <c r="BQ45"/>
  <c r="BP45"/>
  <c r="BO45"/>
  <c r="BN45"/>
  <c r="BM45"/>
  <c r="BL45"/>
  <c r="BK45"/>
  <c r="BJ45"/>
  <c r="BI45"/>
  <c r="BH45"/>
  <c r="BG45"/>
  <c r="BF45"/>
  <c r="BE45"/>
  <c r="BD45"/>
  <c r="BC45"/>
  <c r="BB45"/>
  <c r="BA45"/>
  <c r="AZ45"/>
  <c r="AY45"/>
  <c r="AX45"/>
  <c r="AW45"/>
  <c r="AV45"/>
  <c r="AC45"/>
  <c r="H45"/>
  <c r="G45"/>
  <c r="E45"/>
  <c r="BT44"/>
  <c r="BS44"/>
  <c r="BR44"/>
  <c r="BQ44"/>
  <c r="BP44"/>
  <c r="BO44"/>
  <c r="BN44"/>
  <c r="BM44"/>
  <c r="BL44"/>
  <c r="BK44"/>
  <c r="BJ44"/>
  <c r="BI44"/>
  <c r="BH44"/>
  <c r="BG44"/>
  <c r="BF44"/>
  <c r="BE44"/>
  <c r="BD44"/>
  <c r="BC44"/>
  <c r="BB44"/>
  <c r="BA44"/>
  <c r="AZ44"/>
  <c r="AY44"/>
  <c r="AX44"/>
  <c r="AW44"/>
  <c r="AV44"/>
  <c r="AC44"/>
  <c r="H44"/>
  <c r="G44"/>
  <c r="E44"/>
  <c r="BT43"/>
  <c r="BS43"/>
  <c r="BR43"/>
  <c r="BQ43"/>
  <c r="BP43"/>
  <c r="BO43"/>
  <c r="BN43"/>
  <c r="BM43"/>
  <c r="BL43"/>
  <c r="BK43"/>
  <c r="BJ43"/>
  <c r="BI43"/>
  <c r="BH43"/>
  <c r="BG43"/>
  <c r="BF43"/>
  <c r="BE43"/>
  <c r="BD43"/>
  <c r="BC43"/>
  <c r="BB43"/>
  <c r="BA43"/>
  <c r="AZ43"/>
  <c r="AY43"/>
  <c r="AX43"/>
  <c r="AW43"/>
  <c r="AV43"/>
  <c r="AC43"/>
  <c r="H43"/>
  <c r="G43"/>
  <c r="E43"/>
  <c r="BT42"/>
  <c r="BS42"/>
  <c r="BR42"/>
  <c r="BQ42"/>
  <c r="BP42"/>
  <c r="BO42"/>
  <c r="BN42"/>
  <c r="BM42"/>
  <c r="BL42"/>
  <c r="BK42"/>
  <c r="BJ42"/>
  <c r="BI42"/>
  <c r="BH42"/>
  <c r="BG42"/>
  <c r="BF42"/>
  <c r="BE42"/>
  <c r="BD42"/>
  <c r="BC42"/>
  <c r="BB42"/>
  <c r="BA42"/>
  <c r="AZ42"/>
  <c r="AY42"/>
  <c r="AX42"/>
  <c r="AW42"/>
  <c r="AV42"/>
  <c r="AC42"/>
  <c r="H42"/>
  <c r="G42"/>
  <c r="E42"/>
  <c r="BT41"/>
  <c r="BS41"/>
  <c r="BR41"/>
  <c r="BQ41"/>
  <c r="BP41"/>
  <c r="BO41"/>
  <c r="BN41"/>
  <c r="BM41"/>
  <c r="BL41"/>
  <c r="BK41"/>
  <c r="BJ41"/>
  <c r="BI41"/>
  <c r="BH41"/>
  <c r="BG41"/>
  <c r="BF41"/>
  <c r="BE41"/>
  <c r="BD41"/>
  <c r="BC41"/>
  <c r="BB41"/>
  <c r="BA41"/>
  <c r="AZ41"/>
  <c r="AY41"/>
  <c r="AX41"/>
  <c r="AW41"/>
  <c r="AV41"/>
  <c r="AC41"/>
  <c r="H41"/>
  <c r="G41"/>
  <c r="E41"/>
  <c r="BT40"/>
  <c r="BS40"/>
  <c r="BR40"/>
  <c r="BQ40"/>
  <c r="BP40"/>
  <c r="BO40"/>
  <c r="BN40"/>
  <c r="BM40"/>
  <c r="BL40"/>
  <c r="BK40"/>
  <c r="BJ40"/>
  <c r="BI40"/>
  <c r="BH40"/>
  <c r="BG40"/>
  <c r="BF40"/>
  <c r="BE40"/>
  <c r="BD40"/>
  <c r="BC40"/>
  <c r="BB40"/>
  <c r="BA40"/>
  <c r="AZ40"/>
  <c r="AY40"/>
  <c r="AX40"/>
  <c r="AW40"/>
  <c r="AV40"/>
  <c r="AC40"/>
  <c r="H40"/>
  <c r="G40"/>
  <c r="E40"/>
  <c r="BT39"/>
  <c r="BS39"/>
  <c r="BR39"/>
  <c r="BQ39"/>
  <c r="BP39"/>
  <c r="BO39"/>
  <c r="BN39"/>
  <c r="BM39"/>
  <c r="BL39"/>
  <c r="BK39"/>
  <c r="BJ39"/>
  <c r="BI39"/>
  <c r="BH39"/>
  <c r="BG39"/>
  <c r="BF39"/>
  <c r="BE39"/>
  <c r="BD39"/>
  <c r="BC39"/>
  <c r="BB39"/>
  <c r="BA39"/>
  <c r="AZ39"/>
  <c r="AY39"/>
  <c r="AX39"/>
  <c r="AW39"/>
  <c r="AV39"/>
  <c r="AC39"/>
  <c r="H39"/>
  <c r="G39"/>
  <c r="E39"/>
  <c r="BT38"/>
  <c r="BS38"/>
  <c r="BR38"/>
  <c r="BQ38"/>
  <c r="BP38"/>
  <c r="BO38"/>
  <c r="BN38"/>
  <c r="BM38"/>
  <c r="BL38"/>
  <c r="BK38"/>
  <c r="BJ38"/>
  <c r="BI38"/>
  <c r="BH38"/>
  <c r="BG38"/>
  <c r="BF38"/>
  <c r="BE38"/>
  <c r="BD38"/>
  <c r="BC38"/>
  <c r="BB38"/>
  <c r="BA38"/>
  <c r="AZ38"/>
  <c r="AY38"/>
  <c r="AX38"/>
  <c r="AW38"/>
  <c r="AV38"/>
  <c r="AC38"/>
  <c r="H38"/>
  <c r="G38"/>
  <c r="E38"/>
  <c r="BT37"/>
  <c r="BS37"/>
  <c r="BR37"/>
  <c r="BQ37"/>
  <c r="BP37"/>
  <c r="BO37"/>
  <c r="BN37"/>
  <c r="BM37"/>
  <c r="BL37"/>
  <c r="BK37"/>
  <c r="BJ37"/>
  <c r="BI37"/>
  <c r="BH37"/>
  <c r="BG37"/>
  <c r="BF37"/>
  <c r="BE37"/>
  <c r="BD37"/>
  <c r="BC37"/>
  <c r="BB37"/>
  <c r="BA37"/>
  <c r="AZ37"/>
  <c r="AY37"/>
  <c r="AX37"/>
  <c r="AW37"/>
  <c r="AV37"/>
  <c r="AC37"/>
  <c r="H37"/>
  <c r="G37"/>
  <c r="E37"/>
  <c r="BT36"/>
  <c r="BS36"/>
  <c r="BR36"/>
  <c r="BQ36"/>
  <c r="BP36"/>
  <c r="BO36"/>
  <c r="BN36"/>
  <c r="BM36"/>
  <c r="BL36"/>
  <c r="BK36"/>
  <c r="BJ36"/>
  <c r="BI36"/>
  <c r="BH36"/>
  <c r="BG36"/>
  <c r="BF36"/>
  <c r="BE36"/>
  <c r="BD36"/>
  <c r="BC36"/>
  <c r="BB36"/>
  <c r="BA36"/>
  <c r="AZ36"/>
  <c r="AY36"/>
  <c r="AX36"/>
  <c r="AW36"/>
  <c r="AV36"/>
  <c r="AC36"/>
  <c r="H36"/>
  <c r="G36"/>
  <c r="E36"/>
  <c r="BT35"/>
  <c r="BS35"/>
  <c r="BR35"/>
  <c r="BQ35"/>
  <c r="BP35"/>
  <c r="BO35"/>
  <c r="BN35"/>
  <c r="BM35"/>
  <c r="BL35"/>
  <c r="BK35"/>
  <c r="BJ35"/>
  <c r="BI35"/>
  <c r="BH35"/>
  <c r="BG35"/>
  <c r="BF35"/>
  <c r="BE35"/>
  <c r="BD35"/>
  <c r="BC35"/>
  <c r="BB35"/>
  <c r="BA35"/>
  <c r="AZ35"/>
  <c r="AY35"/>
  <c r="AX35"/>
  <c r="AW35"/>
  <c r="AV35"/>
  <c r="AC35"/>
  <c r="H35"/>
  <c r="G35"/>
  <c r="E35"/>
  <c r="BT34"/>
  <c r="BS34"/>
  <c r="BR34"/>
  <c r="BQ34"/>
  <c r="BP34"/>
  <c r="BO34"/>
  <c r="BN34"/>
  <c r="BM34"/>
  <c r="BL34"/>
  <c r="BK34"/>
  <c r="BJ34"/>
  <c r="BI34"/>
  <c r="BH34"/>
  <c r="BG34"/>
  <c r="BF34"/>
  <c r="BE34"/>
  <c r="BD34"/>
  <c r="BC34"/>
  <c r="BB34"/>
  <c r="BA34"/>
  <c r="AZ34"/>
  <c r="AY34"/>
  <c r="AX34"/>
  <c r="AW34"/>
  <c r="AV34"/>
  <c r="AC34"/>
  <c r="H34"/>
  <c r="G34"/>
  <c r="E34"/>
  <c r="BT33"/>
  <c r="BS33"/>
  <c r="BR33"/>
  <c r="BQ33"/>
  <c r="BP33"/>
  <c r="BO33"/>
  <c r="BN33"/>
  <c r="BM33"/>
  <c r="BL33"/>
  <c r="BK33"/>
  <c r="BJ33"/>
  <c r="BI33"/>
  <c r="BH33"/>
  <c r="BG33"/>
  <c r="BF33"/>
  <c r="BE33"/>
  <c r="BD33"/>
  <c r="BC33"/>
  <c r="BB33"/>
  <c r="BA33"/>
  <c r="AZ33"/>
  <c r="AY33"/>
  <c r="AX33"/>
  <c r="AW33"/>
  <c r="AV33"/>
  <c r="AC33"/>
  <c r="H33"/>
  <c r="G33"/>
  <c r="E33"/>
  <c r="BT32"/>
  <c r="BS32"/>
  <c r="BR32"/>
  <c r="BQ32"/>
  <c r="BP32"/>
  <c r="BO32"/>
  <c r="BN32"/>
  <c r="BM32"/>
  <c r="BL32"/>
  <c r="BK32"/>
  <c r="BJ32"/>
  <c r="BI32"/>
  <c r="BH32"/>
  <c r="BG32"/>
  <c r="BF32"/>
  <c r="BE32"/>
  <c r="BD32"/>
  <c r="BC32"/>
  <c r="BB32"/>
  <c r="BA32"/>
  <c r="AZ32"/>
  <c r="AY32"/>
  <c r="AX32"/>
  <c r="AW32"/>
  <c r="AV32"/>
  <c r="AC32"/>
  <c r="H32"/>
  <c r="G32"/>
  <c r="E32"/>
  <c r="BT31"/>
  <c r="BS31"/>
  <c r="BR31"/>
  <c r="BQ31"/>
  <c r="BP31"/>
  <c r="BO31"/>
  <c r="BN31"/>
  <c r="BM31"/>
  <c r="BL31"/>
  <c r="BK31"/>
  <c r="BJ31"/>
  <c r="BI31"/>
  <c r="BH31"/>
  <c r="BG31"/>
  <c r="BF31"/>
  <c r="BE31"/>
  <c r="BD31"/>
  <c r="BC31"/>
  <c r="BB31"/>
  <c r="BA31"/>
  <c r="AZ31"/>
  <c r="AY31"/>
  <c r="AX31"/>
  <c r="AW31"/>
  <c r="AV31"/>
  <c r="AC31"/>
  <c r="H31"/>
  <c r="G31"/>
  <c r="E31"/>
  <c r="BT30"/>
  <c r="BS30"/>
  <c r="BR30"/>
  <c r="BQ30"/>
  <c r="BP30"/>
  <c r="BO30"/>
  <c r="BN30"/>
  <c r="BM30"/>
  <c r="BL30"/>
  <c r="BK30"/>
  <c r="BJ30"/>
  <c r="BI30"/>
  <c r="BH30"/>
  <c r="BG30"/>
  <c r="BF30"/>
  <c r="BE30"/>
  <c r="BD30"/>
  <c r="BC30"/>
  <c r="BB30"/>
  <c r="BA30"/>
  <c r="AZ30"/>
  <c r="AY30"/>
  <c r="AX30"/>
  <c r="AW30"/>
  <c r="AV30"/>
  <c r="AC30"/>
  <c r="H30"/>
  <c r="G30"/>
  <c r="E30"/>
  <c r="BT29"/>
  <c r="BS29"/>
  <c r="BR29"/>
  <c r="BQ29"/>
  <c r="BP29"/>
  <c r="BO29"/>
  <c r="BN29"/>
  <c r="BM29"/>
  <c r="BL29"/>
  <c r="BK29"/>
  <c r="BJ29"/>
  <c r="BI29"/>
  <c r="BH29"/>
  <c r="BG29"/>
  <c r="BF29"/>
  <c r="BE29"/>
  <c r="BD29"/>
  <c r="BC29"/>
  <c r="BB29"/>
  <c r="BA29"/>
  <c r="AZ29"/>
  <c r="AY29"/>
  <c r="AX29"/>
  <c r="AW29"/>
  <c r="AV29"/>
  <c r="AC29"/>
  <c r="H29"/>
  <c r="G29"/>
  <c r="E29"/>
  <c r="BT28"/>
  <c r="BS28"/>
  <c r="BR28"/>
  <c r="BQ28"/>
  <c r="BP28"/>
  <c r="BO28"/>
  <c r="BN28"/>
  <c r="BM28"/>
  <c r="BL28"/>
  <c r="BK28"/>
  <c r="BJ28"/>
  <c r="BI28"/>
  <c r="BH28"/>
  <c r="BG28"/>
  <c r="BF28"/>
  <c r="BE28"/>
  <c r="BD28"/>
  <c r="BC28"/>
  <c r="BB28"/>
  <c r="BA28"/>
  <c r="AZ28"/>
  <c r="AY28"/>
  <c r="AX28"/>
  <c r="AW28"/>
  <c r="AV28"/>
  <c r="AC28"/>
  <c r="H28"/>
  <c r="G28"/>
  <c r="E28"/>
  <c r="BT27"/>
  <c r="BS27"/>
  <c r="BR27"/>
  <c r="BQ27"/>
  <c r="BP27"/>
  <c r="BO27"/>
  <c r="BN27"/>
  <c r="BM27"/>
  <c r="BL27"/>
  <c r="BK27"/>
  <c r="BJ27"/>
  <c r="BI27"/>
  <c r="BH27"/>
  <c r="BG27"/>
  <c r="BF27"/>
  <c r="BE27"/>
  <c r="BD27"/>
  <c r="BC27"/>
  <c r="BB27"/>
  <c r="BA27"/>
  <c r="AZ27"/>
  <c r="AY27"/>
  <c r="AX27"/>
  <c r="AW27"/>
  <c r="AV27"/>
  <c r="AC27"/>
  <c r="H27"/>
  <c r="G27"/>
  <c r="E27"/>
  <c r="BT26"/>
  <c r="BS26"/>
  <c r="BR26"/>
  <c r="BQ26"/>
  <c r="BP26"/>
  <c r="BO26"/>
  <c r="BN26"/>
  <c r="BM26"/>
  <c r="BL26"/>
  <c r="BK26"/>
  <c r="BJ26"/>
  <c r="BI26"/>
  <c r="BH26"/>
  <c r="BG26"/>
  <c r="BF26"/>
  <c r="BE26"/>
  <c r="BD26"/>
  <c r="BC26"/>
  <c r="BB26"/>
  <c r="BA26"/>
  <c r="AZ26"/>
  <c r="AY26"/>
  <c r="AX26"/>
  <c r="AW26"/>
  <c r="AV26"/>
  <c r="AC26"/>
  <c r="H26"/>
  <c r="G26"/>
  <c r="E26"/>
  <c r="BT25"/>
  <c r="BS25"/>
  <c r="BR25"/>
  <c r="BQ25"/>
  <c r="BP25"/>
  <c r="BO25"/>
  <c r="BN25"/>
  <c r="BM25"/>
  <c r="BL25"/>
  <c r="BK25"/>
  <c r="BJ25"/>
  <c r="BI25"/>
  <c r="BH25"/>
  <c r="BG25"/>
  <c r="BF25"/>
  <c r="BE25"/>
  <c r="BD25"/>
  <c r="BC25"/>
  <c r="BB25"/>
  <c r="BA25"/>
  <c r="AZ25"/>
  <c r="AY25"/>
  <c r="AX25"/>
  <c r="AW25"/>
  <c r="AV25"/>
  <c r="AC25"/>
  <c r="H25"/>
  <c r="G25"/>
  <c r="E25"/>
  <c r="BT24"/>
  <c r="BS24"/>
  <c r="BR24"/>
  <c r="BQ24"/>
  <c r="BP24"/>
  <c r="BO24"/>
  <c r="BN24"/>
  <c r="BM24"/>
  <c r="BL24"/>
  <c r="BK24"/>
  <c r="BJ24"/>
  <c r="BI24"/>
  <c r="BH24"/>
  <c r="BG24"/>
  <c r="BF24"/>
  <c r="BE24"/>
  <c r="BD24"/>
  <c r="BC24"/>
  <c r="BB24"/>
  <c r="BA24"/>
  <c r="AZ24"/>
  <c r="AY24"/>
  <c r="AX24"/>
  <c r="AW24"/>
  <c r="AV24"/>
  <c r="AC24"/>
  <c r="H24"/>
  <c r="G24"/>
  <c r="E24"/>
  <c r="BT23"/>
  <c r="BS23"/>
  <c r="BR23"/>
  <c r="BQ23"/>
  <c r="BP23"/>
  <c r="BO23"/>
  <c r="BN23"/>
  <c r="BM23"/>
  <c r="BL23"/>
  <c r="BK23"/>
  <c r="BJ23"/>
  <c r="BI23"/>
  <c r="BH23"/>
  <c r="BG23"/>
  <c r="BF23"/>
  <c r="BE23"/>
  <c r="BD23"/>
  <c r="BC23"/>
  <c r="BB23"/>
  <c r="BA23"/>
  <c r="AZ23"/>
  <c r="AY23"/>
  <c r="AX23"/>
  <c r="AW23"/>
  <c r="AV23"/>
  <c r="AC23"/>
  <c r="H23"/>
  <c r="G23"/>
  <c r="E23"/>
  <c r="BT22"/>
  <c r="BS22"/>
  <c r="BR22"/>
  <c r="BQ22"/>
  <c r="BP22"/>
  <c r="BO22"/>
  <c r="BN22"/>
  <c r="BM22"/>
  <c r="BL22"/>
  <c r="BK22"/>
  <c r="BJ22"/>
  <c r="BI22"/>
  <c r="BH22"/>
  <c r="BG22"/>
  <c r="BF22"/>
  <c r="BE22"/>
  <c r="BD22"/>
  <c r="BC22"/>
  <c r="BB22"/>
  <c r="BA22"/>
  <c r="AZ22"/>
  <c r="AY22"/>
  <c r="AX22"/>
  <c r="AW22"/>
  <c r="AV22"/>
  <c r="AC22"/>
  <c r="H22"/>
  <c r="G22"/>
  <c r="E22"/>
  <c r="BT21"/>
  <c r="BS21"/>
  <c r="BR21"/>
  <c r="BQ21"/>
  <c r="BP21"/>
  <c r="BO21"/>
  <c r="BN21"/>
  <c r="BM21"/>
  <c r="BL21"/>
  <c r="BK21"/>
  <c r="BJ21"/>
  <c r="BI21"/>
  <c r="BH21"/>
  <c r="BG21"/>
  <c r="BF21"/>
  <c r="BE21"/>
  <c r="BD21"/>
  <c r="BC21"/>
  <c r="BB21"/>
  <c r="BA21"/>
  <c r="AZ21"/>
  <c r="AY21"/>
  <c r="AX21"/>
  <c r="AW21"/>
  <c r="AV21"/>
  <c r="AC21"/>
  <c r="H21"/>
  <c r="G21"/>
  <c r="E21"/>
  <c r="BT20"/>
  <c r="BS20"/>
  <c r="BR20"/>
  <c r="BQ20"/>
  <c r="BP20"/>
  <c r="BO20"/>
  <c r="BN20"/>
  <c r="BM20"/>
  <c r="BL20"/>
  <c r="BK20"/>
  <c r="BJ20"/>
  <c r="BI20"/>
  <c r="BH20"/>
  <c r="BG20"/>
  <c r="BF20"/>
  <c r="BE20"/>
  <c r="BD20"/>
  <c r="BC20"/>
  <c r="BB20"/>
  <c r="BA20"/>
  <c r="AZ20"/>
  <c r="AY20"/>
  <c r="AX20"/>
  <c r="AW20"/>
  <c r="AV20"/>
  <c r="AC20"/>
  <c r="H20"/>
  <c r="G20"/>
  <c r="E20"/>
  <c r="BT19"/>
  <c r="BS19"/>
  <c r="BR19"/>
  <c r="BQ19"/>
  <c r="BP19"/>
  <c r="BO19"/>
  <c r="BN19"/>
  <c r="BM19"/>
  <c r="BL19"/>
  <c r="BK19"/>
  <c r="BJ19"/>
  <c r="BI19"/>
  <c r="BH19"/>
  <c r="BG19"/>
  <c r="BF19"/>
  <c r="BE19"/>
  <c r="BD19"/>
  <c r="BC19"/>
  <c r="BB19"/>
  <c r="BA19"/>
  <c r="AZ19"/>
  <c r="AY19"/>
  <c r="AX19"/>
  <c r="AW19"/>
  <c r="AV19"/>
  <c r="AC19"/>
  <c r="H19"/>
  <c r="G19"/>
  <c r="E19"/>
  <c r="BT18"/>
  <c r="BS18"/>
  <c r="BR18"/>
  <c r="BQ18"/>
  <c r="BP18"/>
  <c r="BO18"/>
  <c r="BN18"/>
  <c r="BM18"/>
  <c r="BL18"/>
  <c r="BK18"/>
  <c r="BJ18"/>
  <c r="BI18"/>
  <c r="BH18"/>
  <c r="BG18"/>
  <c r="BF18"/>
  <c r="BE18"/>
  <c r="BD18"/>
  <c r="BC18"/>
  <c r="BB18"/>
  <c r="BA18"/>
  <c r="AZ18"/>
  <c r="AY18"/>
  <c r="AX18"/>
  <c r="AW18"/>
  <c r="AV18"/>
  <c r="AC18"/>
  <c r="H18"/>
  <c r="G18"/>
  <c r="E18"/>
  <c r="BT17"/>
  <c r="BS17"/>
  <c r="BR17"/>
  <c r="BQ17"/>
  <c r="BP17"/>
  <c r="BO17"/>
  <c r="BN17"/>
  <c r="BM17"/>
  <c r="BL17"/>
  <c r="BK17"/>
  <c r="BJ17"/>
  <c r="BI17"/>
  <c r="BH17"/>
  <c r="BG17"/>
  <c r="BF17"/>
  <c r="BE17"/>
  <c r="BD17"/>
  <c r="BC17"/>
  <c r="BB17"/>
  <c r="BA17"/>
  <c r="AZ17"/>
  <c r="AY17"/>
  <c r="AX17"/>
  <c r="AW17"/>
  <c r="AV17"/>
  <c r="AC17"/>
  <c r="H17"/>
  <c r="G17"/>
  <c r="E17"/>
  <c r="BT16"/>
  <c r="BS16"/>
  <c r="BR16"/>
  <c r="BQ16"/>
  <c r="BP16"/>
  <c r="BO16"/>
  <c r="BN16"/>
  <c r="BM16"/>
  <c r="BL16"/>
  <c r="BK16"/>
  <c r="BJ16"/>
  <c r="BI16"/>
  <c r="BH16"/>
  <c r="BG16"/>
  <c r="BF16"/>
  <c r="BE16"/>
  <c r="BD16"/>
  <c r="BC16"/>
  <c r="BB16"/>
  <c r="BA16"/>
  <c r="AZ16"/>
  <c r="AY16"/>
  <c r="AX16"/>
  <c r="AW16"/>
  <c r="AV16"/>
  <c r="AC16"/>
  <c r="H16"/>
  <c r="G16"/>
  <c r="E16"/>
  <c r="BT15"/>
  <c r="BS15"/>
  <c r="BR15"/>
  <c r="BQ15"/>
  <c r="BP15"/>
  <c r="BO15"/>
  <c r="BN15"/>
  <c r="BM15"/>
  <c r="BL15"/>
  <c r="BK15"/>
  <c r="BJ15"/>
  <c r="BI15"/>
  <c r="BH15"/>
  <c r="BG15"/>
  <c r="BF15"/>
  <c r="BE15"/>
  <c r="BD15"/>
  <c r="BC15"/>
  <c r="BB15"/>
  <c r="BA15"/>
  <c r="AZ15"/>
  <c r="AY15"/>
  <c r="AX15"/>
  <c r="AW15"/>
  <c r="AV15"/>
  <c r="AC15"/>
  <c r="H15"/>
  <c r="G15"/>
  <c r="E15"/>
  <c r="BT14"/>
  <c r="BS14"/>
  <c r="BR14"/>
  <c r="BQ14"/>
  <c r="BP14"/>
  <c r="BO14"/>
  <c r="BN14"/>
  <c r="BM14"/>
  <c r="BL14"/>
  <c r="BK14"/>
  <c r="BJ14"/>
  <c r="BI14"/>
  <c r="BH14"/>
  <c r="BG14"/>
  <c r="BF14"/>
  <c r="BE14"/>
  <c r="BD14"/>
  <c r="BB14"/>
  <c r="AY14"/>
  <c r="AX14"/>
  <c r="AW14"/>
  <c r="AV14"/>
  <c r="AC14"/>
  <c r="E14"/>
  <c r="BT13"/>
  <c r="BS13"/>
  <c r="BR13"/>
  <c r="BQ13"/>
  <c r="BP13"/>
  <c r="BO13"/>
  <c r="BN13"/>
  <c r="BM13"/>
  <c r="BL13"/>
  <c r="BK13"/>
  <c r="BJ13"/>
  <c r="BI13"/>
  <c r="BH13"/>
  <c r="BG13"/>
  <c r="BF13"/>
  <c r="BE13"/>
  <c r="BD13"/>
  <c r="BC13"/>
  <c r="AY13"/>
  <c r="AX13"/>
  <c r="AW13"/>
  <c r="AV13"/>
  <c r="AC13"/>
  <c r="E13"/>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T6"/>
  <c r="BS6"/>
  <c r="BR6"/>
  <c r="BQ6"/>
  <c r="BP6"/>
  <c r="BO6"/>
  <c r="BN6"/>
  <c r="BM6"/>
  <c r="BL6"/>
  <c r="BK6"/>
  <c r="BJ6"/>
  <c r="BI6"/>
  <c r="BH6"/>
  <c r="BG6"/>
  <c r="BF6"/>
  <c r="BE6"/>
  <c r="BD6"/>
  <c r="BC6"/>
  <c r="BB6"/>
  <c r="BA6"/>
  <c r="AT6"/>
  <c r="AS6"/>
  <c r="AR6"/>
  <c r="AQ6"/>
  <c r="AP6"/>
  <c r="AO6"/>
  <c r="AN6"/>
  <c r="AM6"/>
  <c r="AL6"/>
  <c r="AK6"/>
  <c r="AJ6"/>
  <c r="AI6"/>
  <c r="AH6"/>
  <c r="AG6"/>
  <c r="AF6"/>
  <c r="AE6"/>
  <c r="AD6"/>
  <c r="AC6"/>
  <c r="AB6"/>
  <c r="AA6"/>
  <c r="Z6"/>
  <c r="Y6"/>
  <c r="X6"/>
  <c r="W6"/>
  <c r="V6"/>
  <c r="U6"/>
  <c r="T6"/>
  <c r="S6"/>
  <c r="R6"/>
  <c r="Q6"/>
  <c r="P6"/>
  <c r="O6"/>
  <c r="N6"/>
  <c r="M6"/>
  <c r="L6"/>
  <c r="K6"/>
  <c r="J6"/>
  <c r="I6"/>
  <c r="H6"/>
  <c r="E6"/>
  <c r="BT5"/>
  <c r="BS5"/>
  <c r="BR5"/>
  <c r="BQ5"/>
  <c r="BP5"/>
  <c r="BO5"/>
  <c r="BN5"/>
  <c r="BM5"/>
  <c r="BL5"/>
  <c r="BK5"/>
  <c r="BJ5"/>
  <c r="BI5"/>
  <c r="BH5"/>
  <c r="BG5"/>
  <c r="BF5"/>
  <c r="BE5"/>
  <c r="BD5"/>
  <c r="AT5"/>
  <c r="AS5"/>
  <c r="AR5"/>
  <c r="AQ5"/>
  <c r="AP5"/>
  <c r="AO5"/>
  <c r="AN5"/>
  <c r="AM5"/>
  <c r="AL5"/>
  <c r="AK5"/>
  <c r="AJ5"/>
  <c r="AI5"/>
  <c r="AH5"/>
  <c r="AG5"/>
  <c r="AF5"/>
  <c r="AE5"/>
  <c r="AD5"/>
  <c r="AC5"/>
  <c r="AB5"/>
  <c r="AA5"/>
  <c r="Z5"/>
  <c r="Y5"/>
  <c r="X5"/>
  <c r="W5"/>
  <c r="V5"/>
  <c r="U5"/>
  <c r="T5"/>
  <c r="S5"/>
  <c r="R5"/>
  <c r="Q5"/>
  <c r="P5"/>
  <c r="O5"/>
  <c r="N5"/>
  <c r="M5"/>
  <c r="L5"/>
  <c r="J5"/>
  <c r="H5"/>
  <c r="F5"/>
  <c r="K34" i="4"/>
  <c r="T34"/>
  <c r="T35"/>
  <c r="R35"/>
  <c r="Q35"/>
  <c r="P35"/>
  <c r="O35"/>
  <c r="N35"/>
  <c r="M35"/>
  <c r="L35"/>
  <c r="F35"/>
  <c r="C33"/>
  <c r="C32"/>
  <c r="C31"/>
  <c r="L22"/>
  <c r="L21"/>
  <c r="L20"/>
  <c r="F19"/>
  <c r="C18"/>
  <c r="C17"/>
  <c r="I15"/>
  <c r="H15"/>
  <c r="G15"/>
  <c r="F15"/>
  <c r="E15"/>
  <c r="D15"/>
  <c r="K6"/>
  <c r="K5"/>
  <c r="B2" i="49" l="1"/>
  <c r="B13"/>
  <c r="C4" i="4"/>
  <c r="B23" i="49"/>
  <c r="E4" i="4"/>
  <c r="K4"/>
  <c r="I4"/>
  <c r="G4"/>
  <c r="S1"/>
  <c r="B1"/>
  <c r="C53" i="10"/>
  <c r="C51"/>
  <c r="B51"/>
  <c r="E22" i="49"/>
  <c r="B22"/>
  <c r="E21"/>
  <c r="E16"/>
  <c r="B16"/>
  <c r="B14"/>
  <c r="E11"/>
  <c r="B11"/>
  <c r="E10"/>
  <c r="B10"/>
  <c r="E9"/>
  <c r="B9"/>
  <c r="E8"/>
  <c r="B8"/>
  <c r="E7"/>
  <c r="B7"/>
  <c r="E6"/>
  <c r="B6"/>
  <c r="E5"/>
  <c r="B5"/>
  <c r="E4"/>
  <c r="B4"/>
  <c r="A21" i="62"/>
  <c r="A20"/>
  <c r="A19"/>
  <c r="A18"/>
  <c r="A15"/>
  <c r="A14"/>
  <c r="A13"/>
  <c r="A12"/>
  <c r="B5"/>
  <c r="A5"/>
  <c r="B4"/>
  <c r="A4"/>
  <c r="D13" i="52"/>
  <c r="D12"/>
  <c r="A12"/>
  <c r="D11"/>
  <c r="D10"/>
  <c r="A10"/>
  <c r="D9"/>
  <c r="D8"/>
  <c r="A8"/>
  <c r="D7"/>
  <c r="D6"/>
  <c r="A6"/>
  <c r="H5"/>
  <c r="F5"/>
  <c r="D5"/>
  <c r="I4"/>
  <c r="H4"/>
  <c r="G4"/>
  <c r="F4"/>
  <c r="E4"/>
  <c r="D4"/>
  <c r="C4"/>
  <c r="B4"/>
  <c r="A4"/>
  <c r="H2"/>
  <c r="F2"/>
  <c r="D2"/>
  <c r="A1"/>
  <c r="D21" i="53"/>
  <c r="D19"/>
  <c r="D20"/>
  <c r="B19"/>
  <c r="D18"/>
  <c r="D16"/>
  <c r="D17"/>
  <c r="B16"/>
  <c r="D15"/>
  <c r="D13"/>
  <c r="D14"/>
  <c r="B13"/>
  <c r="D12"/>
  <c r="D11"/>
  <c r="D10"/>
  <c r="D8"/>
  <c r="D9"/>
  <c r="B8"/>
  <c r="D7"/>
  <c r="D5"/>
  <c r="D6"/>
  <c r="A3"/>
  <c r="A2"/>
  <c r="A24" i="51"/>
  <c r="A22"/>
  <c r="A21"/>
  <c r="A20"/>
  <c r="A19"/>
  <c r="A18"/>
  <c r="A15"/>
  <c r="A13"/>
  <c r="A10"/>
  <c r="A7"/>
  <c r="A4"/>
  <c r="A3"/>
  <c r="B49" i="48"/>
  <c r="B47"/>
  <c r="B46"/>
  <c r="B40"/>
  <c r="B37"/>
  <c r="B74" i="72"/>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B4"/>
  <c r="B3"/>
  <c r="B2"/>
  <c r="G16" i="1"/>
  <c r="F10" i="39"/>
  <c r="S10"/>
  <c r="H10"/>
  <c r="U10"/>
  <c r="J10"/>
  <c r="W10"/>
  <c r="AA10"/>
  <c r="AB10"/>
  <c r="AC10"/>
  <c r="F10" i="40"/>
  <c r="S10"/>
  <c r="H10"/>
  <c r="U10"/>
  <c r="J10"/>
  <c r="W10"/>
  <c r="AA10"/>
  <c r="AB10"/>
  <c r="AC1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<sst xmlns="http://schemas.openxmlformats.org/spreadsheetml/2006/main" count="10645" uniqueCount="6158">
  <si>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</si>
  <si>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</si>
  <si>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</si>
  <si>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</si>
  <si>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</si>
  <si>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</si>
  <si>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</si>
  <si>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</si>
  <si>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</si>
  <si>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</si>
  <si>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</si>
  <si>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</si>
  <si>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</si>
  <si>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</si>
  <si>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</si>
  <si>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</si>
  <si>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</si>
  <si>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</si>
  <si>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</si>
  <si>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</si>
  <si>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</si>
  <si>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</si>
  <si>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</si>
  <si>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</si>
  <si>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</si>
  <si>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</si>
  <si>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</si>
  <si>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</si>
  <si>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</si>
  <si>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</si>
  <si>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</si>
  <si>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</si>
  <si>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</si>
  <si>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</si>
  <si>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</si>
  <si>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</si>
  <si>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</si>
  <si>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</si>
  <si>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</si>
  <si>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</si>
  <si>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</si>
  <si>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</si>
  <si>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</si>
  <si>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</si>
  <si>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</si>
  <si>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</si>
  <si>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</si>
  <si>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</si>
  <si>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</si>
  <si>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</si>
  <si>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</si>
  <si>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</si>
  <si>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</si>
  <si>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</si>
  <si>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</si>
  <si>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</si>
  <si>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</si>
  <si>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</si>
  <si>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</si>
  <si>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</si>
  <si>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</si>
  <si>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</si>
  <si>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</si>
  <si>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</si>
  <si>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</si>
  <si>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</si>
  <si>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</si>
  <si>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</si>
  <si>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</si>
  <si>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</si>
  <si>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</si>
  <si>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</si>
  <si>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</si>
  <si>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</si>
  <si>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</si>
  <si>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</si>
  <si>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</si>
  <si>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</si>
  <si>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</si>
  <si>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</si>
  <si>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</si>
  <si>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</si>
  <si>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</si>
  <si>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</si>
  <si>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</si>
  <si>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</si>
  <si>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</si>
  <si>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</si>
  <si>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</si>
  <si>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</si>
  <si>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</si>
  <si>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</si>
  <si>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</si>
  <si>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</si>
  <si>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</si>
  <si>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</si>
  <si>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</si>
  <si>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</si>
  <si>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</si>
  <si>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</si>
  <si>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</si>
  <si>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</si>
  <si>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</si>
  <si>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</si>
  <si>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</si>
  <si>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</si>
  <si>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</si>
  <si>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</si>
  <si>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</si>
  <si>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</si>
  <si>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</si>
  <si>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</si>
  <si>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</si>
  <si>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</si>
  <si>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</si>
  <si>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</si>
  <si>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</si>
  <si>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</si>
  <si>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</si>
  <si>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</si>
  <si>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</si>
  <si>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</si>
  <si>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</si>
  <si>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</si>
  <si>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</si>
  <si>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</si>
  <si>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</si>
  <si>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</si>
  <si>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</si>
  <si>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</si>
  <si>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</si>
  <si>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</si>
  <si>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</si>
  <si>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</si>
  <si>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</si>
  <si>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</si>
  <si>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</si>
  <si>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</si>
  <si>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</si>
  <si>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</si>
  <si>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</si>
  <si>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</si>
  <si>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</si>
  <si>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</si>
  <si>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</si>
  <si>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</si>
  <si>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</si>
  <si>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</si>
  <si>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</si>
  <si>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</si>
  <si>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</si>
  <si>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</si>
  <si>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</si>
  <si>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</si>
  <si>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</si>
  <si>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</si>
  <si>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</si>
  <si>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</si>
  <si>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</si>
  <si>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</si>
  <si>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</si>
  <si>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</si>
  <si>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</si>
  <si>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</si>
  <si>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</si>
  <si>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</si>
  <si>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</si>
  <si>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</si>
  <si>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</si>
  <si>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</si>
  <si>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</si>
  <si>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</si>
  <si>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</si>
  <si>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</si>
  <si>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</si>
  <si>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</si>
  <si>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</si>
  <si>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</si>
  <si>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</si>
  <si>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</si>
  <si>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</si>
  <si>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</si>
  <si>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</si>
  <si>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</si>
  <si>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</si>
  <si>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</si>
  <si>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</si>
  <si>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</si>
  <si>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</si>
  <si>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</si>
  <si>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</si>
  <si>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</si>
  <si>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</si>
  <si>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</si>
  <si>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</si>
  <si>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</si>
  <si>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</si>
  <si>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</si>
  <si>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</si>
  <si>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</si>
  <si>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</si>
  <si>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</si>
  <si>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</si>
  <si>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</si>
  <si>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</si>
  <si>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</si>
  <si>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</si>
  <si>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</si>
  <si>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</si>
  <si>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</si>
  <si>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</si>
  <si>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</si>
  <si>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</si>
  <si>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</si>
  <si>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</si>
  <si>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</si>
  <si>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</si>
  <si>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</si>
  <si>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</si>
  <si>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</si>
  <si>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</si>
  <si>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</si>
  <si>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</si>
  <si>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</si>
  <si>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</si>
  <si>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</si>
  <si>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</si>
  <si>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</si>
  <si>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</si>
  <si>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</si>
  <si>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</si>
  <si>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</si>
  <si>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</si>
  <si>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</si>
  <si>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</si>
  <si>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</si>
  <si>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</si>
  <si>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</si>
  <si>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</si>
  <si>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</si>
  <si>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</si>
  <si>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</si>
  <si>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</si>
  <si>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</si>
  <si>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</si>
  <si>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</si>
  <si>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</si>
  <si>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</si>
  <si>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</si>
  <si>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</si>
  <si>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</si>
  <si>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</si>
  <si>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</si>
  <si>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</si>
  <si>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</si>
  <si>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</si>
  <si>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</si>
  <si>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</si>
  <si>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</si>
  <si>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</si>
  <si>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</si>
  <si>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</si>
  <si>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</si>
  <si>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</si>
  <si>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</si>
  <si>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</si>
  <si>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</si>
  <si>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</si>
  <si>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</si>
  <si>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</si>
  <si>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</si>
  <si>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</si>
  <si>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</si>
  <si>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</si>
  <si>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</si>
  <si>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</si>
  <si>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</si>
  <si>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</si>
  <si>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</si>
  <si>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</si>
  <si>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</si>
  <si>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</si>
  <si>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</si>
  <si>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</si>
  <si>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</si>
  <si>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</si>
  <si>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</si>
  <si>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</si>
  <si>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</si>
  <si>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</si>
  <si>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</si>
  <si>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</si>
  <si>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</si>
  <si>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</si>
  <si>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</si>
  <si>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</si>
  <si>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</si>
  <si>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</si>
  <si>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</si>
  <si>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</si>
  <si>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</si>
  <si>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</si>
  <si>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</si>
  <si>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</si>
  <si>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</si>
  <si>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</si>
  <si>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</si>
  <si>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</si>
  <si>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</si>
  <si>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</si>
  <si>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</si>
  <si>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</si>
  <si>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</si>
  <si>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</si>
  <si>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</si>
  <si>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</si>
  <si>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</si>
  <si>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</si>
  <si>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</si>
  <si>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</si>
  <si>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</si>
  <si>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</si>
  <si>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</si>
  <si>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</si>
  <si>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</si>
  <si>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</si>
  <si>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</si>
  <si>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</si>
  <si>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</si>
  <si>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</si>
  <si>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</si>
  <si>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</si>
  <si>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</si>
  <si>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</si>
  <si>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</si>
  <si>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</si>
  <si>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</si>
  <si>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</si>
  <si>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</si>
  <si>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</si>
  <si>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</si>
  <si>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</si>
  <si>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</si>
  <si>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</si>
  <si>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</si>
  <si>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</si>
  <si>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</si>
  <si>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</si>
  <si>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</si>
  <si>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</si>
  <si>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</si>
  <si>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</si>
  <si>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</si>
  <si>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</si>
  <si>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</si>
  <si>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</si>
  <si>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</si>
  <si>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</si>
  <si>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</si>
  <si>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</si>
  <si>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</si>
  <si>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</si>
  <si>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</si>
  <si>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</si>
  <si>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</si>
  <si>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</si>
  <si>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</si>
  <si>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</si>
  <si>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</si>
  <si>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</si>
  <si>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</si>
  <si>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</si>
  <si>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</si>
  <si>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</si>
  <si>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</si>
  <si>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</si>
  <si>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</si>
  <si>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</si>
  <si>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</si>
  <si>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</si>
  <si>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</si>
  <si>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</si>
  <si>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</si>
  <si>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</si>
  <si>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</si>
  <si>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</si>
  <si>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</si>
  <si>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</si>
  <si>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</si>
  <si>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</si>
  <si>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</si>
  <si>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</si>
  <si>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</si>
  <si>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</si>
  <si>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</si>
  <si>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</si>
  <si>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</si>
  <si>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</si>
  <si>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</si>
  <si>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</si>
  <si>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</si>
  <si>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</si>
  <si>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</si>
  <si>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</si>
  <si>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</si>
  <si>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</si>
  <si>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</si>
  <si>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</si>
  <si>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</si>
  <si>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</si>
  <si>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</si>
  <si>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</si>
  <si>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</si>
  <si>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</si>
  <si>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</si>
  <si>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</si>
  <si>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</si>
  <si>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</si>
  <si>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</si>
  <si>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</si>
  <si>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</si>
  <si>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</si>
  <si>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</si>
  <si>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</si>
  <si>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</si>
  <si>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</si>
  <si>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</si>
  <si>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</si>
  <si>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</si>
  <si>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</si>
  <si>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</si>
  <si>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</si>
  <si>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</si>
  <si>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</si>
  <si>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</si>
  <si>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</si>
  <si>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</si>
  <si>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</si>
  <si>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</si>
  <si>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</si>
  <si>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</si>
  <si>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</si>
  <si>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</si>
  <si>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</si>
  <si>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</si>
  <si>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</si>
  <si>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</si>
  <si>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</si>
  <si>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</si>
  <si>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</si>
  <si>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</si>
  <si>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</si>
  <si>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</si>
  <si>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</si>
  <si>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</si>
  <si>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</si>
  <si>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</si>
  <si>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</si>
  <si>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</si>
  <si>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</si>
  <si>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</si>
  <si>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</si>
  <si>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</si>
  <si>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</si>
  <si>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</si>
  <si>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</si>
  <si>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</si>
  <si>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</si>
  <si>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</si>
  <si>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</si>
  <si>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</si>
  <si>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</si>
  <si>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</si>
  <si>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</si>
  <si>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</si>
  <si>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</si>
  <si>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</si>
  <si>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</si>
  <si>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</si>
  <si>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</si>
  <si>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</si>
  <si>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</si>
  <si>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</si>
  <si>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</si>
  <si>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</si>
  <si>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</si>
  <si>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</si>
  <si>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</si>
  <si>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</si>
  <si>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</si>
  <si>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</si>
  <si>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</si>
  <si>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</si>
  <si>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</si>
  <si>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</si>
  <si>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</si>
  <si>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</si>
  <si>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</si>
  <si>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</si>
  <si>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</si>
  <si>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</si>
  <si>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</si>
  <si>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</si>
  <si>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</si>
  <si>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</si>
  <si>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</si>
  <si>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</si>
  <si>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</si>
  <si>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</si>
  <si>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</si>
  <si>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</si>
  <si>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</si>
  <si>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</si>
  <si>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</si>
  <si>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</si>
  <si>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</si>
  <si>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</si>
  <si>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</si>
  <si>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</si>
  <si>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</si>
  <si>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</si>
  <si>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</si>
  <si>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</si>
  <si>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</si>
  <si>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</si>
  <si>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</si>
  <si>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</si>
  <si>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</si>
  <si>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</si>
  <si>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</si>
  <si>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</si>
  <si>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</si>
  <si>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</si>
  <si>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</si>
  <si>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</si>
  <si>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</si>
  <si>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</si>
  <si>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</si>
  <si>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</si>
  <si>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</si>
  <si>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</si>
  <si>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</si>
  <si>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</si>
  <si>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</si>
  <si>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</si>
  <si>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</si>
  <si>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</si>
  <si>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</si>
  <si>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</si>
  <si>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</si>
  <si>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</si>
  <si>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</si>
  <si>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</si>
  <si>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</si>
  <si>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</si>
  <si>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</si>
  <si>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</si>
  <si>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</si>
  <si>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</si>
  <si>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</si>
  <si>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</si>
  <si>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</si>
  <si>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</si>
  <si>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</si>
  <si>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</si>
  <si>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</si>
  <si>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</si>
  <si>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</si>
  <si>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</si>
  <si>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</si>
  <si>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</si>
  <si>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</si>
  <si>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</si>
  <si>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</si>
  <si>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</si>
  <si>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</si>
  <si>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</si>
  <si>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</si>
  <si>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</si>
  <si>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</si>
  <si>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</si>
  <si>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</si>
  <si>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</si>
  <si>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</si>
  <si>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</si>
  <si>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</si>
  <si>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</si>
  <si>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</si>
  <si>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</si>
  <si>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</si>
  <si>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</si>
  <si>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</si>
  <si>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</si>
  <si>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</si>
  <si>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</si>
  <si>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</si>
  <si>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</si>
  <si>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</si>
  <si>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</si>
  <si>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</si>
  <si>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</si>
  <si>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</si>
  <si>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</si>
  <si>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</si>
  <si>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</si>
  <si>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</si>
  <si>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</si>
  <si>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</si>
  <si>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</si>
  <si>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</si>
  <si>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</si>
  <si>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</si>
  <si>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</si>
  <si>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</si>
  <si>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</si>
  <si>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</si>
  <si>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</si>
  <si>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</si>
  <si>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</si>
  <si>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</si>
  <si>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</si>
  <si>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</si>
  <si>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</si>
  <si>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</si>
  <si>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</si>
  <si>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</si>
  <si>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</si>
  <si>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</si>
  <si>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</si>
  <si>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</si>
  <si>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</si>
  <si>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</si>
  <si>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</si>
  <si>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</si>
  <si>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</si>
  <si>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</si>
  <si>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</si>
  <si>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</si>
  <si>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</si>
  <si>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</si>
  <si>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</si>
  <si>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</si>
  <si>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</si>
  <si>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</si>
  <si>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</si>
  <si>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</si>
  <si>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</si>
  <si>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</si>
  <si>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</si>
  <si>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</si>
  <si>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</si>
  <si>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</si>
  <si>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</si>
  <si>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</si>
  <si>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</si>
  <si>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</si>
  <si>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</si>
  <si>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</si>
  <si>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</si>
  <si>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</si>
  <si>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</si>
  <si>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</si>
  <si>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</si>
  <si>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</si>
  <si>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</si>
  <si>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</si>
  <si>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</si>
  <si>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</si>
  <si>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</si>
  <si>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</si>
  <si>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</si>
  <si>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</si>
  <si>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</si>
  <si>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</si>
  <si>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</si>
  <si>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</si>
  <si>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</si>
  <si>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</si>
  <si>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</si>
  <si>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</si>
  <si>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</si>
  <si>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</si>
  <si>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</si>
  <si>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</si>
  <si>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</si>
  <si>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</si>
  <si>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</si>
  <si>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</si>
  <si>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</si>
  <si>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</si>
  <si>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</si>
  <si>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</si>
  <si>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</si>
  <si>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</si>
  <si>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</si>
  <si>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</si>
  <si>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</si>
  <si>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</si>
  <si>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</si>
  <si>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</si>
  <si>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</si>
  <si>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</si>
  <si>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</si>
  <si>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</si>
  <si>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</si>
  <si>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</si>
  <si>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</si>
  <si>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</si>
  <si>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</si>
  <si>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</si>
  <si>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</si>
  <si>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</si>
  <si>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</si>
  <si>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</si>
  <si>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</si>
  <si>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</si>
  <si>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</si>
  <si>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</si>
  <si>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</si>
  <si>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</si>
  <si>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</si>
  <si>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</si>
  <si>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</si>
  <si>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</si>
  <si>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</si>
  <si>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</si>
  <si>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</si>
  <si>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</si>
  <si>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</si>
  <si>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</si>
  <si>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</si>
  <si>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</si>
  <si>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</si>
  <si>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</si>
  <si>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</si>
  <si>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</si>
  <si>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</si>
  <si>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</si>
  <si>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</si>
  <si>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</si>
  <si>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</si>
  <si>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</si>
  <si>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</si>
  <si>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</si>
  <si>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</si>
  <si>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</si>
  <si>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</si>
  <si>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</si>
  <si>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</si>
  <si>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</si>
  <si>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</si>
  <si>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</si>
  <si>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</si>
  <si>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</si>
  <si>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</si>
  <si>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</si>
  <si>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</si>
  <si>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</si>
  <si>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</si>
  <si>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</si>
  <si>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</si>
  <si>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</si>
  <si>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</si>
  <si>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</si>
  <si>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</si>
  <si>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</si>
  <si>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</si>
  <si>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</si>
  <si>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</si>
  <si>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</si>
  <si>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</si>
  <si>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</si>
  <si>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</si>
  <si>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</si>
  <si>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</si>
  <si>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</si>
  <si>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</si>
  <si>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</si>
  <si>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</si>
  <si>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</si>
  <si>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</si>
  <si>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</si>
  <si>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</si>
  <si>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</si>
  <si>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</si>
  <si>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</si>
  <si>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</si>
  <si>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</si>
  <si>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</si>
  <si>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</si>
  <si>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</si>
  <si>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</si>
  <si>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</si>
  <si>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</si>
  <si>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</si>
  <si>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</si>
  <si>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</si>
  <si>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</si>
  <si>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</si>
  <si>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</si>
  <si>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</si>
  <si>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</si>
  <si>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</si>
  <si>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</si>
  <si>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</si>
  <si>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</si>
  <si>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</si>
  <si>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</si>
  <si>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</si>
  <si>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</si>
  <si>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</si>
  <si>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</si>
  <si>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</si>
  <si>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</si>
  <si>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</si>
  <si>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</si>
  <si>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</si>
  <si>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</si>
  <si>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</si>
  <si>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</si>
  <si>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</si>
  <si>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</si>
  <si>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</si>
  <si>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</si>
  <si>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</si>
  <si>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</si>
  <si>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</si>
  <si>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</si>
  <si>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</si>
  <si>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</si>
  <si>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</si>
  <si>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</si>
  <si>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</si>
  <si>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</si>
  <si>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</si>
  <si>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</si>
  <si>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</si>
  <si>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</si>
  <si>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</si>
  <si>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</si>
  <si>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</si>
  <si>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</si>
  <si>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</si>
  <si>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</si>
  <si>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</si>
  <si>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</si>
  <si>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</si>
  <si>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</si>
  <si>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</si>
  <si>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</si>
  <si>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</si>
  <si>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</si>
  <si>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</si>
  <si>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</si>
  <si>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</si>
  <si>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</si>
  <si>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</si>
  <si>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</si>
  <si>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</si>
  <si>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</si>
  <si>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</si>
  <si>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</si>
  <si>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</si>
  <si>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</si>
  <si>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</si>
  <si>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</si>
  <si>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</si>
  <si>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</si>
  <si>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</si>
  <si>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</si>
  <si>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</si>
  <si>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</si>
  <si>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</si>
  <si>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</si>
  <si>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</si>
  <si>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</si>
  <si>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</si>
  <si>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</si>
  <si>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</si>
  <si>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</si>
  <si>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</si>
  <si>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</si>
  <si>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</si>
  <si>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</si>
  <si>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</si>
  <si>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</si>
  <si>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</si>
  <si>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</si>
  <si>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</si>
  <si>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</si>
  <si>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</si>
  <si>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</si>
  <si>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</si>
  <si>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</si>
  <si>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</si>
  <si>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</si>
  <si>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</si>
  <si>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</si>
  <si>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</si>
  <si>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</si>
  <si>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</si>
  <si>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</si>
  <si>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</si>
  <si>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</si>
  <si>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</si>
  <si>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</si>
  <si>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</si>
  <si>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</si>
  <si>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</si>
  <si>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</si>
  <si>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</si>
  <si>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</si>
  <si>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</si>
  <si>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</si>
  <si>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</si>
  <si>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</si>
  <si>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</si>
  <si>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</si>
  <si>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</si>
  <si>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</si>
  <si>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</si>
  <si>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</si>
  <si>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</si>
  <si>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</si>
  <si>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</si>
  <si>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</si>
  <si>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</si>
  <si>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</si>
  <si>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</si>
  <si>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</si>
  <si>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</si>
  <si>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</si>
  <si>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</si>
  <si>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</si>
  <si>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</si>
  <si>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</si>
  <si>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</si>
  <si>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</si>
  <si>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</si>
  <si>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</si>
  <si>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</si>
  <si>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</si>
  <si>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</si>
  <si>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</si>
  <si>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</si>
  <si>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</si>
  <si>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</si>
  <si>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</si>
  <si>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</si>
  <si>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</si>
  <si>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</si>
  <si>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</si>
  <si>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</si>
  <si>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</si>
  <si>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</si>
  <si>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</si>
  <si>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</si>
  <si>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</si>
  <si>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</si>
  <si>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</si>
  <si>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</si>
  <si>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</si>
  <si>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</si>
  <si>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</si>
  <si>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</si>
  <si>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</si>
  <si>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</si>
  <si>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</si>
  <si>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</si>
  <si>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</si>
  <si>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</si>
  <si>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</si>
  <si>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</si>
  <si>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</si>
  <si>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</si>
  <si>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</si>
  <si>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</si>
  <si>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</si>
  <si>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</si>
  <si>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</si>
  <si>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</si>
  <si>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</si>
  <si>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</si>
  <si>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</si>
  <si>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</si>
  <si>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</si>
  <si>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</si>
  <si>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</si>
  <si>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</si>
  <si>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</si>
  <si>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</si>
  <si>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</si>
  <si>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</si>
  <si>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</si>
  <si>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</si>
  <si>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</si>
  <si>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</si>
  <si>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</si>
  <si>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</si>
  <si>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</si>
  <si>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</si>
  <si>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</si>
  <si>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</si>
  <si>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</si>
  <si>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</si>
  <si>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</si>
  <si>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</si>
  <si>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</si>
  <si>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</si>
  <si>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</si>
  <si>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</si>
  <si>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</si>
  <si>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</si>
  <si>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</si>
  <si>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</si>
  <si>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</si>
  <si>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</si>
  <si>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</si>
  <si>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</si>
  <si>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</si>
  <si>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</si>
  <si>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</si>
  <si>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</si>
  <si>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</si>
  <si>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</si>
  <si>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</si>
  <si>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</si>
  <si>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</si>
  <si>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</si>
  <si>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</si>
  <si>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</si>
  <si>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</si>
  <si>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</si>
  <si>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</si>
  <si>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</si>
  <si>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</si>
  <si>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</si>
  <si>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</si>
  <si>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</si>
  <si>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</si>
  <si>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</si>
  <si>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</si>
  <si>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</si>
  <si>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</si>
  <si>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</si>
  <si>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</si>
  <si>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</si>
  <si>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</si>
  <si>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</si>
  <si>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</si>
  <si>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</si>
  <si>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</si>
  <si>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</si>
  <si>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</si>
  <si>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</si>
  <si>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</si>
  <si>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</si>
  <si>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</si>
  <si>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</si>
  <si>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</si>
  <si>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</si>
  <si>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</si>
  <si>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</si>
  <si>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</si>
  <si>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</si>
  <si>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</si>
  <si>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</si>
  <si>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</si>
  <si>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</si>
  <si>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</si>
  <si>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</si>
  <si>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</si>
  <si>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</si>
  <si>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</si>
  <si>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</si>
  <si>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</si>
  <si>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</si>
  <si>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</si>
  <si>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</si>
  <si>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</si>
  <si>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</si>
  <si>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</si>
  <si>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</si>
  <si>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</si>
  <si>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</si>
  <si>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</si>
  <si>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</si>
  <si>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</si>
  <si>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</si>
  <si>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</si>
  <si>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</si>
  <si>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</si>
  <si>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</si>
  <si>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</si>
  <si>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</si>
  <si>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</si>
  <si>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</si>
  <si>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</si>
  <si>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</si>
  <si>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</si>
  <si>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</si>
  <si>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</si>
  <si>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</si>
  <si>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</si>
  <si>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</si>
  <si>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</si>
  <si>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</si>
  <si>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</si>
  <si>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</si>
  <si>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</si>
  <si>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</si>
  <si>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</si>
  <si>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</si>
  <si>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</si>
  <si>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</si>
  <si>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</si>
  <si>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</si>
  <si>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</si>
  <si>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</si>
  <si>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</si>
  <si>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</si>
  <si>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</si>
  <si>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</si>
  <si>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</si>
  <si>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</si>
  <si>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</si>
  <si>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</si>
  <si>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</si>
  <si>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</si>
  <si>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</si>
  <si>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</si>
  <si>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</si>
  <si>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</si>
  <si>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</si>
  <si>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</si>
  <si>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</si>
  <si>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</si>
  <si>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</si>
  <si>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</si>
  <si>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</si>
  <si>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</si>
  <si>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</si>
  <si>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</si>
  <si>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</si>
  <si>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</si>
  <si>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</si>
  <si>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</si>
  <si>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</si>
  <si>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</si>
  <si>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</si>
  <si>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</si>
  <si>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</si>
  <si>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</si>
  <si>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</si>
  <si>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</si>
  <si>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</si>
  <si>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</si>
  <si>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</si>
  <si>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</si>
  <si>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</si>
  <si>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</si>
  <si>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</si>
  <si>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</si>
  <si>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</si>
  <si>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</si>
  <si>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</si>
  <si>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</si>
  <si>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</si>
  <si>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</si>
  <si>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</si>
  <si>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</si>
  <si>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</si>
  <si>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</si>
  <si>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</si>
  <si>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</si>
  <si>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</si>
  <si>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</si>
  <si>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</si>
  <si>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</si>
  <si>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</si>
  <si>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</si>
  <si>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</si>
  <si>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</si>
  <si>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</si>
  <si>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</si>
  <si>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</si>
  <si>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</si>
  <si>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</si>
  <si>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</si>
  <si>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</si>
  <si>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</si>
  <si>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</si>
  <si>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</si>
  <si>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</si>
  <si>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</si>
  <si>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</si>
  <si>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</si>
  <si>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</si>
  <si>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</si>
  <si>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</si>
  <si>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</si>
  <si>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</si>
  <si>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</si>
  <si>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</si>
  <si>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</si>
  <si>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</si>
  <si>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</si>
  <si>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</si>
  <si>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</si>
  <si>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</si>
  <si>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</si>
  <si>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</si>
  <si>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</si>
  <si>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</si>
  <si>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</si>
  <si>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</si>
  <si>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</si>
  <si>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</si>
  <si>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</si>
  <si>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</si>
  <si>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</si>
  <si>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</si>
  <si>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</si>
  <si>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</si>
  <si>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</si>
  <si>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</si>
  <si>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</si>
  <si>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</si>
  <si>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</si>
  <si>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</si>
  <si>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</si>
  <si>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</si>
  <si>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</si>
  <si>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</si>
  <si>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</si>
  <si>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</si>
  <si>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</si>
  <si>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</si>
  <si>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</si>
  <si>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</si>
  <si>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</si>
  <si>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</si>
  <si>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</si>
  <si>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</si>
  <si>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</si>
  <si>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</si>
  <si>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</si>
  <si>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</si>
  <si>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</si>
  <si>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</si>
  <si>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</si>
  <si>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</si>
  <si>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</si>
  <si>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</si>
  <si>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</si>
  <si>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</si>
  <si>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</si>
  <si>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</si>
  <si>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</si>
  <si>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</si>
  <si>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</si>
  <si>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</si>
  <si>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</si>
  <si>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</si>
  <si>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</si>
  <si>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</si>
  <si>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</si>
  <si>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</si>
  <si>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</si>
  <si>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</si>
  <si>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</si>
  <si>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</si>
  <si>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</si>
  <si>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</si>
  <si>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</si>
  <si>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</si>
  <si>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</si>
  <si>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</si>
  <si>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</si>
  <si>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</si>
  <si>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</si>
  <si>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</si>
  <si>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</si>
  <si>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</si>
  <si>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</si>
  <si>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</si>
  <si>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</si>
  <si>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</si>
  <si>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</si>
  <si>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</si>
  <si>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</si>
  <si>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</si>
  <si>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</si>
  <si>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</si>
  <si>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</si>
  <si>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</si>
  <si>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</si>
  <si>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</si>
  <si>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</si>
  <si>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</si>
  <si>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</si>
  <si>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</si>
  <si>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</si>
  <si>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</si>
  <si>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</si>
  <si>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</si>
  <si>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</si>
  <si>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</si>
  <si>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</si>
  <si>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</si>
  <si>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</si>
  <si>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</si>
  <si>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</si>
  <si>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</si>
  <si>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</si>
  <si>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</si>
  <si>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</si>
  <si>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</si>
  <si>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</si>
  <si>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</si>
  <si>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</si>
  <si>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</si>
  <si>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</si>
  <si>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</si>
  <si>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</si>
  <si>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</si>
  <si>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</si>
  <si>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</si>
  <si>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</si>
  <si>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</si>
  <si>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</si>
  <si>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</si>
  <si>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</si>
  <si>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</si>
  <si>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</si>
  <si>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</si>
  <si>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</si>
  <si>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</si>
  <si>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</si>
  <si>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</si>
  <si>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</si>
  <si>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</si>
  <si>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</si>
  <si>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</si>
  <si>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</si>
  <si>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</si>
  <si>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</si>
  <si>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</si>
  <si>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</si>
  <si>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</si>
  <si>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</si>
  <si>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</si>
  <si>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</si>
  <si>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</si>
  <si>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</si>
  <si>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</si>
  <si>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</si>
  <si>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</si>
  <si>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</si>
  <si>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</si>
  <si>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</si>
  <si>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</si>
  <si>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</si>
  <si>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</si>
  <si>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</si>
  <si>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</si>
  <si>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</si>
  <si>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</si>
  <si>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</si>
  <si>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</si>
  <si>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</si>
  <si>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</si>
  <si>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</si>
  <si>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</si>
  <si>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</si>
  <si>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</si>
  <si>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</si>
  <si>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</si>
  <si>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</si>
  <si>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</si>
  <si>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</si>
  <si>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</si>
  <si>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</si>
  <si>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</si>
  <si>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</si>
  <si>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</si>
  <si>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</si>
  <si>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</si>
  <si>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</si>
  <si>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</si>
  <si>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</si>
  <si>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</si>
  <si>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</si>
  <si>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</si>
  <si>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</si>
  <si>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</si>
  <si>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</si>
  <si>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</si>
  <si>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</si>
  <si>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</si>
  <si>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</si>
  <si>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</si>
  <si>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</si>
  <si>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</si>
  <si>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</si>
  <si>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</si>
  <si>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</si>
  <si>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</si>
  <si>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</si>
  <si>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</si>
  <si>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</si>
  <si>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</si>
  <si>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</si>
  <si>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</si>
  <si>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</si>
  <si>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</si>
  <si>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</si>
  <si>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</si>
  <si>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</si>
  <si>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</si>
  <si>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</si>
  <si>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</si>
  <si>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</si>
  <si>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</si>
  <si>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</si>
  <si>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</si>
  <si>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</si>
  <si>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</si>
  <si>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</si>
  <si>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</si>
  <si>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</si>
  <si>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</si>
  <si>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</si>
  <si>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</si>
  <si>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</si>
  <si>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</si>
  <si>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</si>
  <si>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</si>
  <si>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</si>
  <si>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</si>
  <si>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</si>
  <si>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</si>
  <si>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</si>
  <si>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</si>
  <si>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</si>
  <si>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</si>
  <si>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</si>
  <si>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</si>
  <si>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</si>
  <si>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</si>
  <si>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</si>
  <si>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</si>
  <si>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</si>
  <si>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</si>
  <si>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</si>
  <si>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</si>
  <si>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</si>
  <si>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</si>
  <si>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</si>
  <si>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</si>
  <si>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</si>
  <si>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</si>
  <si>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</si>
  <si>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</si>
  <si>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</si>
  <si>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</si>
  <si>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</si>
  <si>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</si>
  <si>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</si>
  <si>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</si>
  <si>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</si>
  <si>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</si>
  <si>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</si>
  <si>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</si>
  <si>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</si>
  <si>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</si>
  <si>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</si>
  <si>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</si>
  <si>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</si>
  <si>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</si>
  <si>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</si>
  <si>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</si>
  <si>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</si>
  <si>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</si>
  <si>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</si>
  <si>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</si>
  <si>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</si>
  <si>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</si>
  <si>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</si>
  <si>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</si>
  <si>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</si>
  <si>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</si>
  <si>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</si>
  <si>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</si>
  <si>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</si>
  <si>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</si>
  <si>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</si>
  <si>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</si>
  <si>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</si>
  <si>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</si>
  <si>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</si>
  <si>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</si>
  <si>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</si>
  <si>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</si>
  <si>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</si>
  <si>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</si>
  <si>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</si>
  <si>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</si>
  <si>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</si>
  <si>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</si>
  <si>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</si>
  <si>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</si>
  <si>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</si>
  <si>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</si>
  <si>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</si>
  <si>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</si>
  <si>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</si>
  <si>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</si>
  <si>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</si>
  <si>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</si>
  <si>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</si>
  <si>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</si>
  <si>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</si>
  <si>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</si>
  <si>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</si>
  <si>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</si>
  <si>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</si>
  <si>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</si>
  <si>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</si>
  <si>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</si>
  <si>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</si>
  <si>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</si>
  <si>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</si>
  <si>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</si>
  <si>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</si>
  <si>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</si>
  <si>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</si>
  <si>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</si>
  <si>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</si>
  <si>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</si>
  <si>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</si>
  <si>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</si>
  <si>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</si>
  <si>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</si>
  <si>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</si>
  <si>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</si>
  <si>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</si>
  <si>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</si>
  <si>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</si>
  <si>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</si>
  <si>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</si>
  <si>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</si>
  <si>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</si>
  <si>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</si>
  <si>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</si>
  <si>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</si>
  <si>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</si>
  <si>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</si>
  <si>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</si>
  <si>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</si>
  <si>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</si>
  <si>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</si>
  <si>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</si>
  <si>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</si>
  <si>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</si>
  <si>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</si>
  <si>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</si>
  <si>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</si>
  <si>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</si>
  <si>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</si>
  <si>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</si>
  <si>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</si>
  <si>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</si>
  <si>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</si>
  <si>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</si>
  <si>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</si>
  <si>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</si>
  <si>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</si>
  <si>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</si>
  <si>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</si>
  <si>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</si>
  <si>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</si>
  <si>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</si>
  <si>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</si>
  <si>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</si>
  <si>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</si>
  <si>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</si>
  <si>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</si>
  <si>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</si>
  <si>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</si>
  <si>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</si>
  <si>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</si>
  <si>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</si>
  <si>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</si>
  <si>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</si>
  <si>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</si>
  <si>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</si>
  <si>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</si>
  <si>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</si>
  <si>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</si>
  <si>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</si>
  <si>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</si>
  <si>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</si>
  <si>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</si>
  <si>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</si>
  <si>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</si>
  <si>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</si>
  <si>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</si>
  <si>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</si>
  <si>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</si>
  <si>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</si>
  <si>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</si>
  <si>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</si>
  <si>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</si>
  <si>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</si>
  <si>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</si>
  <si>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</si>
  <si>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</si>
  <si>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</si>
  <si>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</si>
  <si>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</si>
  <si>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</si>
  <si>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</si>
  <si>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</si>
  <si>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</si>
  <si>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</si>
  <si>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</si>
  <si>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</si>
  <si>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</si>
  <si>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</si>
  <si>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</si>
  <si>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</si>
  <si>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</si>
  <si>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</si>
  <si>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</si>
  <si>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</si>
  <si>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</si>
  <si>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</si>
  <si>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</si>
  <si>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</si>
  <si>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</si>
  <si>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</si>
  <si>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</si>
  <si>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</si>
  <si>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</si>
  <si>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</si>
  <si>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</si>
  <si>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</si>
  <si>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</si>
  <si>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</si>
  <si>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</si>
  <si>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</si>
  <si>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</si>
  <si>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</si>
  <si>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</si>
  <si>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</si>
  <si>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</si>
  <si>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</si>
  <si>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</si>
  <si>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</si>
  <si>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</si>
  <si>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</si>
  <si>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</si>
  <si>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</si>
  <si>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</si>
  <si>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</si>
  <si>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</si>
  <si>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</si>
  <si>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</si>
  <si>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</si>
  <si>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</si>
  <si>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</si>
  <si>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</si>
  <si>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</si>
  <si>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</si>
  <si>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</si>
  <si>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</si>
  <si>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</si>
  <si>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</si>
  <si>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</si>
  <si>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</si>
  <si>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</si>
  <si>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</si>
  <si>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</si>
  <si>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</si>
  <si>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</si>
  <si>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</si>
  <si>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</si>
  <si>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</si>
  <si>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</si>
  <si>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</si>
  <si>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</si>
  <si>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</si>
  <si>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</si>
  <si>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</si>
  <si>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</si>
  <si>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</si>
  <si>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</si>
  <si>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</si>
  <si>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</si>
  <si>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</si>
  <si>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</si>
  <si>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</si>
  <si>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</si>
  <si>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</si>
  <si>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</si>
  <si>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</si>
  <si>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</si>
  <si>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</si>
  <si>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</si>
  <si>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</si>
  <si>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</si>
  <si>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</si>
  <si>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</si>
  <si>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</si>
  <si>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</si>
  <si>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</si>
  <si>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</si>
  <si>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</si>
  <si>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</si>
  <si>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</si>
  <si>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</si>
  <si>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</si>
  <si>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</si>
  <si>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</si>
  <si>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</si>
  <si>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</si>
  <si>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</si>
  <si>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</si>
  <si>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</si>
  <si>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</si>
  <si>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</si>
  <si>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</si>
  <si>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</si>
  <si>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</si>
  <si>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</si>
  <si>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</si>
  <si>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</si>
  <si>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</si>
  <si>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</si>
  <si>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</si>
  <si>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</si>
  <si>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</si>
  <si>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</si>
  <si>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</si>
  <si>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</si>
  <si>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</si>
  <si>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</si>
  <si>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</si>
  <si>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</si>
  <si>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</si>
  <si>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</si>
  <si>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</si>
  <si>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</si>
  <si>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</si>
  <si>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</si>
  <si>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</si>
  <si>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</si>
  <si>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</si>
  <si>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</si>
  <si>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</si>
  <si>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</si>
  <si>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</si>
  <si>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</si>
  <si>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</si>
  <si>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</si>
  <si>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</si>
  <si>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</si>
  <si>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</si>
  <si>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</si>
  <si>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</si>
  <si>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</si>
  <si>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</si>
  <si>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</si>
  <si>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</si>
  <si>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</si>
  <si>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</si>
  <si>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</si>
  <si>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</si>
  <si>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</si>
  <si>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</si>
  <si>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</si>
  <si>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</si>
  <si>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</si>
  <si>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</si>
  <si>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</si>
  <si>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</si>
  <si>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</si>
  <si>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</si>
  <si>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</si>
  <si>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</si>
  <si>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</si>
  <si>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</si>
  <si>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</si>
  <si>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</si>
  <si>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</si>
  <si>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</si>
  <si>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</si>
  <si>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</si>
  <si>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</si>
  <si>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</si>
  <si>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</si>
  <si>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</si>
  <si>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</si>
  <si>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</si>
  <si>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</si>
  <si>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</si>
  <si>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</si>
  <si>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</si>
  <si>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</si>
  <si>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</si>
  <si>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</si>
  <si>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</si>
  <si>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</si>
  <si>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</si>
  <si>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</si>
  <si>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</si>
  <si>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</si>
  <si>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</si>
  <si>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</si>
  <si>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</si>
  <si>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</si>
  <si>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</si>
  <si>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</si>
  <si>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</si>
  <si>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</si>
  <si>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</si>
  <si>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</si>
  <si>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</si>
  <si>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</si>
  <si>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</si>
  <si>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</si>
  <si>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</si>
  <si>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</si>
  <si>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</si>
  <si>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</si>
  <si>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</si>
  <si>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</si>
  <si>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</si>
  <si>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</si>
  <si>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</si>
  <si>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</si>
  <si>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</si>
  <si>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</si>
  <si>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</si>
  <si>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</si>
  <si>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</si>
  <si>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</si>
  <si>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</si>
  <si>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</si>
  <si>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</si>
  <si>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</si>
  <si>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</si>
  <si>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</si>
  <si>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</si>
  <si>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</si>
  <si>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</si>
  <si>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</si>
  <si>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</si>
  <si>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</si>
  <si>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</si>
  <si>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</si>
  <si>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</si>
  <si>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</si>
  <si>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</si>
  <si>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</si>
  <si>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</si>
  <si>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</si>
  <si>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</si>
  <si>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</si>
  <si>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</si>
  <si>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</si>
  <si>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</si>
  <si>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</si>
  <si>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</si>
  <si>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</si>
  <si>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</si>
  <si>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</si>
  <si>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</si>
  <si>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</si>
  <si>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</si>
  <si>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</si>
  <si>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</si>
  <si>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</si>
  <si>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</si>
  <si>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</si>
  <si>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</si>
  <si>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</si>
  <si>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</si>
  <si>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</si>
  <si>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</si>
  <si>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</si>
  <si>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</si>
  <si>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</si>
  <si>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</si>
  <si>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</si>
  <si>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</si>
  <si>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</si>
  <si>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</si>
  <si>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</si>
  <si>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</si>
  <si>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</si>
  <si>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</si>
  <si>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</si>
  <si>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</si>
  <si>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</si>
  <si>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</si>
  <si>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</si>
  <si>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</si>
  <si>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</si>
  <si>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</si>
  <si>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</si>
  <si>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</si>
  <si>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</si>
  <si>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</si>
  <si>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</si>
  <si>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</si>
  <si>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</si>
  <si>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</si>
  <si>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</si>
  <si>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</si>
  <si>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</si>
  <si>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</si>
  <si>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</si>
  <si>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</si>
  <si>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</si>
  <si>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</si>
  <si>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</si>
  <si>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</si>
  <si>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</si>
  <si>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</si>
  <si>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</si>
  <si>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</si>
  <si>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</si>
  <si>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</si>
  <si>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</si>
  <si>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</si>
  <si>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</si>
  <si>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</si>
  <si>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</si>
  <si>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</si>
  <si>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</si>
  <si>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</si>
  <si>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</si>
  <si>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</si>
  <si>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</si>
  <si>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</si>
  <si>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</si>
  <si>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</si>
  <si>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</si>
  <si>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</si>
  <si>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</si>
  <si>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</si>
  <si>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</si>
  <si>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</si>
  <si>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</si>
  <si>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</si>
  <si>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</si>
  <si>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</si>
  <si>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</si>
  <si>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</si>
  <si>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</si>
  <si>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</si>
  <si>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</si>
  <si>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</si>
  <si>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</si>
  <si>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</si>
  <si>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</si>
  <si>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</si>
  <si>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</si>
  <si>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</si>
  <si>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</si>
  <si>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</si>
  <si>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</si>
  <si>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</si>
  <si>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</si>
  <si>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</si>
  <si>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</si>
  <si>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</si>
  <si>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</si>
  <si>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</si>
  <si>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</si>
  <si>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</si>
  <si>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</si>
  <si>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</si>
  <si>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</si>
  <si>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</si>
  <si>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</si>
  <si>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</si>
  <si>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</si>
  <si>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</si>
  <si>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</si>
  <si>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</si>
  <si>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</si>
  <si>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</si>
  <si>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</si>
  <si>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</si>
  <si>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</si>
  <si>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</si>
  <si>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</si>
  <si>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</si>
  <si>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</si>
  <si>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</si>
  <si>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</si>
  <si>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</si>
  <si>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</si>
  <si>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</si>
  <si>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</si>
  <si>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</si>
  <si>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</si>
  <si>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</si>
  <si>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</si>
  <si>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</si>
  <si>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</si>
  <si>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</si>
  <si>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</si>
  <si>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</si>
  <si>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</si>
  <si>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</si>
  <si>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</si>
  <si>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</si>
  <si>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</si>
  <si>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</si>
  <si>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</si>
  <si>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</si>
  <si>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</si>
  <si>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</si>
  <si>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</si>
  <si>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</si>
  <si>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</si>
  <si>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</si>
  <si>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</si>
  <si>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</si>
  <si>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</si>
  <si>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</si>
  <si>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</si>
  <si>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</si>
  <si>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</si>
  <si>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</si>
  <si>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</si>
  <si>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</si>
  <si>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</si>
  <si>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</si>
  <si>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</si>
  <si>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</si>
  <si>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</si>
  <si>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</si>
  <si>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</si>
  <si>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</si>
  <si>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</si>
  <si>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</si>
  <si>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</si>
  <si>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</si>
  <si>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</si>
  <si>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</si>
  <si>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</si>
  <si>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</si>
  <si>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</si>
  <si>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</si>
  <si>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</si>
  <si>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</si>
  <si>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</si>
  <si>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</si>
  <si>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</si>
  <si>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</si>
  <si>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</si>
  <si>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</si>
  <si>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</si>
  <si>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</si>
  <si>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</si>
  <si>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</si>
  <si>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</si>
  <si>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</si>
  <si>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</si>
  <si>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</si>
  <si>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</si>
  <si>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</si>
  <si>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</si>
  <si>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</si>
  <si>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</si>
  <si>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</si>
  <si>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</si>
  <si>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</si>
  <si>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</si>
  <si>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</si>
  <si>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</si>
  <si>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</si>
  <si>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</si>
  <si>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</si>
  <si>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</si>
  <si>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</si>
  <si>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</si>
  <si>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</si>
  <si>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</si>
  <si>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</si>
  <si>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</si>
  <si>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</si>
  <si>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</si>
  <si>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</si>
  <si>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</si>
  <si>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</si>
  <si>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</si>
  <si>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</si>
  <si>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</si>
  <si>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</si>
  <si>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</si>
  <si>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</si>
  <si>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</si>
  <si>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</si>
  <si>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</si>
  <si>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</si>
  <si>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</si>
  <si>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</si>
  <si>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</si>
  <si>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</si>
  <si>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</si>
  <si>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</si>
  <si>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</si>
  <si>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</si>
  <si>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</si>
  <si>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</si>
  <si>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</si>
  <si>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</si>
  <si>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</si>
  <si>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</si>
  <si>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</si>
  <si>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</si>
  <si>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</si>
  <si>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</si>
  <si>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</si>
  <si>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</si>
  <si>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</si>
  <si>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</si>
  <si>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</si>
  <si>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</si>
  <si>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</si>
  <si>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</si>
  <si>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</si>
  <si>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</si>
  <si>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</si>
  <si>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</si>
  <si>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</si>
  <si>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</si>
  <si>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</si>
  <si>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</si>
  <si>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</si>
  <si>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</si>
  <si>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</si>
  <si>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</si>
  <si>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</si>
  <si>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</si>
  <si>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</si>
  <si>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</si>
  <si>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</si>
  <si>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</si>
  <si>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</si>
  <si>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</si>
  <si>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</si>
  <si>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</si>
  <si>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</si>
  <si>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</si>
  <si>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</si>
  <si>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</si>
  <si>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</si>
  <si>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</si>
  <si>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</si>
  <si>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</si>
  <si>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</si>
  <si>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</si>
  <si>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</si>
  <si>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</si>
  <si>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</si>
  <si>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</si>
  <si>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</si>
  <si>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</si>
  <si>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</si>
  <si>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</si>
  <si>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</si>
  <si>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</si>
  <si>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</si>
  <si>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</si>
  <si>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</si>
  <si>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</si>
  <si>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</si>
  <si>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</si>
  <si>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</si>
  <si>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</si>
  <si>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</si>
  <si>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</si>
  <si>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</si>
  <si>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</si>
  <si>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</si>
  <si>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</si>
  <si>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</si>
  <si>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</si>
  <si>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</si>
  <si>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</si>
  <si>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</si>
  <si>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</si>
  <si>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</si>
  <si>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</si>
  <si>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</si>
  <si>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</si>
  <si>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</si>
  <si>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</si>
  <si>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</si>
  <si>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</si>
  <si>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</si>
  <si>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</si>
  <si>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</si>
  <si>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</si>
  <si>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</si>
  <si>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</si>
  <si>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</si>
  <si>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</si>
  <si>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</si>
  <si>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</si>
  <si>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</si>
  <si>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</si>
  <si>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</si>
  <si>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</si>
  <si>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</si>
  <si>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</si>
  <si>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</si>
  <si>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</si>
  <si>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</si>
  <si>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</si>
  <si>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</si>
  <si>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</si>
  <si>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</si>
  <si>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</si>
  <si>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</si>
  <si>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</si>
  <si>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</si>
  <si>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</si>
  <si>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</si>
  <si>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</si>
  <si>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</si>
  <si>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</si>
  <si>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</si>
  <si>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</si>
  <si>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</si>
  <si>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</si>
  <si>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</si>
  <si>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</si>
  <si>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</si>
  <si>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</si>
  <si>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</si>
  <si>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</si>
  <si>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</si>
  <si>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</si>
  <si>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</si>
  <si>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</si>
  <si>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</si>
  <si>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</si>
  <si>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</si>
  <si>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</si>
  <si>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</si>
  <si>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</si>
  <si>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</si>
  <si>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</si>
  <si>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</si>
  <si>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</si>
  <si>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</si>
  <si>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</si>
  <si>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</si>
  <si>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</si>
  <si>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</si>
  <si>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</si>
  <si>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</si>
  <si>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</si>
  <si>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</si>
  <si>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</si>
  <si>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</si>
  <si>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</si>
  <si>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</si>
  <si>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</si>
  <si>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</si>
  <si>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</si>
  <si>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</si>
  <si>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</si>
  <si>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</si>
  <si>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</si>
  <si>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</si>
  <si>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</si>
  <si>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</si>
  <si>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</si>
  <si>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</si>
  <si>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</si>
  <si>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</si>
  <si>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</si>
  <si>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</si>
  <si>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</si>
  <si>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</si>
  <si>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</si>
  <si>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</si>
  <si>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</si>
  <si>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</si>
  <si>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</si>
  <si>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</si>
  <si>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</si>
  <si>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</si>
  <si>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</si>
  <si>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</si>
  <si>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</si>
  <si>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</si>
  <si>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</si>
  <si>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</si>
  <si>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</si>
  <si>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</si>
  <si>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</si>
  <si>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</si>
  <si>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</si>
  <si>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</si>
  <si>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</si>
  <si>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</si>
  <si>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</si>
  <si>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</si>
  <si>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</si>
  <si>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</si>
  <si>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</si>
  <si>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</si>
  <si>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</si>
  <si>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</si>
  <si>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</si>
  <si>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</si>
  <si>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</si>
  <si>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</si>
  <si>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</si>
  <si>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</si>
  <si>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</si>
  <si>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</si>
  <si>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</si>
  <si>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</si>
  <si>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</si>
  <si>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</si>
  <si>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</si>
  <si>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</si>
  <si>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</si>
  <si>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</si>
  <si>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</si>
  <si>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</si>
  <si>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</si>
  <si>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</si>
  <si>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</si>
  <si>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</si>
  <si>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</si>
  <si>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</si>
  <si>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</si>
  <si>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</si>
  <si>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</si>
  <si>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</si>
  <si>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</si>
  <si>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</si>
  <si>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</si>
  <si>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</si>
  <si>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</si>
  <si>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</si>
  <si>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</si>
  <si>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</si>
  <si>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</si>
  <si>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</si>
  <si>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</si>
  <si>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</si>
  <si>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</si>
  <si>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</si>
  <si>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</si>
  <si>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</si>
  <si>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</si>
  <si>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</si>
  <si>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</si>
  <si>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</si>
  <si>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</si>
  <si>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</si>
  <si>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</si>
  <si>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</si>
  <si>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</si>
  <si>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</si>
  <si>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</si>
  <si>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</si>
  <si>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</si>
  <si>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</si>
  <si>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</si>
  <si>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</si>
  <si>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</si>
  <si>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</si>
  <si>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</si>
  <si>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</si>
  <si>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</si>
  <si>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</si>
  <si>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</si>
  <si>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</si>
  <si>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</si>
  <si>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</si>
  <si>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</si>
  <si>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</si>
  <si>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</si>
  <si>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</si>
  <si>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</si>
  <si>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</si>
  <si>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</si>
  <si>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</si>
  <si>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</si>
  <si>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</si>
  <si>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</si>
  <si>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</si>
  <si>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</si>
  <si>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</si>
  <si>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</si>
  <si>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</si>
  <si>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</si>
  <si>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</si>
  <si>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</si>
  <si>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</si>
  <si>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</si>
  <si>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</si>
  <si>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</si>
  <si>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</si>
  <si>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</si>
  <si>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</si>
  <si>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</si>
  <si>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</si>
  <si>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</si>
  <si>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</si>
  <si>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</si>
  <si>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</si>
  <si>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</si>
  <si>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</si>
  <si>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</si>
  <si>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</si>
  <si>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</si>
  <si>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</si>
  <si>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</si>
  <si>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</si>
  <si>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</si>
  <si>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</si>
  <si>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</si>
  <si>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</si>
  <si>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</si>
  <si>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</si>
  <si>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</si>
  <si>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</si>
  <si>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</si>
  <si>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</si>
  <si>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</si>
  <si>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</si>
  <si>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</si>
  <si>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</si>
  <si>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</si>
  <si>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</si>
  <si>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</si>
  <si>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</si>
  <si>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</si>
  <si>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</si>
  <si>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</si>
  <si>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</si>
  <si>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</si>
  <si>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</si>
  <si>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</si>
  <si>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</si>
  <si>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</si>
  <si>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</si>
  <si>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</si>
  <si>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</si>
  <si>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</si>
  <si>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</si>
  <si>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</si>
  <si>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</si>
  <si>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</si>
  <si>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</si>
  <si>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</si>
  <si>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</si>
  <si>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</si>
  <si>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</si>
  <si>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</si>
  <si>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</si>
  <si>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</si>
  <si>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</si>
  <si>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</si>
  <si>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</si>
  <si>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</si>
  <si>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</si>
  <si>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</si>
  <si>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</si>
  <si>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</si>
  <si>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</si>
  <si>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</si>
  <si>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</si>
  <si>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</si>
  <si>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</si>
  <si>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</si>
  <si>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</si>
  <si>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</si>
  <si>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</si>
  <si>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</si>
  <si>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</si>
  <si>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</si>
  <si>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</si>
  <si>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</si>
  <si>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</si>
  <si>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</si>
  <si>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</si>
  <si>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</si>
  <si>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</si>
  <si>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</si>
  <si>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</si>
  <si>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</si>
  <si>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</si>
  <si>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</si>
  <si>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</si>
  <si>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</si>
  <si>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</si>
  <si>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</si>
  <si>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</si>
  <si>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</si>
  <si>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</si>
  <si>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</si>
  <si>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</si>
  <si>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</si>
  <si>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</si>
  <si>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</si>
  <si>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</si>
  <si>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</si>
  <si>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</si>
  <si>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</si>
  <si>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</si>
  <si>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</si>
  <si>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</si>
  <si>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</si>
  <si>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</si>
  <si>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</si>
  <si>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</si>
  <si>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</si>
  <si>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</si>
  <si>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</si>
  <si>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</si>
  <si>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</si>
  <si>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</si>
  <si>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</si>
  <si>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</si>
  <si>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</si>
  <si>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</si>
  <si>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</si>
  <si>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</si>
  <si>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</si>
  <si>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</si>
  <si>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</si>
  <si>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</si>
  <si>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</si>
  <si>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</si>
  <si>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</si>
  <si>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</si>
  <si>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</si>
  <si>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</si>
  <si>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</si>
  <si>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</si>
  <si>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</si>
  <si>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</si>
  <si>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</si>
  <si>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</si>
  <si>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</si>
  <si>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</si>
  <si>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</si>
  <si>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</si>
  <si>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</si>
  <si>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</si>
  <si>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</si>
  <si>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</si>
  <si>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</si>
  <si>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</si>
  <si>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</si>
  <si>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</si>
  <si>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</si>
  <si>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</si>
  <si>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</si>
  <si>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</si>
  <si>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</si>
  <si>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</si>
  <si>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</si>
  <si>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</si>
  <si>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</si>
  <si>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</si>
  <si>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</si>
  <si>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</si>
  <si>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</si>
  <si>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</si>
  <si>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</si>
  <si>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</si>
  <si>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</si>
  <si>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</si>
  <si>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</si>
  <si>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</si>
  <si>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</si>
  <si>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</si>
  <si>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</si>
  <si>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</si>
  <si>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</si>
  <si>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</si>
  <si>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</si>
  <si>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</si>
  <si>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</si>
  <si>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</si>
  <si>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</si>
  <si>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</si>
  <si>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</si>
  <si>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</si>
  <si>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</si>
  <si>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</si>
  <si>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</si>
  <si>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</si>
  <si>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</si>
  <si>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</si>
  <si>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</si>
  <si>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</si>
  <si>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</si>
  <si>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</si>
  <si>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</si>
  <si>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</si>
  <si>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</si>
  <si>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</si>
  <si>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</si>
  <si>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</si>
  <si>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</si>
  <si>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</si>
  <si>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</si>
  <si>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</si>
  <si>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</si>
  <si>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</si>
  <si>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</si>
  <si>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</si>
  <si>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</si>
  <si>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</si>
  <si>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</si>
  <si>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</si>
  <si>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</si>
  <si>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</si>
  <si>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</si>
  <si>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</si>
  <si>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</si>
  <si>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</si>
  <si>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</si>
  <si>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</si>
  <si>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</si>
  <si>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</si>
  <si>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</si>
  <si>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</si>
  <si>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</si>
  <si>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</si>
  <si>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</si>
  <si>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</si>
  <si>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</si>
  <si>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</si>
  <si>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</si>
  <si>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</si>
  <si>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</si>
  <si>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</si>
  <si>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</si>
  <si>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</si>
  <si>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</si>
  <si>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</si>
  <si>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</si>
  <si>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</si>
  <si>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</si>
  <si>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</si>
  <si>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</si>
  <si>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</si>
  <si>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</si>
  <si>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</si>
  <si>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</si>
  <si>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</si>
  <si>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</si>
  <si>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</si>
  <si>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</si>
  <si>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</si>
  <si>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</si>
  <si>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</si>
  <si>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</si>
  <si>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</si>
  <si>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</si>
  <si>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</si>
  <si>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</si>
  <si>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</si>
  <si>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</si>
  <si>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</si>
  <si>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</si>
  <si>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</si>
  <si>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</si>
  <si>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</si>
  <si>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</si>
  <si>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</si>
  <si>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</si>
  <si>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</si>
  <si>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</si>
  <si>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</si>
  <si>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</si>
  <si>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</si>
  <si>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</si>
  <si>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</si>
  <si>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</si>
  <si>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</si>
  <si>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</si>
  <si>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</si>
  <si>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</si>
  <si>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</si>
  <si>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</si>
  <si>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</si>
  <si>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</si>
  <si>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</si>
  <si>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</si>
  <si>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</si>
  <si>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</si>
  <si>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</si>
  <si>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</si>
  <si>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</si>
  <si>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</si>
  <si>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</si>
  <si>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</si>
  <si>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</si>
  <si>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</si>
  <si>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</si>
  <si>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</si>
  <si>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</si>
  <si>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</si>
  <si>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</si>
  <si>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</si>
  <si>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</si>
  <si>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</si>
  <si>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</si>
  <si>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</si>
  <si>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</si>
  <si>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</si>
  <si>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</si>
  <si>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</si>
  <si>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</si>
  <si>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</si>
  <si>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</si>
  <si>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</si>
  <si>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</si>
  <si>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</si>
  <si>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</si>
  <si>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</si>
  <si>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</si>
  <si>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</si>
  <si>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</si>
  <si>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</si>
  <si>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</si>
  <si>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</si>
  <si>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</si>
  <si>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</si>
  <si>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</si>
  <si>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</si>
  <si>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</si>
  <si>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</si>
  <si>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</si>
  <si>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</si>
  <si>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</si>
  <si>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</si>
  <si>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</si>
  <si>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</si>
  <si>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</si>
  <si>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</si>
  <si>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</si>
  <si>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</si>
  <si>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</si>
  <si>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</si>
  <si>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</si>
  <si>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</si>
  <si>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</si>
  <si>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</si>
  <si>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</si>
  <si>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</si>
  <si>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</si>
  <si>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</si>
  <si>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</si>
  <si>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</si>
  <si>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</si>
  <si>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</si>
  <si>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</si>
  <si>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</si>
  <si>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</si>
  <si>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</si>
  <si>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</si>
  <si>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</si>
  <si>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</si>
  <si>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</si>
  <si>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</si>
  <si>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</si>
  <si>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</si>
  <si>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</si>
  <si>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</si>
  <si>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</si>
  <si>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</si>
  <si>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</si>
  <si>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</si>
  <si>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</si>
  <si>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</si>
  <si>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</si>
  <si>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</si>
  <si>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</si>
  <si>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</si>
  <si>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</si>
  <si>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</si>
  <si>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</si>
  <si>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</si>
  <si>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</si>
  <si>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</si>
  <si>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</si>
  <si>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</si>
  <si>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</si>
  <si>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</si>
  <si>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</si>
  <si>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</si>
  <si>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</si>
  <si>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</si>
  <si>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</si>
  <si>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</si>
  <si>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</si>
  <si>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</si>
  <si>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</si>
  <si>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</si>
  <si>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</si>
  <si>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</si>
  <si>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</si>
  <si>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</si>
  <si>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</si>
  <si>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</si>
  <si>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</si>
  <si>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</si>
  <si>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</si>
  <si>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</si>
  <si>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</si>
  <si>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</si>
  <si>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</si>
  <si>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</si>
  <si>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</si>
  <si>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</si>
  <si>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</si>
  <si>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</si>
  <si>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</si>
  <si>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</si>
  <si>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</si>
  <si>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</si>
  <si>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</si>
  <si>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</si>
  <si>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</si>
  <si>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</si>
  <si>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</si>
  <si>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</si>
  <si>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</si>
  <si>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</si>
  <si>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</si>
  <si>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</si>
  <si>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</si>
  <si>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</si>
  <si>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</si>
  <si>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</si>
  <si>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</si>
  <si>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</si>
  <si>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</si>
  <si>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</si>
  <si>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</si>
  <si>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</si>
  <si>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</si>
  <si>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</si>
  <si>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</si>
  <si>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</si>
  <si>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</si>
  <si>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</si>
  <si>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</si>
  <si>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</si>
  <si>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</si>
  <si>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</si>
  <si>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</si>
  <si>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</si>
  <si>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</si>
  <si>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</si>
  <si>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</si>
  <si>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</si>
  <si>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</si>
  <si>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</si>
  <si>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</si>
  <si>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</si>
  <si>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</si>
  <si>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</si>
  <si>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</si>
  <si>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</si>
  <si>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</si>
  <si>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</si>
  <si>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</si>
  <si>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</si>
  <si>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</si>
  <si>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</si>
  <si>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</si>
  <si>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</si>
  <si>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</si>
  <si>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</si>
  <si>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</si>
  <si>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</si>
  <si>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</si>
  <si>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</si>
  <si>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</si>
  <si>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</si>
  <si>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</si>
  <si>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</si>
  <si>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</si>
  <si>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</si>
  <si>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</si>
  <si>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</si>
  <si>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</si>
  <si>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</si>
  <si>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</si>
  <si>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</si>
  <si>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</si>
  <si>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</si>
  <si>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</si>
  <si>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</si>
  <si>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</si>
  <si>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</si>
  <si>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</si>
  <si>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</si>
  <si>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</si>
  <si>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</si>
  <si>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</si>
  <si>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</si>
  <si>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</si>
  <si>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</si>
  <si>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</si>
  <si>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</si>
  <si>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</si>
  <si>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</si>
  <si>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</si>
  <si>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</si>
  <si>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</si>
  <si>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</si>
  <si>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</si>
  <si>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</si>
  <si>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</si>
  <si>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</si>
  <si>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</si>
  <si>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</si>
  <si>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</si>
  <si>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</si>
  <si>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</si>
  <si>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</si>
  <si>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</si>
  <si>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</si>
  <si>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</si>
  <si>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</si>
  <si>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</si>
  <si>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</si>
  <si>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</si>
  <si>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</si>
  <si>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</si>
  <si>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</si>
  <si>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</si>
  <si>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</si>
  <si>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</si>
  <si>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</si>
  <si>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</si>
  <si>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</si>
  <si>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</si>
  <si>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</si>
  <si>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</si>
  <si>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</si>
  <si>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</si>
  <si>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</si>
  <si>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</si>
  <si>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</si>
  <si>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</si>
  <si>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</si>
  <si>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</si>
  <si>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</si>
  <si>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</si>
  <si>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</si>
  <si>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</si>
  <si>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</si>
  <si>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</si>
  <si>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</si>
  <si>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</si>
  <si>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</si>
  <si>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</si>
  <si>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</si>
  <si>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</si>
  <si>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</si>
  <si>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</si>
  <si>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</si>
  <si>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</si>
  <si>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</si>
  <si>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</si>
  <si>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</si>
  <si>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</si>
  <si>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</si>
  <si>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</si>
  <si>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</si>
  <si>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</si>
  <si>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</si>
  <si>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</si>
  <si>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</si>
  <si>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</si>
  <si>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</si>
  <si>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</si>
  <si>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</si>
  <si>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</si>
  <si>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</si>
  <si>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</si>
  <si>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</si>
  <si>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</si>
  <si>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</si>
  <si>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</si>
  <si>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</si>
  <si>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</si>
  <si>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</si>
  <si>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</si>
  <si>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</si>
  <si>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</si>
  <si>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</si>
  <si>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</si>
  <si>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</si>
  <si>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</si>
  <si>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</si>
  <si>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</si>
  <si>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</si>
  <si>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</si>
  <si>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</si>
  <si>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</si>
  <si>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</si>
  <si>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</si>
  <si>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</si>
  <si>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</si>
  <si>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</si>
  <si>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</si>
  <si>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</si>
  <si>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</si>
  <si>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</si>
  <si>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</si>
  <si>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</si>
  <si>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</si>
  <si>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序号</t>
    <phoneticPr fontId="144" type="noConversion"/>
  </si>
  <si>
    <t>用途</t>
    <phoneticPr fontId="144" type="noConversion"/>
  </si>
  <si>
    <t>建筑面积</t>
    <phoneticPr fontId="144" type="noConversion"/>
  </si>
  <si>
    <t>商业</t>
    <phoneticPr fontId="144" type="noConversion"/>
  </si>
  <si>
    <t>郑燚</t>
  </si>
  <si>
    <t>王萌</t>
  </si>
  <si>
    <t>昆仑信托有限责任公司</t>
    <phoneticPr fontId="7" type="noConversion"/>
  </si>
  <si>
    <t>杭州置信投资发展有限公司</t>
    <phoneticPr fontId="7" type="noConversion"/>
  </si>
  <si>
    <t>其他：</t>
  </si>
  <si>
    <t>浙江省杭州市</t>
    <phoneticPr fontId="7" type="noConversion"/>
  </si>
  <si>
    <t>企业</t>
  </si>
  <si>
    <t>出让</t>
  </si>
  <si>
    <t>商业</t>
    <phoneticPr fontId="7" type="noConversion"/>
  </si>
  <si>
    <t>抵押</t>
  </si>
  <si>
    <t>房地产抵押价值</t>
  </si>
  <si>
    <t>否</t>
  </si>
  <si>
    <t>复印件</t>
  </si>
  <si>
    <t>商业项目</t>
  </si>
  <si>
    <t>商场</t>
  </si>
  <si>
    <t>现房</t>
  </si>
  <si>
    <t>-</t>
  </si>
  <si>
    <t>通路</t>
  </si>
  <si>
    <t>通电</t>
  </si>
  <si>
    <t>通讯</t>
  </si>
  <si>
    <t>通上水</t>
  </si>
  <si>
    <t>通下水</t>
  </si>
  <si>
    <t>燃气</t>
  </si>
  <si>
    <t>二级</t>
    <phoneticPr fontId="7" type="noConversion"/>
  </si>
  <si>
    <t>是</t>
  </si>
  <si>
    <t>地上</t>
  </si>
  <si>
    <t>底商</t>
  </si>
  <si>
    <t>杭州二级</t>
  </si>
  <si>
    <t>杭州二级</t>
    <phoneticPr fontId="4" type="noConversion"/>
  </si>
  <si>
    <t>成新度</t>
  </si>
  <si>
    <t>收益法</t>
  </si>
  <si>
    <t>押一</t>
  </si>
  <si>
    <t>钢混</t>
  </si>
  <si>
    <t>非生产用房</t>
  </si>
  <si>
    <t>收益还原</t>
  </si>
  <si>
    <t>正常</t>
  </si>
  <si>
    <t>商业</t>
    <phoneticPr fontId="32" type="noConversion"/>
  </si>
  <si>
    <t>售价</t>
  </si>
  <si>
    <t>成本法</t>
  </si>
  <si>
    <t>30-40（含）</t>
  </si>
  <si>
    <t>较好</t>
  </si>
  <si>
    <t>六通</t>
  </si>
  <si>
    <t>多面临街</t>
    <phoneticPr fontId="32" type="noConversion"/>
  </si>
  <si>
    <t>双面临街</t>
    <phoneticPr fontId="32" type="noConversion"/>
  </si>
  <si>
    <t>单面临街</t>
  </si>
  <si>
    <t>单面临街</t>
    <phoneticPr fontId="32" type="noConversion"/>
  </si>
  <si>
    <t>综合体商业</t>
    <phoneticPr fontId="32" type="noConversion"/>
  </si>
  <si>
    <t>商业街商业</t>
    <phoneticPr fontId="32" type="noConversion"/>
  </si>
  <si>
    <t>底商</t>
    <phoneticPr fontId="32" type="noConversion"/>
  </si>
  <si>
    <t>钢混</t>
    <phoneticPr fontId="32" type="noConversion"/>
  </si>
  <si>
    <t>混合</t>
    <phoneticPr fontId="32" type="noConversion"/>
  </si>
  <si>
    <t>砖</t>
    <phoneticPr fontId="32" type="noConversion"/>
  </si>
  <si>
    <t>精装修</t>
  </si>
  <si>
    <t>精装修</t>
    <phoneticPr fontId="32" type="noConversion"/>
  </si>
  <si>
    <t>普通装修</t>
    <phoneticPr fontId="32" type="noConversion"/>
  </si>
  <si>
    <t>毛坯</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</si>
  <si>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</si>
  <si>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</si>
  <si>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</si>
  <si>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</si>
  <si>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</si>
  <si>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挑高层高</t>
    <phoneticPr fontId="32" type="noConversion"/>
  </si>
  <si>
    <t>标准层高</t>
  </si>
  <si>
    <t>标准层高</t>
    <phoneticPr fontId="32" type="noConversion"/>
  </si>
  <si>
    <t>较好</t>
    <phoneticPr fontId="32" type="noConversion"/>
  </si>
  <si>
    <t>项目全部</t>
  </si>
  <si>
    <t>估价方法</t>
  </si>
  <si>
    <t>位置</t>
    <phoneticPr fontId="4" type="noConversion"/>
  </si>
  <si>
    <t>外铺</t>
    <phoneticPr fontId="26" type="noConversion"/>
  </si>
  <si>
    <t>内铺</t>
    <phoneticPr fontId="26" type="noConversion"/>
  </si>
  <si>
    <r>
      <rPr>
        <sz val="12"/>
        <color theme="9" tint="-0.249977111117893"/>
        <rFont val="宋体"/>
        <family val="3"/>
        <charset val="134"/>
      </rPr>
      <t>办公4</t>
    </r>
    <r>
      <rPr>
        <sz val="12"/>
        <color theme="9" tint="-0.249977111117893"/>
        <rFont val="Arial"/>
        <family val="2"/>
      </rPr>
      <t>3.3</t>
    </r>
    <r>
      <rPr>
        <sz val="12"/>
        <color theme="9" tint="-0.249977111117893"/>
        <rFont val="宋体"/>
        <family val="3"/>
        <charset val="134"/>
      </rPr>
      <t>年</t>
    </r>
    <phoneticPr fontId="7" type="noConversion"/>
  </si>
  <si>
    <t xml:space="preserve"> </t>
    <phoneticPr fontId="4" type="noConversion"/>
  </si>
  <si>
    <t>房号</t>
    <phoneticPr fontId="144" type="noConversion"/>
  </si>
  <si>
    <t>3-301</t>
    <phoneticPr fontId="144" type="noConversion"/>
  </si>
  <si>
    <t>3-302</t>
  </si>
  <si>
    <t>3-303</t>
  </si>
  <si>
    <t>3-304</t>
  </si>
  <si>
    <t>3-305</t>
  </si>
  <si>
    <t>3-306</t>
  </si>
  <si>
    <t>3-307</t>
  </si>
  <si>
    <t>3-308</t>
  </si>
  <si>
    <t>3-309</t>
  </si>
  <si>
    <t>3-310</t>
  </si>
  <si>
    <t>3-311</t>
  </si>
  <si>
    <t>3-312</t>
  </si>
  <si>
    <t>3-313</t>
  </si>
  <si>
    <t>3-314</t>
  </si>
  <si>
    <t>3-315</t>
  </si>
  <si>
    <t>3-316</t>
  </si>
  <si>
    <t>3-317</t>
  </si>
  <si>
    <t>3-318</t>
  </si>
  <si>
    <t>3-319</t>
  </si>
  <si>
    <t>4-301</t>
    <phoneticPr fontId="144" type="noConversion"/>
  </si>
  <si>
    <t>4-302</t>
  </si>
  <si>
    <t>4-303</t>
  </si>
  <si>
    <t>4-304</t>
  </si>
  <si>
    <t>4-305</t>
  </si>
  <si>
    <t>4-306</t>
  </si>
  <si>
    <t>4-307</t>
  </si>
  <si>
    <t>4-308</t>
  </si>
  <si>
    <t>4-309</t>
  </si>
  <si>
    <t>4-310</t>
  </si>
  <si>
    <t>4-311</t>
  </si>
  <si>
    <t>4-312</t>
  </si>
  <si>
    <t>4-313</t>
  </si>
  <si>
    <t>4-314</t>
  </si>
  <si>
    <t>4-315</t>
  </si>
  <si>
    <t>4-316</t>
  </si>
  <si>
    <t>4-317</t>
  </si>
  <si>
    <t>3-401</t>
    <phoneticPr fontId="144" type="noConversion"/>
  </si>
  <si>
    <t>3-402</t>
  </si>
  <si>
    <t>3-403</t>
  </si>
  <si>
    <t>3-404</t>
  </si>
  <si>
    <t>3-405</t>
  </si>
  <si>
    <t>3-406</t>
  </si>
  <si>
    <t>3-407</t>
  </si>
  <si>
    <t>3-408</t>
  </si>
  <si>
    <t>3-409</t>
  </si>
  <si>
    <t>3-410</t>
  </si>
  <si>
    <t>3-411</t>
  </si>
  <si>
    <t>3-412</t>
  </si>
  <si>
    <t>3-413</t>
  </si>
  <si>
    <t>3-414</t>
  </si>
  <si>
    <t>3-415</t>
  </si>
  <si>
    <t>3-416</t>
  </si>
  <si>
    <t>3-417</t>
  </si>
  <si>
    <t>3-418</t>
  </si>
  <si>
    <t>3-419</t>
  </si>
  <si>
    <t>4-401</t>
    <phoneticPr fontId="144" type="noConversion"/>
  </si>
  <si>
    <t>4-402</t>
  </si>
  <si>
    <t>4-403</t>
  </si>
  <si>
    <t>4-404</t>
  </si>
  <si>
    <t>4-405</t>
  </si>
  <si>
    <t>4-406</t>
  </si>
  <si>
    <t>4-407</t>
  </si>
  <si>
    <t>4-408</t>
  </si>
  <si>
    <t>4-409</t>
  </si>
  <si>
    <t>4-410</t>
  </si>
  <si>
    <t>4-411</t>
  </si>
  <si>
    <t>4-412</t>
  </si>
  <si>
    <t>4-413</t>
  </si>
  <si>
    <t>4-414</t>
  </si>
  <si>
    <t>4-415</t>
  </si>
  <si>
    <t>4-416</t>
  </si>
  <si>
    <t>4-417</t>
  </si>
  <si>
    <r>
      <t>3</t>
    </r>
    <r>
      <rPr>
        <sz val="11"/>
        <color theme="1"/>
        <rFont val="宋体"/>
        <family val="3"/>
        <charset val="134"/>
        <scheme val="minor"/>
      </rPr>
      <t>-501</t>
    </r>
    <phoneticPr fontId="144" type="noConversion"/>
  </si>
  <si>
    <r>
      <t>3</t>
    </r>
    <r>
      <rPr>
        <sz val="11"/>
        <color theme="1"/>
        <rFont val="宋体"/>
        <family val="3"/>
        <charset val="134"/>
        <scheme val="minor"/>
      </rPr>
      <t>-502</t>
    </r>
    <r>
      <rPr>
        <sz val="11"/>
        <color theme="1"/>
        <rFont val="宋体"/>
        <family val="2"/>
        <charset val="134"/>
        <scheme val="minor"/>
      </rPr>
      <t/>
    </r>
  </si>
  <si>
    <r>
      <t>3</t>
    </r>
    <r>
      <rPr>
        <sz val="11"/>
        <color theme="1"/>
        <rFont val="宋体"/>
        <family val="3"/>
        <charset val="134"/>
        <scheme val="minor"/>
      </rPr>
      <t>-503</t>
    </r>
    <r>
      <rPr>
        <sz val="11"/>
        <color theme="1"/>
        <rFont val="宋体"/>
        <family val="2"/>
        <charset val="134"/>
        <scheme val="minor"/>
      </rPr>
      <t/>
    </r>
  </si>
  <si>
    <r>
      <t>3</t>
    </r>
    <r>
      <rPr>
        <sz val="11"/>
        <color theme="1"/>
        <rFont val="宋体"/>
        <family val="3"/>
        <charset val="134"/>
        <scheme val="minor"/>
      </rPr>
      <t>-504</t>
    </r>
    <r>
      <rPr>
        <sz val="11"/>
        <color theme="1"/>
        <rFont val="宋体"/>
        <family val="2"/>
        <charset val="134"/>
        <scheme val="minor"/>
      </rPr>
      <t/>
    </r>
  </si>
  <si>
    <r>
      <t>3</t>
    </r>
    <r>
      <rPr>
        <sz val="11"/>
        <color theme="1"/>
        <rFont val="宋体"/>
        <family val="3"/>
        <charset val="134"/>
        <scheme val="minor"/>
      </rPr>
      <t>-505</t>
    </r>
    <r>
      <rPr>
        <sz val="11"/>
        <color theme="1"/>
        <rFont val="宋体"/>
        <family val="2"/>
        <charset val="134"/>
        <scheme val="minor"/>
      </rPr>
      <t/>
    </r>
  </si>
  <si>
    <r>
      <t>3</t>
    </r>
    <r>
      <rPr>
        <sz val="11"/>
        <color theme="1"/>
        <rFont val="宋体"/>
        <family val="3"/>
        <charset val="134"/>
        <scheme val="minor"/>
      </rPr>
      <t>-506</t>
    </r>
    <r>
      <rPr>
        <sz val="11"/>
        <color theme="1"/>
        <rFont val="宋体"/>
        <family val="2"/>
        <charset val="134"/>
        <scheme val="minor"/>
      </rPr>
      <t/>
    </r>
  </si>
  <si>
    <r>
      <t>3</t>
    </r>
    <r>
      <rPr>
        <sz val="11"/>
        <color theme="1"/>
        <rFont val="宋体"/>
        <family val="3"/>
        <charset val="134"/>
        <scheme val="minor"/>
      </rPr>
      <t>-507</t>
    </r>
    <r>
      <rPr>
        <sz val="11"/>
        <color theme="1"/>
        <rFont val="宋体"/>
        <family val="2"/>
        <charset val="134"/>
        <scheme val="minor"/>
      </rPr>
      <t/>
    </r>
  </si>
  <si>
    <r>
      <t>3</t>
    </r>
    <r>
      <rPr>
        <sz val="11"/>
        <color theme="1"/>
        <rFont val="宋体"/>
        <family val="3"/>
        <charset val="134"/>
        <scheme val="minor"/>
      </rPr>
      <t>-508</t>
    </r>
    <r>
      <rPr>
        <sz val="11"/>
        <color theme="1"/>
        <rFont val="宋体"/>
        <family val="2"/>
        <charset val="134"/>
        <scheme val="minor"/>
      </rPr>
      <t/>
    </r>
  </si>
  <si>
    <r>
      <t>3</t>
    </r>
    <r>
      <rPr>
        <sz val="11"/>
        <color theme="1"/>
        <rFont val="宋体"/>
        <family val="3"/>
        <charset val="134"/>
        <scheme val="minor"/>
      </rPr>
      <t>-509</t>
    </r>
    <r>
      <rPr>
        <sz val="11"/>
        <color theme="1"/>
        <rFont val="宋体"/>
        <family val="2"/>
        <charset val="134"/>
        <scheme val="minor"/>
      </rPr>
      <t/>
    </r>
  </si>
  <si>
    <r>
      <t>3</t>
    </r>
    <r>
      <rPr>
        <sz val="11"/>
        <color theme="1"/>
        <rFont val="宋体"/>
        <family val="3"/>
        <charset val="134"/>
        <scheme val="minor"/>
      </rPr>
      <t>-510</t>
    </r>
    <r>
      <rPr>
        <sz val="11"/>
        <color theme="1"/>
        <rFont val="宋体"/>
        <family val="2"/>
        <charset val="134"/>
        <scheme val="minor"/>
      </rPr>
      <t/>
    </r>
  </si>
  <si>
    <r>
      <t>3</t>
    </r>
    <r>
      <rPr>
        <sz val="11"/>
        <color theme="1"/>
        <rFont val="宋体"/>
        <family val="3"/>
        <charset val="134"/>
        <scheme val="minor"/>
      </rPr>
      <t>-511</t>
    </r>
    <r>
      <rPr>
        <sz val="11"/>
        <color theme="1"/>
        <rFont val="宋体"/>
        <family val="2"/>
        <charset val="134"/>
        <scheme val="minor"/>
      </rPr>
      <t/>
    </r>
  </si>
  <si>
    <r>
      <t>3</t>
    </r>
    <r>
      <rPr>
        <sz val="11"/>
        <color theme="1"/>
        <rFont val="宋体"/>
        <family val="3"/>
        <charset val="134"/>
        <scheme val="minor"/>
      </rPr>
      <t>-512</t>
    </r>
    <r>
      <rPr>
        <sz val="11"/>
        <color theme="1"/>
        <rFont val="宋体"/>
        <family val="2"/>
        <charset val="134"/>
        <scheme val="minor"/>
      </rPr>
      <t/>
    </r>
  </si>
  <si>
    <r>
      <t>3</t>
    </r>
    <r>
      <rPr>
        <sz val="11"/>
        <color theme="1"/>
        <rFont val="宋体"/>
        <family val="3"/>
        <charset val="134"/>
        <scheme val="minor"/>
      </rPr>
      <t>-513</t>
    </r>
    <r>
      <rPr>
        <sz val="11"/>
        <color theme="1"/>
        <rFont val="宋体"/>
        <family val="2"/>
        <charset val="134"/>
        <scheme val="minor"/>
      </rPr>
      <t/>
    </r>
  </si>
  <si>
    <r>
      <t>3</t>
    </r>
    <r>
      <rPr>
        <sz val="11"/>
        <color theme="1"/>
        <rFont val="宋体"/>
        <family val="3"/>
        <charset val="134"/>
        <scheme val="minor"/>
      </rPr>
      <t>-514</t>
    </r>
    <r>
      <rPr>
        <sz val="11"/>
        <color theme="1"/>
        <rFont val="宋体"/>
        <family val="2"/>
        <charset val="134"/>
        <scheme val="minor"/>
      </rPr>
      <t/>
    </r>
  </si>
  <si>
    <r>
      <t>3</t>
    </r>
    <r>
      <rPr>
        <sz val="11"/>
        <color theme="1"/>
        <rFont val="宋体"/>
        <family val="3"/>
        <charset val="134"/>
        <scheme val="minor"/>
      </rPr>
      <t>-515</t>
    </r>
    <r>
      <rPr>
        <sz val="11"/>
        <color theme="1"/>
        <rFont val="宋体"/>
        <family val="2"/>
        <charset val="134"/>
        <scheme val="minor"/>
      </rPr>
      <t/>
    </r>
  </si>
  <si>
    <r>
      <t>3</t>
    </r>
    <r>
      <rPr>
        <sz val="11"/>
        <color theme="1"/>
        <rFont val="宋体"/>
        <family val="3"/>
        <charset val="134"/>
        <scheme val="minor"/>
      </rPr>
      <t>-516</t>
    </r>
    <r>
      <rPr>
        <sz val="11"/>
        <color theme="1"/>
        <rFont val="宋体"/>
        <family val="2"/>
        <charset val="134"/>
        <scheme val="minor"/>
      </rPr>
      <t/>
    </r>
  </si>
  <si>
    <r>
      <t>3</t>
    </r>
    <r>
      <rPr>
        <sz val="11"/>
        <color theme="1"/>
        <rFont val="宋体"/>
        <family val="3"/>
        <charset val="134"/>
        <scheme val="minor"/>
      </rPr>
      <t>-517</t>
    </r>
    <r>
      <rPr>
        <sz val="11"/>
        <color theme="1"/>
        <rFont val="宋体"/>
        <family val="2"/>
        <charset val="134"/>
        <scheme val="minor"/>
      </rPr>
      <t/>
    </r>
  </si>
  <si>
    <r>
      <t>3</t>
    </r>
    <r>
      <rPr>
        <sz val="11"/>
        <color theme="1"/>
        <rFont val="宋体"/>
        <family val="3"/>
        <charset val="134"/>
        <scheme val="minor"/>
      </rPr>
      <t>-518</t>
    </r>
    <r>
      <rPr>
        <sz val="11"/>
        <color theme="1"/>
        <rFont val="宋体"/>
        <family val="2"/>
        <charset val="134"/>
        <scheme val="minor"/>
      </rPr>
      <t/>
    </r>
  </si>
  <si>
    <r>
      <t>3</t>
    </r>
    <r>
      <rPr>
        <sz val="11"/>
        <color theme="1"/>
        <rFont val="宋体"/>
        <family val="3"/>
        <charset val="134"/>
        <scheme val="minor"/>
      </rPr>
      <t>-519</t>
    </r>
    <r>
      <rPr>
        <sz val="11"/>
        <color theme="1"/>
        <rFont val="宋体"/>
        <family val="2"/>
        <charset val="134"/>
        <scheme val="minor"/>
      </rPr>
      <t/>
    </r>
  </si>
  <si>
    <r>
      <t>4</t>
    </r>
    <r>
      <rPr>
        <sz val="11"/>
        <color theme="1"/>
        <rFont val="宋体"/>
        <family val="3"/>
        <charset val="134"/>
        <scheme val="minor"/>
      </rPr>
      <t>-501</t>
    </r>
    <phoneticPr fontId="144" type="noConversion"/>
  </si>
  <si>
    <r>
      <t>4</t>
    </r>
    <r>
      <rPr>
        <sz val="11"/>
        <color theme="1"/>
        <rFont val="宋体"/>
        <family val="3"/>
        <charset val="134"/>
        <scheme val="minor"/>
      </rPr>
      <t>-502</t>
    </r>
    <r>
      <rPr>
        <sz val="11"/>
        <color theme="1"/>
        <rFont val="宋体"/>
        <family val="2"/>
        <charset val="134"/>
        <scheme val="minor"/>
      </rPr>
      <t/>
    </r>
  </si>
  <si>
    <r>
      <t>4</t>
    </r>
    <r>
      <rPr>
        <sz val="11"/>
        <color theme="1"/>
        <rFont val="宋体"/>
        <family val="3"/>
        <charset val="134"/>
        <scheme val="minor"/>
      </rPr>
      <t>-503</t>
    </r>
    <r>
      <rPr>
        <sz val="11"/>
        <color theme="1"/>
        <rFont val="宋体"/>
        <family val="2"/>
        <charset val="134"/>
        <scheme val="minor"/>
      </rPr>
      <t/>
    </r>
  </si>
  <si>
    <r>
      <t>4</t>
    </r>
    <r>
      <rPr>
        <sz val="11"/>
        <color theme="1"/>
        <rFont val="宋体"/>
        <family val="3"/>
        <charset val="134"/>
        <scheme val="minor"/>
      </rPr>
      <t>-504</t>
    </r>
    <r>
      <rPr>
        <sz val="11"/>
        <color theme="1"/>
        <rFont val="宋体"/>
        <family val="2"/>
        <charset val="134"/>
        <scheme val="minor"/>
      </rPr>
      <t/>
    </r>
  </si>
  <si>
    <r>
      <t>4</t>
    </r>
    <r>
      <rPr>
        <sz val="11"/>
        <color theme="1"/>
        <rFont val="宋体"/>
        <family val="3"/>
        <charset val="134"/>
        <scheme val="minor"/>
      </rPr>
      <t>-505</t>
    </r>
    <r>
      <rPr>
        <sz val="11"/>
        <color theme="1"/>
        <rFont val="宋体"/>
        <family val="2"/>
        <charset val="134"/>
        <scheme val="minor"/>
      </rPr>
      <t/>
    </r>
  </si>
  <si>
    <r>
      <t>4</t>
    </r>
    <r>
      <rPr>
        <sz val="11"/>
        <color theme="1"/>
        <rFont val="宋体"/>
        <family val="3"/>
        <charset val="134"/>
        <scheme val="minor"/>
      </rPr>
      <t>-506</t>
    </r>
    <r>
      <rPr>
        <sz val="11"/>
        <color theme="1"/>
        <rFont val="宋体"/>
        <family val="2"/>
        <charset val="134"/>
        <scheme val="minor"/>
      </rPr>
      <t/>
    </r>
  </si>
  <si>
    <r>
      <t>4</t>
    </r>
    <r>
      <rPr>
        <sz val="11"/>
        <color theme="1"/>
        <rFont val="宋体"/>
        <family val="3"/>
        <charset val="134"/>
        <scheme val="minor"/>
      </rPr>
      <t>-507</t>
    </r>
    <r>
      <rPr>
        <sz val="11"/>
        <color theme="1"/>
        <rFont val="宋体"/>
        <family val="2"/>
        <charset val="134"/>
        <scheme val="minor"/>
      </rPr>
      <t/>
    </r>
  </si>
  <si>
    <r>
      <t>4</t>
    </r>
    <r>
      <rPr>
        <sz val="11"/>
        <color theme="1"/>
        <rFont val="宋体"/>
        <family val="3"/>
        <charset val="134"/>
        <scheme val="minor"/>
      </rPr>
      <t>-508</t>
    </r>
    <r>
      <rPr>
        <sz val="11"/>
        <color theme="1"/>
        <rFont val="宋体"/>
        <family val="2"/>
        <charset val="134"/>
        <scheme val="minor"/>
      </rPr>
      <t/>
    </r>
  </si>
  <si>
    <r>
      <t>4</t>
    </r>
    <r>
      <rPr>
        <sz val="11"/>
        <color theme="1"/>
        <rFont val="宋体"/>
        <family val="3"/>
        <charset val="134"/>
        <scheme val="minor"/>
      </rPr>
      <t>-509</t>
    </r>
    <r>
      <rPr>
        <sz val="11"/>
        <color theme="1"/>
        <rFont val="宋体"/>
        <family val="2"/>
        <charset val="134"/>
        <scheme val="minor"/>
      </rPr>
      <t/>
    </r>
  </si>
  <si>
    <r>
      <t>4</t>
    </r>
    <r>
      <rPr>
        <sz val="11"/>
        <color theme="1"/>
        <rFont val="宋体"/>
        <family val="3"/>
        <charset val="134"/>
        <scheme val="minor"/>
      </rPr>
      <t>-510</t>
    </r>
    <r>
      <rPr>
        <sz val="11"/>
        <color theme="1"/>
        <rFont val="宋体"/>
        <family val="2"/>
        <charset val="134"/>
        <scheme val="minor"/>
      </rPr>
      <t/>
    </r>
  </si>
  <si>
    <r>
      <t>4</t>
    </r>
    <r>
      <rPr>
        <sz val="11"/>
        <color theme="1"/>
        <rFont val="宋体"/>
        <family val="3"/>
        <charset val="134"/>
        <scheme val="minor"/>
      </rPr>
      <t>-511</t>
    </r>
    <r>
      <rPr>
        <sz val="11"/>
        <color theme="1"/>
        <rFont val="宋体"/>
        <family val="2"/>
        <charset val="134"/>
        <scheme val="minor"/>
      </rPr>
      <t/>
    </r>
  </si>
  <si>
    <r>
      <t>4</t>
    </r>
    <r>
      <rPr>
        <sz val="11"/>
        <color theme="1"/>
        <rFont val="宋体"/>
        <family val="3"/>
        <charset val="134"/>
        <scheme val="minor"/>
      </rPr>
      <t>-512</t>
    </r>
    <r>
      <rPr>
        <sz val="11"/>
        <color theme="1"/>
        <rFont val="宋体"/>
        <family val="2"/>
        <charset val="134"/>
        <scheme val="minor"/>
      </rPr>
      <t/>
    </r>
  </si>
  <si>
    <r>
      <t>4</t>
    </r>
    <r>
      <rPr>
        <sz val="11"/>
        <color theme="1"/>
        <rFont val="宋体"/>
        <family val="3"/>
        <charset val="134"/>
        <scheme val="minor"/>
      </rPr>
      <t>-513</t>
    </r>
    <r>
      <rPr>
        <sz val="11"/>
        <color theme="1"/>
        <rFont val="宋体"/>
        <family val="2"/>
        <charset val="134"/>
        <scheme val="minor"/>
      </rPr>
      <t/>
    </r>
  </si>
  <si>
    <r>
      <t>4</t>
    </r>
    <r>
      <rPr>
        <sz val="11"/>
        <color theme="1"/>
        <rFont val="宋体"/>
        <family val="3"/>
        <charset val="134"/>
        <scheme val="minor"/>
      </rPr>
      <t>-514</t>
    </r>
    <r>
      <rPr>
        <sz val="11"/>
        <color theme="1"/>
        <rFont val="宋体"/>
        <family val="2"/>
        <charset val="134"/>
        <scheme val="minor"/>
      </rPr>
      <t/>
    </r>
  </si>
  <si>
    <r>
      <t>4</t>
    </r>
    <r>
      <rPr>
        <sz val="11"/>
        <color theme="1"/>
        <rFont val="宋体"/>
        <family val="3"/>
        <charset val="134"/>
        <scheme val="minor"/>
      </rPr>
      <t>-515</t>
    </r>
    <r>
      <rPr>
        <sz val="11"/>
        <color theme="1"/>
        <rFont val="宋体"/>
        <family val="2"/>
        <charset val="134"/>
        <scheme val="minor"/>
      </rPr>
      <t/>
    </r>
  </si>
  <si>
    <r>
      <t>4</t>
    </r>
    <r>
      <rPr>
        <sz val="11"/>
        <color theme="1"/>
        <rFont val="宋体"/>
        <family val="3"/>
        <charset val="134"/>
        <scheme val="minor"/>
      </rPr>
      <t>-516</t>
    </r>
    <r>
      <rPr>
        <sz val="11"/>
        <color theme="1"/>
        <rFont val="宋体"/>
        <family val="2"/>
        <charset val="134"/>
        <scheme val="minor"/>
      </rPr>
      <t/>
    </r>
  </si>
  <si>
    <r>
      <t>4</t>
    </r>
    <r>
      <rPr>
        <sz val="11"/>
        <color theme="1"/>
        <rFont val="宋体"/>
        <family val="3"/>
        <charset val="134"/>
        <scheme val="minor"/>
      </rPr>
      <t>-517</t>
    </r>
    <r>
      <rPr>
        <sz val="11"/>
        <color theme="1"/>
        <rFont val="宋体"/>
        <family val="2"/>
        <charset val="134"/>
        <scheme val="minor"/>
      </rPr>
      <t/>
    </r>
  </si>
  <si>
    <r>
      <t>1</t>
    </r>
    <r>
      <rPr>
        <sz val="11"/>
        <color theme="1"/>
        <rFont val="宋体"/>
        <family val="3"/>
        <charset val="134"/>
        <scheme val="minor"/>
      </rPr>
      <t>-601</t>
    </r>
    <phoneticPr fontId="144" type="noConversion"/>
  </si>
  <si>
    <r>
      <t>1</t>
    </r>
    <r>
      <rPr>
        <sz val="11"/>
        <color theme="1"/>
        <rFont val="宋体"/>
        <family val="3"/>
        <charset val="134"/>
        <scheme val="minor"/>
      </rPr>
      <t>-602</t>
    </r>
    <r>
      <rPr>
        <sz val="11"/>
        <color theme="1"/>
        <rFont val="宋体"/>
        <family val="2"/>
        <charset val="134"/>
        <scheme val="minor"/>
      </rPr>
      <t/>
    </r>
  </si>
  <si>
    <r>
      <t>1</t>
    </r>
    <r>
      <rPr>
        <sz val="11"/>
        <color theme="1"/>
        <rFont val="宋体"/>
        <family val="3"/>
        <charset val="134"/>
        <scheme val="minor"/>
      </rPr>
      <t>-603</t>
    </r>
    <r>
      <rPr>
        <sz val="11"/>
        <color theme="1"/>
        <rFont val="宋体"/>
        <family val="2"/>
        <charset val="134"/>
        <scheme val="minor"/>
      </rPr>
      <t/>
    </r>
  </si>
  <si>
    <r>
      <t>1</t>
    </r>
    <r>
      <rPr>
        <sz val="11"/>
        <color theme="1"/>
        <rFont val="宋体"/>
        <family val="3"/>
        <charset val="134"/>
        <scheme val="minor"/>
      </rPr>
      <t>-604</t>
    </r>
    <r>
      <rPr>
        <sz val="11"/>
        <color theme="1"/>
        <rFont val="宋体"/>
        <family val="2"/>
        <charset val="134"/>
        <scheme val="minor"/>
      </rPr>
      <t/>
    </r>
  </si>
  <si>
    <r>
      <t>1</t>
    </r>
    <r>
      <rPr>
        <sz val="11"/>
        <color theme="1"/>
        <rFont val="宋体"/>
        <family val="3"/>
        <charset val="134"/>
        <scheme val="minor"/>
      </rPr>
      <t>-605</t>
    </r>
    <r>
      <rPr>
        <sz val="11"/>
        <color theme="1"/>
        <rFont val="宋体"/>
        <family val="2"/>
        <charset val="134"/>
        <scheme val="minor"/>
      </rPr>
      <t/>
    </r>
  </si>
  <si>
    <r>
      <t>1</t>
    </r>
    <r>
      <rPr>
        <sz val="11"/>
        <color theme="1"/>
        <rFont val="宋体"/>
        <family val="3"/>
        <charset val="134"/>
        <scheme val="minor"/>
      </rPr>
      <t>-606</t>
    </r>
    <r>
      <rPr>
        <sz val="11"/>
        <color theme="1"/>
        <rFont val="宋体"/>
        <family val="2"/>
        <charset val="134"/>
        <scheme val="minor"/>
      </rPr>
      <t/>
    </r>
  </si>
  <si>
    <r>
      <t>1</t>
    </r>
    <r>
      <rPr>
        <sz val="11"/>
        <color theme="1"/>
        <rFont val="宋体"/>
        <family val="3"/>
        <charset val="134"/>
        <scheme val="minor"/>
      </rPr>
      <t>-607</t>
    </r>
    <r>
      <rPr>
        <sz val="11"/>
        <color theme="1"/>
        <rFont val="宋体"/>
        <family val="2"/>
        <charset val="134"/>
        <scheme val="minor"/>
      </rPr>
      <t/>
    </r>
  </si>
  <si>
    <r>
      <t>1</t>
    </r>
    <r>
      <rPr>
        <sz val="11"/>
        <color theme="1"/>
        <rFont val="宋体"/>
        <family val="3"/>
        <charset val="134"/>
        <scheme val="minor"/>
      </rPr>
      <t>-608</t>
    </r>
    <r>
      <rPr>
        <sz val="11"/>
        <color theme="1"/>
        <rFont val="宋体"/>
        <family val="2"/>
        <charset val="134"/>
        <scheme val="minor"/>
      </rPr>
      <t/>
    </r>
  </si>
  <si>
    <r>
      <t>1</t>
    </r>
    <r>
      <rPr>
        <sz val="11"/>
        <color theme="1"/>
        <rFont val="宋体"/>
        <family val="3"/>
        <charset val="134"/>
        <scheme val="minor"/>
      </rPr>
      <t>-609</t>
    </r>
    <r>
      <rPr>
        <sz val="11"/>
        <color theme="1"/>
        <rFont val="宋体"/>
        <family val="2"/>
        <charset val="134"/>
        <scheme val="minor"/>
      </rPr>
      <t/>
    </r>
  </si>
  <si>
    <r>
      <t>1</t>
    </r>
    <r>
      <rPr>
        <sz val="11"/>
        <color theme="1"/>
        <rFont val="宋体"/>
        <family val="3"/>
        <charset val="134"/>
        <scheme val="minor"/>
      </rPr>
      <t>-610</t>
    </r>
    <r>
      <rPr>
        <sz val="11"/>
        <color theme="1"/>
        <rFont val="宋体"/>
        <family val="2"/>
        <charset val="134"/>
        <scheme val="minor"/>
      </rPr>
      <t/>
    </r>
  </si>
  <si>
    <r>
      <t>1</t>
    </r>
    <r>
      <rPr>
        <sz val="11"/>
        <color theme="1"/>
        <rFont val="宋体"/>
        <family val="3"/>
        <charset val="134"/>
        <scheme val="minor"/>
      </rPr>
      <t>-611</t>
    </r>
    <r>
      <rPr>
        <sz val="11"/>
        <color theme="1"/>
        <rFont val="宋体"/>
        <family val="2"/>
        <charset val="134"/>
        <scheme val="minor"/>
      </rPr>
      <t/>
    </r>
  </si>
  <si>
    <r>
      <t>1</t>
    </r>
    <r>
      <rPr>
        <sz val="11"/>
        <color theme="1"/>
        <rFont val="宋体"/>
        <family val="3"/>
        <charset val="134"/>
        <scheme val="minor"/>
      </rPr>
      <t>-612</t>
    </r>
    <r>
      <rPr>
        <sz val="11"/>
        <color theme="1"/>
        <rFont val="宋体"/>
        <family val="2"/>
        <charset val="134"/>
        <scheme val="minor"/>
      </rPr>
      <t/>
    </r>
  </si>
  <si>
    <r>
      <t>1</t>
    </r>
    <r>
      <rPr>
        <sz val="11"/>
        <color theme="1"/>
        <rFont val="宋体"/>
        <family val="3"/>
        <charset val="134"/>
        <scheme val="minor"/>
      </rPr>
      <t>-613</t>
    </r>
    <r>
      <rPr>
        <sz val="11"/>
        <color theme="1"/>
        <rFont val="宋体"/>
        <family val="2"/>
        <charset val="134"/>
        <scheme val="minor"/>
      </rPr>
      <t/>
    </r>
  </si>
  <si>
    <r>
      <t>1</t>
    </r>
    <r>
      <rPr>
        <sz val="11"/>
        <color theme="1"/>
        <rFont val="宋体"/>
        <family val="3"/>
        <charset val="134"/>
        <scheme val="minor"/>
      </rPr>
      <t>-614</t>
    </r>
    <r>
      <rPr>
        <sz val="11"/>
        <color theme="1"/>
        <rFont val="宋体"/>
        <family val="2"/>
        <charset val="134"/>
        <scheme val="minor"/>
      </rPr>
      <t/>
    </r>
  </si>
  <si>
    <r>
      <t>1</t>
    </r>
    <r>
      <rPr>
        <sz val="11"/>
        <color theme="1"/>
        <rFont val="宋体"/>
        <family val="3"/>
        <charset val="134"/>
        <scheme val="minor"/>
      </rPr>
      <t>-615</t>
    </r>
    <r>
      <rPr>
        <sz val="11"/>
        <color theme="1"/>
        <rFont val="宋体"/>
        <family val="2"/>
        <charset val="134"/>
        <scheme val="minor"/>
      </rPr>
      <t/>
    </r>
  </si>
  <si>
    <r>
      <t>1</t>
    </r>
    <r>
      <rPr>
        <sz val="11"/>
        <color theme="1"/>
        <rFont val="宋体"/>
        <family val="3"/>
        <charset val="134"/>
        <scheme val="minor"/>
      </rPr>
      <t>-616</t>
    </r>
    <r>
      <rPr>
        <sz val="11"/>
        <color theme="1"/>
        <rFont val="宋体"/>
        <family val="2"/>
        <charset val="134"/>
        <scheme val="minor"/>
      </rPr>
      <t/>
    </r>
  </si>
  <si>
    <r>
      <t>1</t>
    </r>
    <r>
      <rPr>
        <sz val="11"/>
        <color theme="1"/>
        <rFont val="宋体"/>
        <family val="3"/>
        <charset val="134"/>
        <scheme val="minor"/>
      </rPr>
      <t>-617</t>
    </r>
    <r>
      <rPr>
        <sz val="11"/>
        <color theme="1"/>
        <rFont val="宋体"/>
        <family val="2"/>
        <charset val="134"/>
        <scheme val="minor"/>
      </rPr>
      <t/>
    </r>
  </si>
  <si>
    <r>
      <t>1</t>
    </r>
    <r>
      <rPr>
        <sz val="11"/>
        <color theme="1"/>
        <rFont val="宋体"/>
        <family val="3"/>
        <charset val="134"/>
        <scheme val="minor"/>
      </rPr>
      <t>-618</t>
    </r>
    <r>
      <rPr>
        <sz val="11"/>
        <color theme="1"/>
        <rFont val="宋体"/>
        <family val="2"/>
        <charset val="134"/>
        <scheme val="minor"/>
      </rPr>
      <t/>
    </r>
  </si>
  <si>
    <r>
      <t>1</t>
    </r>
    <r>
      <rPr>
        <sz val="11"/>
        <color theme="1"/>
        <rFont val="宋体"/>
        <family val="3"/>
        <charset val="134"/>
        <scheme val="minor"/>
      </rPr>
      <t>-619</t>
    </r>
    <r>
      <rPr>
        <sz val="11"/>
        <color theme="1"/>
        <rFont val="宋体"/>
        <family val="2"/>
        <charset val="134"/>
        <scheme val="minor"/>
      </rPr>
      <t/>
    </r>
  </si>
  <si>
    <r>
      <t>1</t>
    </r>
    <r>
      <rPr>
        <sz val="11"/>
        <color theme="1"/>
        <rFont val="宋体"/>
        <family val="3"/>
        <charset val="134"/>
        <scheme val="minor"/>
      </rPr>
      <t>-620</t>
    </r>
    <r>
      <rPr>
        <sz val="11"/>
        <color theme="1"/>
        <rFont val="宋体"/>
        <family val="2"/>
        <charset val="134"/>
        <scheme val="minor"/>
      </rPr>
      <t/>
    </r>
  </si>
  <si>
    <r>
      <t>2</t>
    </r>
    <r>
      <rPr>
        <sz val="11"/>
        <color theme="1"/>
        <rFont val="宋体"/>
        <family val="3"/>
        <charset val="134"/>
        <scheme val="minor"/>
      </rPr>
      <t>-601</t>
    </r>
    <phoneticPr fontId="144" type="noConversion"/>
  </si>
  <si>
    <r>
      <t>2</t>
    </r>
    <r>
      <rPr>
        <sz val="11"/>
        <color theme="1"/>
        <rFont val="宋体"/>
        <family val="3"/>
        <charset val="134"/>
        <scheme val="minor"/>
      </rPr>
      <t>-602</t>
    </r>
    <r>
      <rPr>
        <sz val="11"/>
        <color theme="1"/>
        <rFont val="宋体"/>
        <family val="2"/>
        <charset val="134"/>
        <scheme val="minor"/>
      </rPr>
      <t/>
    </r>
  </si>
  <si>
    <r>
      <t>2</t>
    </r>
    <r>
      <rPr>
        <sz val="11"/>
        <color theme="1"/>
        <rFont val="宋体"/>
        <family val="3"/>
        <charset val="134"/>
        <scheme val="minor"/>
      </rPr>
      <t>-603</t>
    </r>
    <r>
      <rPr>
        <sz val="11"/>
        <color theme="1"/>
        <rFont val="宋体"/>
        <family val="2"/>
        <charset val="134"/>
        <scheme val="minor"/>
      </rPr>
      <t/>
    </r>
  </si>
  <si>
    <r>
      <t>2</t>
    </r>
    <r>
      <rPr>
        <sz val="11"/>
        <color theme="1"/>
        <rFont val="宋体"/>
        <family val="3"/>
        <charset val="134"/>
        <scheme val="minor"/>
      </rPr>
      <t>-604</t>
    </r>
    <r>
      <rPr>
        <sz val="11"/>
        <color theme="1"/>
        <rFont val="宋体"/>
        <family val="2"/>
        <charset val="134"/>
        <scheme val="minor"/>
      </rPr>
      <t/>
    </r>
  </si>
  <si>
    <r>
      <t>2</t>
    </r>
    <r>
      <rPr>
        <sz val="11"/>
        <color theme="1"/>
        <rFont val="宋体"/>
        <family val="3"/>
        <charset val="134"/>
        <scheme val="minor"/>
      </rPr>
      <t>-605</t>
    </r>
    <r>
      <rPr>
        <sz val="11"/>
        <color theme="1"/>
        <rFont val="宋体"/>
        <family val="2"/>
        <charset val="134"/>
        <scheme val="minor"/>
      </rPr>
      <t/>
    </r>
  </si>
  <si>
    <r>
      <t>2</t>
    </r>
    <r>
      <rPr>
        <sz val="11"/>
        <color theme="1"/>
        <rFont val="宋体"/>
        <family val="3"/>
        <charset val="134"/>
        <scheme val="minor"/>
      </rPr>
      <t>-606</t>
    </r>
    <r>
      <rPr>
        <sz val="11"/>
        <color theme="1"/>
        <rFont val="宋体"/>
        <family val="2"/>
        <charset val="134"/>
        <scheme val="minor"/>
      </rPr>
      <t/>
    </r>
  </si>
  <si>
    <r>
      <t>2</t>
    </r>
    <r>
      <rPr>
        <sz val="11"/>
        <color theme="1"/>
        <rFont val="宋体"/>
        <family val="3"/>
        <charset val="134"/>
        <scheme val="minor"/>
      </rPr>
      <t>-607</t>
    </r>
    <r>
      <rPr>
        <sz val="11"/>
        <color theme="1"/>
        <rFont val="宋体"/>
        <family val="2"/>
        <charset val="134"/>
        <scheme val="minor"/>
      </rPr>
      <t/>
    </r>
  </si>
  <si>
    <r>
      <t>2</t>
    </r>
    <r>
      <rPr>
        <sz val="11"/>
        <color theme="1"/>
        <rFont val="宋体"/>
        <family val="3"/>
        <charset val="134"/>
        <scheme val="minor"/>
      </rPr>
      <t>-608</t>
    </r>
    <r>
      <rPr>
        <sz val="11"/>
        <color theme="1"/>
        <rFont val="宋体"/>
        <family val="2"/>
        <charset val="134"/>
        <scheme val="minor"/>
      </rPr>
      <t/>
    </r>
  </si>
  <si>
    <r>
      <t>2</t>
    </r>
    <r>
      <rPr>
        <sz val="11"/>
        <color theme="1"/>
        <rFont val="宋体"/>
        <family val="3"/>
        <charset val="134"/>
        <scheme val="minor"/>
      </rPr>
      <t>-609</t>
    </r>
    <r>
      <rPr>
        <sz val="11"/>
        <color theme="1"/>
        <rFont val="宋体"/>
        <family val="2"/>
        <charset val="134"/>
        <scheme val="minor"/>
      </rPr>
      <t/>
    </r>
  </si>
  <si>
    <r>
      <t>2</t>
    </r>
    <r>
      <rPr>
        <sz val="11"/>
        <color theme="1"/>
        <rFont val="宋体"/>
        <family val="3"/>
        <charset val="134"/>
        <scheme val="minor"/>
      </rPr>
      <t>-610</t>
    </r>
    <r>
      <rPr>
        <sz val="11"/>
        <color theme="1"/>
        <rFont val="宋体"/>
        <family val="2"/>
        <charset val="134"/>
        <scheme val="minor"/>
      </rPr>
      <t/>
    </r>
  </si>
  <si>
    <r>
      <t>2</t>
    </r>
    <r>
      <rPr>
        <sz val="11"/>
        <color theme="1"/>
        <rFont val="宋体"/>
        <family val="3"/>
        <charset val="134"/>
        <scheme val="minor"/>
      </rPr>
      <t>-611</t>
    </r>
    <r>
      <rPr>
        <sz val="11"/>
        <color theme="1"/>
        <rFont val="宋体"/>
        <family val="2"/>
        <charset val="134"/>
        <scheme val="minor"/>
      </rPr>
      <t/>
    </r>
  </si>
  <si>
    <r>
      <t>2</t>
    </r>
    <r>
      <rPr>
        <sz val="11"/>
        <color theme="1"/>
        <rFont val="宋体"/>
        <family val="3"/>
        <charset val="134"/>
        <scheme val="minor"/>
      </rPr>
      <t>-612</t>
    </r>
    <r>
      <rPr>
        <sz val="11"/>
        <color theme="1"/>
        <rFont val="宋体"/>
        <family val="2"/>
        <charset val="134"/>
        <scheme val="minor"/>
      </rPr>
      <t/>
    </r>
  </si>
  <si>
    <r>
      <t>2</t>
    </r>
    <r>
      <rPr>
        <sz val="11"/>
        <color theme="1"/>
        <rFont val="宋体"/>
        <family val="3"/>
        <charset val="134"/>
        <scheme val="minor"/>
      </rPr>
      <t>-613</t>
    </r>
    <r>
      <rPr>
        <sz val="11"/>
        <color theme="1"/>
        <rFont val="宋体"/>
        <family val="2"/>
        <charset val="134"/>
        <scheme val="minor"/>
      </rPr>
      <t/>
    </r>
  </si>
  <si>
    <r>
      <t>2</t>
    </r>
    <r>
      <rPr>
        <sz val="11"/>
        <color theme="1"/>
        <rFont val="宋体"/>
        <family val="3"/>
        <charset val="134"/>
        <scheme val="minor"/>
      </rPr>
      <t>-614</t>
    </r>
    <r>
      <rPr>
        <sz val="11"/>
        <color theme="1"/>
        <rFont val="宋体"/>
        <family val="2"/>
        <charset val="134"/>
        <scheme val="minor"/>
      </rPr>
      <t/>
    </r>
  </si>
  <si>
    <r>
      <t>2</t>
    </r>
    <r>
      <rPr>
        <sz val="11"/>
        <color theme="1"/>
        <rFont val="宋体"/>
        <family val="3"/>
        <charset val="134"/>
        <scheme val="minor"/>
      </rPr>
      <t>-615</t>
    </r>
    <r>
      <rPr>
        <sz val="11"/>
        <color theme="1"/>
        <rFont val="宋体"/>
        <family val="2"/>
        <charset val="134"/>
        <scheme val="minor"/>
      </rPr>
      <t/>
    </r>
  </si>
  <si>
    <r>
      <t>2</t>
    </r>
    <r>
      <rPr>
        <sz val="11"/>
        <color theme="1"/>
        <rFont val="宋体"/>
        <family val="3"/>
        <charset val="134"/>
        <scheme val="minor"/>
      </rPr>
      <t>-616</t>
    </r>
    <r>
      <rPr>
        <sz val="11"/>
        <color theme="1"/>
        <rFont val="宋体"/>
        <family val="2"/>
        <charset val="134"/>
        <scheme val="minor"/>
      </rPr>
      <t/>
    </r>
  </si>
  <si>
    <r>
      <t>2</t>
    </r>
    <r>
      <rPr>
        <sz val="11"/>
        <color theme="1"/>
        <rFont val="宋体"/>
        <family val="3"/>
        <charset val="134"/>
        <scheme val="minor"/>
      </rPr>
      <t>-617</t>
    </r>
    <r>
      <rPr>
        <sz val="11"/>
        <color theme="1"/>
        <rFont val="宋体"/>
        <family val="2"/>
        <charset val="134"/>
        <scheme val="minor"/>
      </rPr>
      <t/>
    </r>
  </si>
  <si>
    <r>
      <t>2</t>
    </r>
    <r>
      <rPr>
        <sz val="11"/>
        <color theme="1"/>
        <rFont val="宋体"/>
        <family val="3"/>
        <charset val="134"/>
        <scheme val="minor"/>
      </rPr>
      <t>-618</t>
    </r>
    <r>
      <rPr>
        <sz val="11"/>
        <color theme="1"/>
        <rFont val="宋体"/>
        <family val="2"/>
        <charset val="134"/>
        <scheme val="minor"/>
      </rPr>
      <t/>
    </r>
  </si>
  <si>
    <r>
      <t>2</t>
    </r>
    <r>
      <rPr>
        <sz val="11"/>
        <color theme="1"/>
        <rFont val="宋体"/>
        <family val="3"/>
        <charset val="134"/>
        <scheme val="minor"/>
      </rPr>
      <t>-619</t>
    </r>
    <r>
      <rPr>
        <sz val="11"/>
        <color theme="1"/>
        <rFont val="宋体"/>
        <family val="2"/>
        <charset val="134"/>
        <scheme val="minor"/>
      </rPr>
      <t/>
    </r>
  </si>
  <si>
    <r>
      <t>2</t>
    </r>
    <r>
      <rPr>
        <sz val="11"/>
        <color theme="1"/>
        <rFont val="宋体"/>
        <family val="3"/>
        <charset val="134"/>
        <scheme val="minor"/>
      </rPr>
      <t>-620</t>
    </r>
    <r>
      <rPr>
        <sz val="11"/>
        <color theme="1"/>
        <rFont val="宋体"/>
        <family val="2"/>
        <charset val="134"/>
        <scheme val="minor"/>
      </rPr>
      <t/>
    </r>
  </si>
  <si>
    <r>
      <t>3</t>
    </r>
    <r>
      <rPr>
        <sz val="11"/>
        <color theme="1"/>
        <rFont val="宋体"/>
        <family val="3"/>
        <charset val="134"/>
        <scheme val="minor"/>
      </rPr>
      <t>-601</t>
    </r>
    <phoneticPr fontId="144" type="noConversion"/>
  </si>
  <si>
    <r>
      <t>3</t>
    </r>
    <r>
      <rPr>
        <sz val="11"/>
        <color theme="1"/>
        <rFont val="宋体"/>
        <family val="3"/>
        <charset val="134"/>
        <scheme val="minor"/>
      </rPr>
      <t>-602</t>
    </r>
    <r>
      <rPr>
        <sz val="11"/>
        <color theme="1"/>
        <rFont val="宋体"/>
        <family val="2"/>
        <charset val="134"/>
        <scheme val="minor"/>
      </rPr>
      <t/>
    </r>
  </si>
  <si>
    <r>
      <t>3</t>
    </r>
    <r>
      <rPr>
        <sz val="11"/>
        <color theme="1"/>
        <rFont val="宋体"/>
        <family val="3"/>
        <charset val="134"/>
        <scheme val="minor"/>
      </rPr>
      <t>-603</t>
    </r>
    <r>
      <rPr>
        <sz val="11"/>
        <color theme="1"/>
        <rFont val="宋体"/>
        <family val="2"/>
        <charset val="134"/>
        <scheme val="minor"/>
      </rPr>
      <t/>
    </r>
  </si>
  <si>
    <r>
      <t>3</t>
    </r>
    <r>
      <rPr>
        <sz val="11"/>
        <color theme="1"/>
        <rFont val="宋体"/>
        <family val="3"/>
        <charset val="134"/>
        <scheme val="minor"/>
      </rPr>
      <t>-604</t>
    </r>
    <r>
      <rPr>
        <sz val="11"/>
        <color theme="1"/>
        <rFont val="宋体"/>
        <family val="2"/>
        <charset val="134"/>
        <scheme val="minor"/>
      </rPr>
      <t/>
    </r>
  </si>
  <si>
    <r>
      <t>3</t>
    </r>
    <r>
      <rPr>
        <sz val="11"/>
        <color theme="1"/>
        <rFont val="宋体"/>
        <family val="3"/>
        <charset val="134"/>
        <scheme val="minor"/>
      </rPr>
      <t>-605</t>
    </r>
    <r>
      <rPr>
        <sz val="11"/>
        <color theme="1"/>
        <rFont val="宋体"/>
        <family val="2"/>
        <charset val="134"/>
        <scheme val="minor"/>
      </rPr>
      <t/>
    </r>
  </si>
  <si>
    <r>
      <t>3</t>
    </r>
    <r>
      <rPr>
        <sz val="11"/>
        <color theme="1"/>
        <rFont val="宋体"/>
        <family val="3"/>
        <charset val="134"/>
        <scheme val="minor"/>
      </rPr>
      <t>-606</t>
    </r>
    <r>
      <rPr>
        <sz val="11"/>
        <color theme="1"/>
        <rFont val="宋体"/>
        <family val="2"/>
        <charset val="134"/>
        <scheme val="minor"/>
      </rPr>
      <t/>
    </r>
  </si>
  <si>
    <r>
      <t>3</t>
    </r>
    <r>
      <rPr>
        <sz val="11"/>
        <color theme="1"/>
        <rFont val="宋体"/>
        <family val="3"/>
        <charset val="134"/>
        <scheme val="minor"/>
      </rPr>
      <t>-607</t>
    </r>
    <r>
      <rPr>
        <sz val="11"/>
        <color theme="1"/>
        <rFont val="宋体"/>
        <family val="2"/>
        <charset val="134"/>
        <scheme val="minor"/>
      </rPr>
      <t/>
    </r>
  </si>
  <si>
    <r>
      <t>3</t>
    </r>
    <r>
      <rPr>
        <sz val="11"/>
        <color theme="1"/>
        <rFont val="宋体"/>
        <family val="3"/>
        <charset val="134"/>
        <scheme val="minor"/>
      </rPr>
      <t>-608</t>
    </r>
    <r>
      <rPr>
        <sz val="11"/>
        <color theme="1"/>
        <rFont val="宋体"/>
        <family val="2"/>
        <charset val="134"/>
        <scheme val="minor"/>
      </rPr>
      <t/>
    </r>
  </si>
  <si>
    <r>
      <t>3</t>
    </r>
    <r>
      <rPr>
        <sz val="11"/>
        <color theme="1"/>
        <rFont val="宋体"/>
        <family val="3"/>
        <charset val="134"/>
        <scheme val="minor"/>
      </rPr>
      <t>-609</t>
    </r>
    <r>
      <rPr>
        <sz val="11"/>
        <color theme="1"/>
        <rFont val="宋体"/>
        <family val="2"/>
        <charset val="134"/>
        <scheme val="minor"/>
      </rPr>
      <t/>
    </r>
  </si>
  <si>
    <r>
      <t>3</t>
    </r>
    <r>
      <rPr>
        <sz val="11"/>
        <color theme="1"/>
        <rFont val="宋体"/>
        <family val="3"/>
        <charset val="134"/>
        <scheme val="minor"/>
      </rPr>
      <t>-610</t>
    </r>
    <r>
      <rPr>
        <sz val="11"/>
        <color theme="1"/>
        <rFont val="宋体"/>
        <family val="2"/>
        <charset val="134"/>
        <scheme val="minor"/>
      </rPr>
      <t/>
    </r>
  </si>
  <si>
    <r>
      <t>3</t>
    </r>
    <r>
      <rPr>
        <sz val="11"/>
        <color theme="1"/>
        <rFont val="宋体"/>
        <family val="3"/>
        <charset val="134"/>
        <scheme val="minor"/>
      </rPr>
      <t>-611</t>
    </r>
    <r>
      <rPr>
        <sz val="11"/>
        <color theme="1"/>
        <rFont val="宋体"/>
        <family val="2"/>
        <charset val="134"/>
        <scheme val="minor"/>
      </rPr>
      <t/>
    </r>
  </si>
  <si>
    <r>
      <t>3</t>
    </r>
    <r>
      <rPr>
        <sz val="11"/>
        <color theme="1"/>
        <rFont val="宋体"/>
        <family val="3"/>
        <charset val="134"/>
        <scheme val="minor"/>
      </rPr>
      <t>-612</t>
    </r>
    <r>
      <rPr>
        <sz val="11"/>
        <color theme="1"/>
        <rFont val="宋体"/>
        <family val="2"/>
        <charset val="134"/>
        <scheme val="minor"/>
      </rPr>
      <t/>
    </r>
  </si>
  <si>
    <r>
      <t>3</t>
    </r>
    <r>
      <rPr>
        <sz val="11"/>
        <color theme="1"/>
        <rFont val="宋体"/>
        <family val="3"/>
        <charset val="134"/>
        <scheme val="minor"/>
      </rPr>
      <t>-613</t>
    </r>
    <r>
      <rPr>
        <sz val="11"/>
        <color theme="1"/>
        <rFont val="宋体"/>
        <family val="2"/>
        <charset val="134"/>
        <scheme val="minor"/>
      </rPr>
      <t/>
    </r>
  </si>
  <si>
    <r>
      <t>3</t>
    </r>
    <r>
      <rPr>
        <sz val="11"/>
        <color theme="1"/>
        <rFont val="宋体"/>
        <family val="3"/>
        <charset val="134"/>
        <scheme val="minor"/>
      </rPr>
      <t>-614</t>
    </r>
    <r>
      <rPr>
        <sz val="11"/>
        <color theme="1"/>
        <rFont val="宋体"/>
        <family val="2"/>
        <charset val="134"/>
        <scheme val="minor"/>
      </rPr>
      <t/>
    </r>
  </si>
  <si>
    <r>
      <t>3</t>
    </r>
    <r>
      <rPr>
        <sz val="11"/>
        <color theme="1"/>
        <rFont val="宋体"/>
        <family val="3"/>
        <charset val="134"/>
        <scheme val="minor"/>
      </rPr>
      <t>-615</t>
    </r>
    <r>
      <rPr>
        <sz val="11"/>
        <color theme="1"/>
        <rFont val="宋体"/>
        <family val="2"/>
        <charset val="134"/>
        <scheme val="minor"/>
      </rPr>
      <t/>
    </r>
  </si>
  <si>
    <r>
      <t>3</t>
    </r>
    <r>
      <rPr>
        <sz val="11"/>
        <color theme="1"/>
        <rFont val="宋体"/>
        <family val="3"/>
        <charset val="134"/>
        <scheme val="minor"/>
      </rPr>
      <t>-616</t>
    </r>
    <r>
      <rPr>
        <sz val="11"/>
        <color theme="1"/>
        <rFont val="宋体"/>
        <family val="2"/>
        <charset val="134"/>
        <scheme val="minor"/>
      </rPr>
      <t/>
    </r>
  </si>
  <si>
    <r>
      <t>3</t>
    </r>
    <r>
      <rPr>
        <sz val="11"/>
        <color theme="1"/>
        <rFont val="宋体"/>
        <family val="3"/>
        <charset val="134"/>
        <scheme val="minor"/>
      </rPr>
      <t>-617</t>
    </r>
    <r>
      <rPr>
        <sz val="11"/>
        <color theme="1"/>
        <rFont val="宋体"/>
        <family val="2"/>
        <charset val="134"/>
        <scheme val="minor"/>
      </rPr>
      <t/>
    </r>
  </si>
  <si>
    <r>
      <t>3</t>
    </r>
    <r>
      <rPr>
        <sz val="11"/>
        <color theme="1"/>
        <rFont val="宋体"/>
        <family val="3"/>
        <charset val="134"/>
        <scheme val="minor"/>
      </rPr>
      <t>-618</t>
    </r>
    <r>
      <rPr>
        <sz val="11"/>
        <color theme="1"/>
        <rFont val="宋体"/>
        <family val="2"/>
        <charset val="134"/>
        <scheme val="minor"/>
      </rPr>
      <t/>
    </r>
  </si>
  <si>
    <r>
      <t>3</t>
    </r>
    <r>
      <rPr>
        <sz val="11"/>
        <color theme="1"/>
        <rFont val="宋体"/>
        <family val="3"/>
        <charset val="134"/>
        <scheme val="minor"/>
      </rPr>
      <t>-619</t>
    </r>
    <r>
      <rPr>
        <sz val="11"/>
        <color theme="1"/>
        <rFont val="宋体"/>
        <family val="2"/>
        <charset val="134"/>
        <scheme val="minor"/>
      </rPr>
      <t/>
    </r>
  </si>
  <si>
    <r>
      <t>4</t>
    </r>
    <r>
      <rPr>
        <sz val="11"/>
        <color theme="1"/>
        <rFont val="宋体"/>
        <family val="3"/>
        <charset val="134"/>
        <scheme val="minor"/>
      </rPr>
      <t>-601</t>
    </r>
    <phoneticPr fontId="144" type="noConversion"/>
  </si>
  <si>
    <r>
      <t>4</t>
    </r>
    <r>
      <rPr>
        <sz val="11"/>
        <color theme="1"/>
        <rFont val="宋体"/>
        <family val="3"/>
        <charset val="134"/>
        <scheme val="minor"/>
      </rPr>
      <t>-602</t>
    </r>
    <r>
      <rPr>
        <sz val="11"/>
        <color theme="1"/>
        <rFont val="宋体"/>
        <family val="2"/>
        <charset val="134"/>
        <scheme val="minor"/>
      </rPr>
      <t/>
    </r>
  </si>
  <si>
    <r>
      <t>4</t>
    </r>
    <r>
      <rPr>
        <sz val="11"/>
        <color theme="1"/>
        <rFont val="宋体"/>
        <family val="3"/>
        <charset val="134"/>
        <scheme val="minor"/>
      </rPr>
      <t>-603</t>
    </r>
    <r>
      <rPr>
        <sz val="11"/>
        <color theme="1"/>
        <rFont val="宋体"/>
        <family val="2"/>
        <charset val="134"/>
        <scheme val="minor"/>
      </rPr>
      <t/>
    </r>
  </si>
  <si>
    <r>
      <t>4</t>
    </r>
    <r>
      <rPr>
        <sz val="11"/>
        <color theme="1"/>
        <rFont val="宋体"/>
        <family val="3"/>
        <charset val="134"/>
        <scheme val="minor"/>
      </rPr>
      <t>-604</t>
    </r>
    <r>
      <rPr>
        <sz val="11"/>
        <color theme="1"/>
        <rFont val="宋体"/>
        <family val="2"/>
        <charset val="134"/>
        <scheme val="minor"/>
      </rPr>
      <t/>
    </r>
  </si>
  <si>
    <r>
      <t>4</t>
    </r>
    <r>
      <rPr>
        <sz val="11"/>
        <color theme="1"/>
        <rFont val="宋体"/>
        <family val="3"/>
        <charset val="134"/>
        <scheme val="minor"/>
      </rPr>
      <t>-605</t>
    </r>
    <r>
      <rPr>
        <sz val="11"/>
        <color theme="1"/>
        <rFont val="宋体"/>
        <family val="2"/>
        <charset val="134"/>
        <scheme val="minor"/>
      </rPr>
      <t/>
    </r>
  </si>
  <si>
    <r>
      <t>4</t>
    </r>
    <r>
      <rPr>
        <sz val="11"/>
        <color theme="1"/>
        <rFont val="宋体"/>
        <family val="3"/>
        <charset val="134"/>
        <scheme val="minor"/>
      </rPr>
      <t>-606</t>
    </r>
    <r>
      <rPr>
        <sz val="11"/>
        <color theme="1"/>
        <rFont val="宋体"/>
        <family val="2"/>
        <charset val="134"/>
        <scheme val="minor"/>
      </rPr>
      <t/>
    </r>
  </si>
  <si>
    <r>
      <t>4</t>
    </r>
    <r>
      <rPr>
        <sz val="11"/>
        <color theme="1"/>
        <rFont val="宋体"/>
        <family val="3"/>
        <charset val="134"/>
        <scheme val="minor"/>
      </rPr>
      <t>-607</t>
    </r>
    <r>
      <rPr>
        <sz val="11"/>
        <color theme="1"/>
        <rFont val="宋体"/>
        <family val="2"/>
        <charset val="134"/>
        <scheme val="minor"/>
      </rPr>
      <t/>
    </r>
  </si>
  <si>
    <r>
      <t>4</t>
    </r>
    <r>
      <rPr>
        <sz val="11"/>
        <color theme="1"/>
        <rFont val="宋体"/>
        <family val="3"/>
        <charset val="134"/>
        <scheme val="minor"/>
      </rPr>
      <t>-608</t>
    </r>
    <r>
      <rPr>
        <sz val="11"/>
        <color theme="1"/>
        <rFont val="宋体"/>
        <family val="2"/>
        <charset val="134"/>
        <scheme val="minor"/>
      </rPr>
      <t/>
    </r>
  </si>
  <si>
    <r>
      <t>4</t>
    </r>
    <r>
      <rPr>
        <sz val="11"/>
        <color theme="1"/>
        <rFont val="宋体"/>
        <family val="3"/>
        <charset val="134"/>
        <scheme val="minor"/>
      </rPr>
      <t>-609</t>
    </r>
    <r>
      <rPr>
        <sz val="11"/>
        <color theme="1"/>
        <rFont val="宋体"/>
        <family val="2"/>
        <charset val="134"/>
        <scheme val="minor"/>
      </rPr>
      <t/>
    </r>
  </si>
  <si>
    <r>
      <t>4</t>
    </r>
    <r>
      <rPr>
        <sz val="11"/>
        <color theme="1"/>
        <rFont val="宋体"/>
        <family val="3"/>
        <charset val="134"/>
        <scheme val="minor"/>
      </rPr>
      <t>-610</t>
    </r>
    <r>
      <rPr>
        <sz val="11"/>
        <color theme="1"/>
        <rFont val="宋体"/>
        <family val="2"/>
        <charset val="134"/>
        <scheme val="minor"/>
      </rPr>
      <t/>
    </r>
  </si>
  <si>
    <r>
      <t>4</t>
    </r>
    <r>
      <rPr>
        <sz val="11"/>
        <color theme="1"/>
        <rFont val="宋体"/>
        <family val="3"/>
        <charset val="134"/>
        <scheme val="minor"/>
      </rPr>
      <t>-611</t>
    </r>
    <r>
      <rPr>
        <sz val="11"/>
        <color theme="1"/>
        <rFont val="宋体"/>
        <family val="2"/>
        <charset val="134"/>
        <scheme val="minor"/>
      </rPr>
      <t/>
    </r>
  </si>
  <si>
    <r>
      <t>4</t>
    </r>
    <r>
      <rPr>
        <sz val="11"/>
        <color theme="1"/>
        <rFont val="宋体"/>
        <family val="3"/>
        <charset val="134"/>
        <scheme val="minor"/>
      </rPr>
      <t>-612</t>
    </r>
    <r>
      <rPr>
        <sz val="11"/>
        <color theme="1"/>
        <rFont val="宋体"/>
        <family val="2"/>
        <charset val="134"/>
        <scheme val="minor"/>
      </rPr>
      <t/>
    </r>
  </si>
  <si>
    <r>
      <t>4</t>
    </r>
    <r>
      <rPr>
        <sz val="11"/>
        <color theme="1"/>
        <rFont val="宋体"/>
        <family val="3"/>
        <charset val="134"/>
        <scheme val="minor"/>
      </rPr>
      <t>-613</t>
    </r>
    <r>
      <rPr>
        <sz val="11"/>
        <color theme="1"/>
        <rFont val="宋体"/>
        <family val="2"/>
        <charset val="134"/>
        <scheme val="minor"/>
      </rPr>
      <t/>
    </r>
  </si>
  <si>
    <r>
      <t>4</t>
    </r>
    <r>
      <rPr>
        <sz val="11"/>
        <color theme="1"/>
        <rFont val="宋体"/>
        <family val="3"/>
        <charset val="134"/>
        <scheme val="minor"/>
      </rPr>
      <t>-614</t>
    </r>
    <r>
      <rPr>
        <sz val="11"/>
        <color theme="1"/>
        <rFont val="宋体"/>
        <family val="2"/>
        <charset val="134"/>
        <scheme val="minor"/>
      </rPr>
      <t/>
    </r>
  </si>
  <si>
    <r>
      <t>4</t>
    </r>
    <r>
      <rPr>
        <sz val="11"/>
        <color theme="1"/>
        <rFont val="宋体"/>
        <family val="3"/>
        <charset val="134"/>
        <scheme val="minor"/>
      </rPr>
      <t>-615</t>
    </r>
    <r>
      <rPr>
        <sz val="11"/>
        <color theme="1"/>
        <rFont val="宋体"/>
        <family val="2"/>
        <charset val="134"/>
        <scheme val="minor"/>
      </rPr>
      <t/>
    </r>
  </si>
  <si>
    <r>
      <t>4</t>
    </r>
    <r>
      <rPr>
        <sz val="11"/>
        <color theme="1"/>
        <rFont val="宋体"/>
        <family val="3"/>
        <charset val="134"/>
        <scheme val="minor"/>
      </rPr>
      <t>-616</t>
    </r>
    <r>
      <rPr>
        <sz val="11"/>
        <color theme="1"/>
        <rFont val="宋体"/>
        <family val="2"/>
        <charset val="134"/>
        <scheme val="minor"/>
      </rPr>
      <t/>
    </r>
  </si>
  <si>
    <r>
      <t>4</t>
    </r>
    <r>
      <rPr>
        <sz val="11"/>
        <color theme="1"/>
        <rFont val="宋体"/>
        <family val="3"/>
        <charset val="134"/>
        <scheme val="minor"/>
      </rPr>
      <t>-617</t>
    </r>
    <r>
      <rPr>
        <sz val="11"/>
        <color theme="1"/>
        <rFont val="宋体"/>
        <family val="2"/>
        <charset val="134"/>
        <scheme val="minor"/>
      </rPr>
      <t/>
    </r>
  </si>
  <si>
    <r>
      <t>1</t>
    </r>
    <r>
      <rPr>
        <sz val="11"/>
        <color theme="1"/>
        <rFont val="宋体"/>
        <family val="3"/>
        <charset val="134"/>
        <scheme val="minor"/>
      </rPr>
      <t>-701</t>
    </r>
    <phoneticPr fontId="144" type="noConversion"/>
  </si>
  <si>
    <r>
      <t>1</t>
    </r>
    <r>
      <rPr>
        <sz val="11"/>
        <color theme="1"/>
        <rFont val="宋体"/>
        <family val="3"/>
        <charset val="134"/>
        <scheme val="minor"/>
      </rPr>
      <t>-702</t>
    </r>
    <r>
      <rPr>
        <sz val="11"/>
        <color theme="1"/>
        <rFont val="宋体"/>
        <family val="2"/>
        <charset val="134"/>
        <scheme val="minor"/>
      </rPr>
      <t/>
    </r>
  </si>
  <si>
    <r>
      <t>1</t>
    </r>
    <r>
      <rPr>
        <sz val="11"/>
        <color theme="1"/>
        <rFont val="宋体"/>
        <family val="3"/>
        <charset val="134"/>
        <scheme val="minor"/>
      </rPr>
      <t>-703</t>
    </r>
    <r>
      <rPr>
        <sz val="11"/>
        <color theme="1"/>
        <rFont val="宋体"/>
        <family val="2"/>
        <charset val="134"/>
        <scheme val="minor"/>
      </rPr>
      <t/>
    </r>
  </si>
  <si>
    <r>
      <t>1</t>
    </r>
    <r>
      <rPr>
        <sz val="11"/>
        <color theme="1"/>
        <rFont val="宋体"/>
        <family val="3"/>
        <charset val="134"/>
        <scheme val="minor"/>
      </rPr>
      <t>-704</t>
    </r>
    <r>
      <rPr>
        <sz val="11"/>
        <color theme="1"/>
        <rFont val="宋体"/>
        <family val="2"/>
        <charset val="134"/>
        <scheme val="minor"/>
      </rPr>
      <t/>
    </r>
  </si>
  <si>
    <r>
      <t>1</t>
    </r>
    <r>
      <rPr>
        <sz val="11"/>
        <color theme="1"/>
        <rFont val="宋体"/>
        <family val="3"/>
        <charset val="134"/>
        <scheme val="minor"/>
      </rPr>
      <t>-705</t>
    </r>
    <r>
      <rPr>
        <sz val="11"/>
        <color theme="1"/>
        <rFont val="宋体"/>
        <family val="2"/>
        <charset val="134"/>
        <scheme val="minor"/>
      </rPr>
      <t/>
    </r>
  </si>
  <si>
    <r>
      <t>1</t>
    </r>
    <r>
      <rPr>
        <sz val="11"/>
        <color theme="1"/>
        <rFont val="宋体"/>
        <family val="3"/>
        <charset val="134"/>
        <scheme val="minor"/>
      </rPr>
      <t>-706</t>
    </r>
    <r>
      <rPr>
        <sz val="11"/>
        <color theme="1"/>
        <rFont val="宋体"/>
        <family val="2"/>
        <charset val="134"/>
        <scheme val="minor"/>
      </rPr>
      <t/>
    </r>
  </si>
  <si>
    <r>
      <t>1</t>
    </r>
    <r>
      <rPr>
        <sz val="11"/>
        <color theme="1"/>
        <rFont val="宋体"/>
        <family val="3"/>
        <charset val="134"/>
        <scheme val="minor"/>
      </rPr>
      <t>-707</t>
    </r>
    <r>
      <rPr>
        <sz val="11"/>
        <color theme="1"/>
        <rFont val="宋体"/>
        <family val="2"/>
        <charset val="134"/>
        <scheme val="minor"/>
      </rPr>
      <t/>
    </r>
  </si>
  <si>
    <r>
      <t>1</t>
    </r>
    <r>
      <rPr>
        <sz val="11"/>
        <color theme="1"/>
        <rFont val="宋体"/>
        <family val="3"/>
        <charset val="134"/>
        <scheme val="minor"/>
      </rPr>
      <t>-708</t>
    </r>
    <r>
      <rPr>
        <sz val="11"/>
        <color theme="1"/>
        <rFont val="宋体"/>
        <family val="2"/>
        <charset val="134"/>
        <scheme val="minor"/>
      </rPr>
      <t/>
    </r>
  </si>
  <si>
    <r>
      <t>1</t>
    </r>
    <r>
      <rPr>
        <sz val="11"/>
        <color theme="1"/>
        <rFont val="宋体"/>
        <family val="3"/>
        <charset val="134"/>
        <scheme val="minor"/>
      </rPr>
      <t>-709</t>
    </r>
    <r>
      <rPr>
        <sz val="11"/>
        <color theme="1"/>
        <rFont val="宋体"/>
        <family val="2"/>
        <charset val="134"/>
        <scheme val="minor"/>
      </rPr>
      <t/>
    </r>
  </si>
  <si>
    <r>
      <t>1</t>
    </r>
    <r>
      <rPr>
        <sz val="11"/>
        <color theme="1"/>
        <rFont val="宋体"/>
        <family val="3"/>
        <charset val="134"/>
        <scheme val="minor"/>
      </rPr>
      <t>-710</t>
    </r>
    <r>
      <rPr>
        <sz val="11"/>
        <color theme="1"/>
        <rFont val="宋体"/>
        <family val="2"/>
        <charset val="134"/>
        <scheme val="minor"/>
      </rPr>
      <t/>
    </r>
  </si>
  <si>
    <r>
      <t>1</t>
    </r>
    <r>
      <rPr>
        <sz val="11"/>
        <color theme="1"/>
        <rFont val="宋体"/>
        <family val="3"/>
        <charset val="134"/>
        <scheme val="minor"/>
      </rPr>
      <t>-711</t>
    </r>
    <r>
      <rPr>
        <sz val="11"/>
        <color theme="1"/>
        <rFont val="宋体"/>
        <family val="2"/>
        <charset val="134"/>
        <scheme val="minor"/>
      </rPr>
      <t/>
    </r>
  </si>
  <si>
    <r>
      <t>1</t>
    </r>
    <r>
      <rPr>
        <sz val="11"/>
        <color theme="1"/>
        <rFont val="宋体"/>
        <family val="3"/>
        <charset val="134"/>
        <scheme val="minor"/>
      </rPr>
      <t>-712</t>
    </r>
    <r>
      <rPr>
        <sz val="11"/>
        <color theme="1"/>
        <rFont val="宋体"/>
        <family val="2"/>
        <charset val="134"/>
        <scheme val="minor"/>
      </rPr>
      <t/>
    </r>
  </si>
  <si>
    <r>
      <t>1</t>
    </r>
    <r>
      <rPr>
        <sz val="11"/>
        <color theme="1"/>
        <rFont val="宋体"/>
        <family val="3"/>
        <charset val="134"/>
        <scheme val="minor"/>
      </rPr>
      <t>-713</t>
    </r>
    <r>
      <rPr>
        <sz val="11"/>
        <color theme="1"/>
        <rFont val="宋体"/>
        <family val="2"/>
        <charset val="134"/>
        <scheme val="minor"/>
      </rPr>
      <t/>
    </r>
  </si>
  <si>
    <r>
      <t>1</t>
    </r>
    <r>
      <rPr>
        <sz val="11"/>
        <color theme="1"/>
        <rFont val="宋体"/>
        <family val="3"/>
        <charset val="134"/>
        <scheme val="minor"/>
      </rPr>
      <t>-714</t>
    </r>
    <r>
      <rPr>
        <sz val="11"/>
        <color theme="1"/>
        <rFont val="宋体"/>
        <family val="2"/>
        <charset val="134"/>
        <scheme val="minor"/>
      </rPr>
      <t/>
    </r>
  </si>
  <si>
    <r>
      <t>1</t>
    </r>
    <r>
      <rPr>
        <sz val="11"/>
        <color theme="1"/>
        <rFont val="宋体"/>
        <family val="3"/>
        <charset val="134"/>
        <scheme val="minor"/>
      </rPr>
      <t>-715</t>
    </r>
    <r>
      <rPr>
        <sz val="11"/>
        <color theme="1"/>
        <rFont val="宋体"/>
        <family val="2"/>
        <charset val="134"/>
        <scheme val="minor"/>
      </rPr>
      <t/>
    </r>
  </si>
  <si>
    <r>
      <t>1</t>
    </r>
    <r>
      <rPr>
        <sz val="11"/>
        <color theme="1"/>
        <rFont val="宋体"/>
        <family val="3"/>
        <charset val="134"/>
        <scheme val="minor"/>
      </rPr>
      <t>-716</t>
    </r>
    <r>
      <rPr>
        <sz val="11"/>
        <color theme="1"/>
        <rFont val="宋体"/>
        <family val="2"/>
        <charset val="134"/>
        <scheme val="minor"/>
      </rPr>
      <t/>
    </r>
  </si>
  <si>
    <r>
      <t>1</t>
    </r>
    <r>
      <rPr>
        <sz val="11"/>
        <color theme="1"/>
        <rFont val="宋体"/>
        <family val="3"/>
        <charset val="134"/>
        <scheme val="minor"/>
      </rPr>
      <t>-717</t>
    </r>
    <r>
      <rPr>
        <sz val="11"/>
        <color theme="1"/>
        <rFont val="宋体"/>
        <family val="2"/>
        <charset val="134"/>
        <scheme val="minor"/>
      </rPr>
      <t/>
    </r>
  </si>
  <si>
    <r>
      <t>1</t>
    </r>
    <r>
      <rPr>
        <sz val="11"/>
        <color theme="1"/>
        <rFont val="宋体"/>
        <family val="3"/>
        <charset val="134"/>
        <scheme val="minor"/>
      </rPr>
      <t>-718</t>
    </r>
    <r>
      <rPr>
        <sz val="11"/>
        <color theme="1"/>
        <rFont val="宋体"/>
        <family val="2"/>
        <charset val="134"/>
        <scheme val="minor"/>
      </rPr>
      <t/>
    </r>
  </si>
  <si>
    <r>
      <t>1</t>
    </r>
    <r>
      <rPr>
        <sz val="11"/>
        <color theme="1"/>
        <rFont val="宋体"/>
        <family val="3"/>
        <charset val="134"/>
        <scheme val="minor"/>
      </rPr>
      <t>-719</t>
    </r>
    <r>
      <rPr>
        <sz val="11"/>
        <color theme="1"/>
        <rFont val="宋体"/>
        <family val="2"/>
        <charset val="134"/>
        <scheme val="minor"/>
      </rPr>
      <t/>
    </r>
  </si>
  <si>
    <r>
      <t>1</t>
    </r>
    <r>
      <rPr>
        <sz val="11"/>
        <color theme="1"/>
        <rFont val="宋体"/>
        <family val="3"/>
        <charset val="134"/>
        <scheme val="minor"/>
      </rPr>
      <t>-720</t>
    </r>
    <r>
      <rPr>
        <sz val="11"/>
        <color theme="1"/>
        <rFont val="宋体"/>
        <family val="2"/>
        <charset val="134"/>
        <scheme val="minor"/>
      </rPr>
      <t/>
    </r>
  </si>
  <si>
    <r>
      <t>2</t>
    </r>
    <r>
      <rPr>
        <sz val="11"/>
        <color theme="1"/>
        <rFont val="宋体"/>
        <family val="3"/>
        <charset val="134"/>
        <scheme val="minor"/>
      </rPr>
      <t>-701</t>
    </r>
    <phoneticPr fontId="144" type="noConversion"/>
  </si>
  <si>
    <r>
      <t>2</t>
    </r>
    <r>
      <rPr>
        <sz val="11"/>
        <color theme="1"/>
        <rFont val="宋体"/>
        <family val="3"/>
        <charset val="134"/>
        <scheme val="minor"/>
      </rPr>
      <t>-702</t>
    </r>
    <r>
      <rPr>
        <sz val="11"/>
        <color theme="1"/>
        <rFont val="宋体"/>
        <family val="2"/>
        <charset val="134"/>
        <scheme val="minor"/>
      </rPr>
      <t/>
    </r>
  </si>
  <si>
    <r>
      <t>2</t>
    </r>
    <r>
      <rPr>
        <sz val="11"/>
        <color theme="1"/>
        <rFont val="宋体"/>
        <family val="3"/>
        <charset val="134"/>
        <scheme val="minor"/>
      </rPr>
      <t>-703</t>
    </r>
    <r>
      <rPr>
        <sz val="11"/>
        <color theme="1"/>
        <rFont val="宋体"/>
        <family val="2"/>
        <charset val="134"/>
        <scheme val="minor"/>
      </rPr>
      <t/>
    </r>
  </si>
  <si>
    <r>
      <t>2</t>
    </r>
    <r>
      <rPr>
        <sz val="11"/>
        <color theme="1"/>
        <rFont val="宋体"/>
        <family val="3"/>
        <charset val="134"/>
        <scheme val="minor"/>
      </rPr>
      <t>-704</t>
    </r>
    <r>
      <rPr>
        <sz val="11"/>
        <color theme="1"/>
        <rFont val="宋体"/>
        <family val="2"/>
        <charset val="134"/>
        <scheme val="minor"/>
      </rPr>
      <t/>
    </r>
  </si>
  <si>
    <r>
      <t>2</t>
    </r>
    <r>
      <rPr>
        <sz val="11"/>
        <color theme="1"/>
        <rFont val="宋体"/>
        <family val="3"/>
        <charset val="134"/>
        <scheme val="minor"/>
      </rPr>
      <t>-705</t>
    </r>
    <r>
      <rPr>
        <sz val="11"/>
        <color theme="1"/>
        <rFont val="宋体"/>
        <family val="2"/>
        <charset val="134"/>
        <scheme val="minor"/>
      </rPr>
      <t/>
    </r>
  </si>
  <si>
    <r>
      <t>2</t>
    </r>
    <r>
      <rPr>
        <sz val="11"/>
        <color theme="1"/>
        <rFont val="宋体"/>
        <family val="3"/>
        <charset val="134"/>
        <scheme val="minor"/>
      </rPr>
      <t>-706</t>
    </r>
    <r>
      <rPr>
        <sz val="11"/>
        <color theme="1"/>
        <rFont val="宋体"/>
        <family val="2"/>
        <charset val="134"/>
        <scheme val="minor"/>
      </rPr>
      <t/>
    </r>
  </si>
  <si>
    <r>
      <t>2</t>
    </r>
    <r>
      <rPr>
        <sz val="11"/>
        <color theme="1"/>
        <rFont val="宋体"/>
        <family val="3"/>
        <charset val="134"/>
        <scheme val="minor"/>
      </rPr>
      <t>-707</t>
    </r>
    <r>
      <rPr>
        <sz val="11"/>
        <color theme="1"/>
        <rFont val="宋体"/>
        <family val="2"/>
        <charset val="134"/>
        <scheme val="minor"/>
      </rPr>
      <t/>
    </r>
  </si>
  <si>
    <r>
      <t>2</t>
    </r>
    <r>
      <rPr>
        <sz val="11"/>
        <color theme="1"/>
        <rFont val="宋体"/>
        <family val="3"/>
        <charset val="134"/>
        <scheme val="minor"/>
      </rPr>
      <t>-708</t>
    </r>
    <r>
      <rPr>
        <sz val="11"/>
        <color theme="1"/>
        <rFont val="宋体"/>
        <family val="2"/>
        <charset val="134"/>
        <scheme val="minor"/>
      </rPr>
      <t/>
    </r>
  </si>
  <si>
    <r>
      <t>2</t>
    </r>
    <r>
      <rPr>
        <sz val="11"/>
        <color theme="1"/>
        <rFont val="宋体"/>
        <family val="3"/>
        <charset val="134"/>
        <scheme val="minor"/>
      </rPr>
      <t>-709</t>
    </r>
    <r>
      <rPr>
        <sz val="11"/>
        <color theme="1"/>
        <rFont val="宋体"/>
        <family val="2"/>
        <charset val="134"/>
        <scheme val="minor"/>
      </rPr>
      <t/>
    </r>
  </si>
  <si>
    <r>
      <t>2</t>
    </r>
    <r>
      <rPr>
        <sz val="11"/>
        <color theme="1"/>
        <rFont val="宋体"/>
        <family val="3"/>
        <charset val="134"/>
        <scheme val="minor"/>
      </rPr>
      <t>-710</t>
    </r>
    <r>
      <rPr>
        <sz val="11"/>
        <color theme="1"/>
        <rFont val="宋体"/>
        <family val="2"/>
        <charset val="134"/>
        <scheme val="minor"/>
      </rPr>
      <t/>
    </r>
  </si>
  <si>
    <r>
      <t>2</t>
    </r>
    <r>
      <rPr>
        <sz val="11"/>
        <color theme="1"/>
        <rFont val="宋体"/>
        <family val="3"/>
        <charset val="134"/>
        <scheme val="minor"/>
      </rPr>
      <t>-711</t>
    </r>
    <r>
      <rPr>
        <sz val="11"/>
        <color theme="1"/>
        <rFont val="宋体"/>
        <family val="2"/>
        <charset val="134"/>
        <scheme val="minor"/>
      </rPr>
      <t/>
    </r>
  </si>
  <si>
    <r>
      <t>2</t>
    </r>
    <r>
      <rPr>
        <sz val="11"/>
        <color theme="1"/>
        <rFont val="宋体"/>
        <family val="3"/>
        <charset val="134"/>
        <scheme val="minor"/>
      </rPr>
      <t>-712</t>
    </r>
    <r>
      <rPr>
        <sz val="11"/>
        <color theme="1"/>
        <rFont val="宋体"/>
        <family val="2"/>
        <charset val="134"/>
        <scheme val="minor"/>
      </rPr>
      <t/>
    </r>
  </si>
  <si>
    <r>
      <t>2</t>
    </r>
    <r>
      <rPr>
        <sz val="11"/>
        <color theme="1"/>
        <rFont val="宋体"/>
        <family val="3"/>
        <charset val="134"/>
        <scheme val="minor"/>
      </rPr>
      <t>-713</t>
    </r>
    <r>
      <rPr>
        <sz val="11"/>
        <color theme="1"/>
        <rFont val="宋体"/>
        <family val="2"/>
        <charset val="134"/>
        <scheme val="minor"/>
      </rPr>
      <t/>
    </r>
  </si>
  <si>
    <r>
      <t>2</t>
    </r>
    <r>
      <rPr>
        <sz val="11"/>
        <color theme="1"/>
        <rFont val="宋体"/>
        <family val="3"/>
        <charset val="134"/>
        <scheme val="minor"/>
      </rPr>
      <t>-714</t>
    </r>
    <r>
      <rPr>
        <sz val="11"/>
        <color theme="1"/>
        <rFont val="宋体"/>
        <family val="2"/>
        <charset val="134"/>
        <scheme val="minor"/>
      </rPr>
      <t/>
    </r>
  </si>
  <si>
    <r>
      <t>2</t>
    </r>
    <r>
      <rPr>
        <sz val="11"/>
        <color theme="1"/>
        <rFont val="宋体"/>
        <family val="3"/>
        <charset val="134"/>
        <scheme val="minor"/>
      </rPr>
      <t>-715</t>
    </r>
    <r>
      <rPr>
        <sz val="11"/>
        <color theme="1"/>
        <rFont val="宋体"/>
        <family val="2"/>
        <charset val="134"/>
        <scheme val="minor"/>
      </rPr>
      <t/>
    </r>
  </si>
  <si>
    <r>
      <t>2</t>
    </r>
    <r>
      <rPr>
        <sz val="11"/>
        <color theme="1"/>
        <rFont val="宋体"/>
        <family val="3"/>
        <charset val="134"/>
        <scheme val="minor"/>
      </rPr>
      <t>-716</t>
    </r>
    <r>
      <rPr>
        <sz val="11"/>
        <color theme="1"/>
        <rFont val="宋体"/>
        <family val="2"/>
        <charset val="134"/>
        <scheme val="minor"/>
      </rPr>
      <t/>
    </r>
  </si>
  <si>
    <r>
      <t>2</t>
    </r>
    <r>
      <rPr>
        <sz val="11"/>
        <color theme="1"/>
        <rFont val="宋体"/>
        <family val="3"/>
        <charset val="134"/>
        <scheme val="minor"/>
      </rPr>
      <t>-717</t>
    </r>
    <r>
      <rPr>
        <sz val="11"/>
        <color theme="1"/>
        <rFont val="宋体"/>
        <family val="2"/>
        <charset val="134"/>
        <scheme val="minor"/>
      </rPr>
      <t/>
    </r>
  </si>
  <si>
    <r>
      <t>2</t>
    </r>
    <r>
      <rPr>
        <sz val="11"/>
        <color theme="1"/>
        <rFont val="宋体"/>
        <family val="3"/>
        <charset val="134"/>
        <scheme val="minor"/>
      </rPr>
      <t>-718</t>
    </r>
    <r>
      <rPr>
        <sz val="11"/>
        <color theme="1"/>
        <rFont val="宋体"/>
        <family val="2"/>
        <charset val="134"/>
        <scheme val="minor"/>
      </rPr>
      <t/>
    </r>
  </si>
  <si>
    <r>
      <t>2</t>
    </r>
    <r>
      <rPr>
        <sz val="11"/>
        <color theme="1"/>
        <rFont val="宋体"/>
        <family val="3"/>
        <charset val="134"/>
        <scheme val="minor"/>
      </rPr>
      <t>-719</t>
    </r>
    <r>
      <rPr>
        <sz val="11"/>
        <color theme="1"/>
        <rFont val="宋体"/>
        <family val="2"/>
        <charset val="134"/>
        <scheme val="minor"/>
      </rPr>
      <t/>
    </r>
  </si>
  <si>
    <r>
      <t>2</t>
    </r>
    <r>
      <rPr>
        <sz val="11"/>
        <color theme="1"/>
        <rFont val="宋体"/>
        <family val="3"/>
        <charset val="134"/>
        <scheme val="minor"/>
      </rPr>
      <t>-720</t>
    </r>
    <r>
      <rPr>
        <sz val="11"/>
        <color theme="1"/>
        <rFont val="宋体"/>
        <family val="2"/>
        <charset val="134"/>
        <scheme val="minor"/>
      </rPr>
      <t/>
    </r>
  </si>
  <si>
    <r>
      <t>3</t>
    </r>
    <r>
      <rPr>
        <sz val="11"/>
        <color theme="1"/>
        <rFont val="宋体"/>
        <family val="3"/>
        <charset val="134"/>
        <scheme val="minor"/>
      </rPr>
      <t>-701</t>
    </r>
    <phoneticPr fontId="144" type="noConversion"/>
  </si>
  <si>
    <r>
      <t>3</t>
    </r>
    <r>
      <rPr>
        <sz val="11"/>
        <color theme="1"/>
        <rFont val="宋体"/>
        <family val="3"/>
        <charset val="134"/>
        <scheme val="minor"/>
      </rPr>
      <t>-702</t>
    </r>
    <r>
      <rPr>
        <sz val="11"/>
        <color theme="1"/>
        <rFont val="宋体"/>
        <family val="2"/>
        <charset val="134"/>
        <scheme val="minor"/>
      </rPr>
      <t/>
    </r>
  </si>
  <si>
    <r>
      <t>3</t>
    </r>
    <r>
      <rPr>
        <sz val="11"/>
        <color theme="1"/>
        <rFont val="宋体"/>
        <family val="3"/>
        <charset val="134"/>
        <scheme val="minor"/>
      </rPr>
      <t>-703</t>
    </r>
    <r>
      <rPr>
        <sz val="11"/>
        <color theme="1"/>
        <rFont val="宋体"/>
        <family val="2"/>
        <charset val="134"/>
        <scheme val="minor"/>
      </rPr>
      <t/>
    </r>
  </si>
  <si>
    <r>
      <t>3</t>
    </r>
    <r>
      <rPr>
        <sz val="11"/>
        <color theme="1"/>
        <rFont val="宋体"/>
        <family val="3"/>
        <charset val="134"/>
        <scheme val="minor"/>
      </rPr>
      <t>-704</t>
    </r>
    <r>
      <rPr>
        <sz val="11"/>
        <color theme="1"/>
        <rFont val="宋体"/>
        <family val="2"/>
        <charset val="134"/>
        <scheme val="minor"/>
      </rPr>
      <t/>
    </r>
  </si>
  <si>
    <r>
      <t>3</t>
    </r>
    <r>
      <rPr>
        <sz val="11"/>
        <color theme="1"/>
        <rFont val="宋体"/>
        <family val="3"/>
        <charset val="134"/>
        <scheme val="minor"/>
      </rPr>
      <t>-705</t>
    </r>
    <r>
      <rPr>
        <sz val="11"/>
        <color theme="1"/>
        <rFont val="宋体"/>
        <family val="2"/>
        <charset val="134"/>
        <scheme val="minor"/>
      </rPr>
      <t/>
    </r>
  </si>
  <si>
    <r>
      <t>3</t>
    </r>
    <r>
      <rPr>
        <sz val="11"/>
        <color theme="1"/>
        <rFont val="宋体"/>
        <family val="3"/>
        <charset val="134"/>
        <scheme val="minor"/>
      </rPr>
      <t>-706</t>
    </r>
    <r>
      <rPr>
        <sz val="11"/>
        <color theme="1"/>
        <rFont val="宋体"/>
        <family val="2"/>
        <charset val="134"/>
        <scheme val="minor"/>
      </rPr>
      <t/>
    </r>
  </si>
  <si>
    <r>
      <t>3</t>
    </r>
    <r>
      <rPr>
        <sz val="11"/>
        <color theme="1"/>
        <rFont val="宋体"/>
        <family val="3"/>
        <charset val="134"/>
        <scheme val="minor"/>
      </rPr>
      <t>-707</t>
    </r>
    <r>
      <rPr>
        <sz val="11"/>
        <color theme="1"/>
        <rFont val="宋体"/>
        <family val="2"/>
        <charset val="134"/>
        <scheme val="minor"/>
      </rPr>
      <t/>
    </r>
  </si>
  <si>
    <r>
      <t>3</t>
    </r>
    <r>
      <rPr>
        <sz val="11"/>
        <color theme="1"/>
        <rFont val="宋体"/>
        <family val="3"/>
        <charset val="134"/>
        <scheme val="minor"/>
      </rPr>
      <t>-708</t>
    </r>
    <r>
      <rPr>
        <sz val="11"/>
        <color theme="1"/>
        <rFont val="宋体"/>
        <family val="2"/>
        <charset val="134"/>
        <scheme val="minor"/>
      </rPr>
      <t/>
    </r>
  </si>
  <si>
    <r>
      <t>3</t>
    </r>
    <r>
      <rPr>
        <sz val="11"/>
        <color theme="1"/>
        <rFont val="宋体"/>
        <family val="3"/>
        <charset val="134"/>
        <scheme val="minor"/>
      </rPr>
      <t>-709</t>
    </r>
    <r>
      <rPr>
        <sz val="11"/>
        <color theme="1"/>
        <rFont val="宋体"/>
        <family val="2"/>
        <charset val="134"/>
        <scheme val="minor"/>
      </rPr>
      <t/>
    </r>
  </si>
  <si>
    <r>
      <t>3</t>
    </r>
    <r>
      <rPr>
        <sz val="11"/>
        <color theme="1"/>
        <rFont val="宋体"/>
        <family val="3"/>
        <charset val="134"/>
        <scheme val="minor"/>
      </rPr>
      <t>-710</t>
    </r>
    <r>
      <rPr>
        <sz val="11"/>
        <color theme="1"/>
        <rFont val="宋体"/>
        <family val="2"/>
        <charset val="134"/>
        <scheme val="minor"/>
      </rPr>
      <t/>
    </r>
  </si>
  <si>
    <r>
      <t>3</t>
    </r>
    <r>
      <rPr>
        <sz val="11"/>
        <color theme="1"/>
        <rFont val="宋体"/>
        <family val="3"/>
        <charset val="134"/>
        <scheme val="minor"/>
      </rPr>
      <t>-711</t>
    </r>
    <r>
      <rPr>
        <sz val="11"/>
        <color theme="1"/>
        <rFont val="宋体"/>
        <family val="2"/>
        <charset val="134"/>
        <scheme val="minor"/>
      </rPr>
      <t/>
    </r>
  </si>
  <si>
    <r>
      <t>3</t>
    </r>
    <r>
      <rPr>
        <sz val="11"/>
        <color theme="1"/>
        <rFont val="宋体"/>
        <family val="3"/>
        <charset val="134"/>
        <scheme val="minor"/>
      </rPr>
      <t>-712</t>
    </r>
    <r>
      <rPr>
        <sz val="11"/>
        <color theme="1"/>
        <rFont val="宋体"/>
        <family val="2"/>
        <charset val="134"/>
        <scheme val="minor"/>
      </rPr>
      <t/>
    </r>
  </si>
  <si>
    <r>
      <t>3</t>
    </r>
    <r>
      <rPr>
        <sz val="11"/>
        <color theme="1"/>
        <rFont val="宋体"/>
        <family val="3"/>
        <charset val="134"/>
        <scheme val="minor"/>
      </rPr>
      <t>-713</t>
    </r>
    <r>
      <rPr>
        <sz val="11"/>
        <color theme="1"/>
        <rFont val="宋体"/>
        <family val="2"/>
        <charset val="134"/>
        <scheme val="minor"/>
      </rPr>
      <t/>
    </r>
  </si>
  <si>
    <r>
      <t>3</t>
    </r>
    <r>
      <rPr>
        <sz val="11"/>
        <color theme="1"/>
        <rFont val="宋体"/>
        <family val="3"/>
        <charset val="134"/>
        <scheme val="minor"/>
      </rPr>
      <t>-714</t>
    </r>
    <r>
      <rPr>
        <sz val="11"/>
        <color theme="1"/>
        <rFont val="宋体"/>
        <family val="2"/>
        <charset val="134"/>
        <scheme val="minor"/>
      </rPr>
      <t/>
    </r>
  </si>
  <si>
    <r>
      <t>3</t>
    </r>
    <r>
      <rPr>
        <sz val="11"/>
        <color theme="1"/>
        <rFont val="宋体"/>
        <family val="3"/>
        <charset val="134"/>
        <scheme val="minor"/>
      </rPr>
      <t>-715</t>
    </r>
    <r>
      <rPr>
        <sz val="11"/>
        <color theme="1"/>
        <rFont val="宋体"/>
        <family val="2"/>
        <charset val="134"/>
        <scheme val="minor"/>
      </rPr>
      <t/>
    </r>
  </si>
  <si>
    <r>
      <t>3</t>
    </r>
    <r>
      <rPr>
        <sz val="11"/>
        <color theme="1"/>
        <rFont val="宋体"/>
        <family val="3"/>
        <charset val="134"/>
        <scheme val="minor"/>
      </rPr>
      <t>-716</t>
    </r>
    <r>
      <rPr>
        <sz val="11"/>
        <color theme="1"/>
        <rFont val="宋体"/>
        <family val="2"/>
        <charset val="134"/>
        <scheme val="minor"/>
      </rPr>
      <t/>
    </r>
  </si>
  <si>
    <r>
      <t>3</t>
    </r>
    <r>
      <rPr>
        <sz val="11"/>
        <color theme="1"/>
        <rFont val="宋体"/>
        <family val="3"/>
        <charset val="134"/>
        <scheme val="minor"/>
      </rPr>
      <t>-717</t>
    </r>
    <r>
      <rPr>
        <sz val="11"/>
        <color theme="1"/>
        <rFont val="宋体"/>
        <family val="2"/>
        <charset val="134"/>
        <scheme val="minor"/>
      </rPr>
      <t/>
    </r>
  </si>
  <si>
    <r>
      <t>3</t>
    </r>
    <r>
      <rPr>
        <sz val="11"/>
        <color theme="1"/>
        <rFont val="宋体"/>
        <family val="3"/>
        <charset val="134"/>
        <scheme val="minor"/>
      </rPr>
      <t>-718</t>
    </r>
    <r>
      <rPr>
        <sz val="11"/>
        <color theme="1"/>
        <rFont val="宋体"/>
        <family val="2"/>
        <charset val="134"/>
        <scheme val="minor"/>
      </rPr>
      <t/>
    </r>
  </si>
  <si>
    <r>
      <t>3</t>
    </r>
    <r>
      <rPr>
        <sz val="11"/>
        <color theme="1"/>
        <rFont val="宋体"/>
        <family val="3"/>
        <charset val="134"/>
        <scheme val="minor"/>
      </rPr>
      <t>-719</t>
    </r>
    <r>
      <rPr>
        <sz val="11"/>
        <color theme="1"/>
        <rFont val="宋体"/>
        <family val="2"/>
        <charset val="134"/>
        <scheme val="minor"/>
      </rPr>
      <t/>
    </r>
  </si>
  <si>
    <r>
      <t>4</t>
    </r>
    <r>
      <rPr>
        <sz val="11"/>
        <color theme="1"/>
        <rFont val="宋体"/>
        <family val="3"/>
        <charset val="134"/>
        <scheme val="minor"/>
      </rPr>
      <t>-701</t>
    </r>
    <phoneticPr fontId="144" type="noConversion"/>
  </si>
  <si>
    <r>
      <t>4</t>
    </r>
    <r>
      <rPr>
        <sz val="11"/>
        <color theme="1"/>
        <rFont val="宋体"/>
        <family val="3"/>
        <charset val="134"/>
        <scheme val="minor"/>
      </rPr>
      <t>-702</t>
    </r>
    <r>
      <rPr>
        <sz val="11"/>
        <color theme="1"/>
        <rFont val="宋体"/>
        <family val="2"/>
        <charset val="134"/>
        <scheme val="minor"/>
      </rPr>
      <t/>
    </r>
  </si>
  <si>
    <r>
      <t>4</t>
    </r>
    <r>
      <rPr>
        <sz val="11"/>
        <color theme="1"/>
        <rFont val="宋体"/>
        <family val="3"/>
        <charset val="134"/>
        <scheme val="minor"/>
      </rPr>
      <t>-703</t>
    </r>
    <r>
      <rPr>
        <sz val="11"/>
        <color theme="1"/>
        <rFont val="宋体"/>
        <family val="2"/>
        <charset val="134"/>
        <scheme val="minor"/>
      </rPr>
      <t/>
    </r>
  </si>
  <si>
    <r>
      <t>4</t>
    </r>
    <r>
      <rPr>
        <sz val="11"/>
        <color theme="1"/>
        <rFont val="宋体"/>
        <family val="3"/>
        <charset val="134"/>
        <scheme val="minor"/>
      </rPr>
      <t>-704</t>
    </r>
    <r>
      <rPr>
        <sz val="11"/>
        <color theme="1"/>
        <rFont val="宋体"/>
        <family val="2"/>
        <charset val="134"/>
        <scheme val="minor"/>
      </rPr>
      <t/>
    </r>
  </si>
  <si>
    <r>
      <t>4</t>
    </r>
    <r>
      <rPr>
        <sz val="11"/>
        <color theme="1"/>
        <rFont val="宋体"/>
        <family val="3"/>
        <charset val="134"/>
        <scheme val="minor"/>
      </rPr>
      <t>-705</t>
    </r>
    <r>
      <rPr>
        <sz val="11"/>
        <color theme="1"/>
        <rFont val="宋体"/>
        <family val="2"/>
        <charset val="134"/>
        <scheme val="minor"/>
      </rPr>
      <t/>
    </r>
  </si>
  <si>
    <r>
      <t>4</t>
    </r>
    <r>
      <rPr>
        <sz val="11"/>
        <color theme="1"/>
        <rFont val="宋体"/>
        <family val="3"/>
        <charset val="134"/>
        <scheme val="minor"/>
      </rPr>
      <t>-706</t>
    </r>
    <r>
      <rPr>
        <sz val="11"/>
        <color theme="1"/>
        <rFont val="宋体"/>
        <family val="2"/>
        <charset val="134"/>
        <scheme val="minor"/>
      </rPr>
      <t/>
    </r>
  </si>
  <si>
    <r>
      <t>4</t>
    </r>
    <r>
      <rPr>
        <sz val="11"/>
        <color theme="1"/>
        <rFont val="宋体"/>
        <family val="3"/>
        <charset val="134"/>
        <scheme val="minor"/>
      </rPr>
      <t>-707</t>
    </r>
    <r>
      <rPr>
        <sz val="11"/>
        <color theme="1"/>
        <rFont val="宋体"/>
        <family val="2"/>
        <charset val="134"/>
        <scheme val="minor"/>
      </rPr>
      <t/>
    </r>
  </si>
  <si>
    <r>
      <t>4</t>
    </r>
    <r>
      <rPr>
        <sz val="11"/>
        <color theme="1"/>
        <rFont val="宋体"/>
        <family val="3"/>
        <charset val="134"/>
        <scheme val="minor"/>
      </rPr>
      <t>-708</t>
    </r>
    <r>
      <rPr>
        <sz val="11"/>
        <color theme="1"/>
        <rFont val="宋体"/>
        <family val="2"/>
        <charset val="134"/>
        <scheme val="minor"/>
      </rPr>
      <t/>
    </r>
  </si>
  <si>
    <r>
      <t>4</t>
    </r>
    <r>
      <rPr>
        <sz val="11"/>
        <color theme="1"/>
        <rFont val="宋体"/>
        <family val="3"/>
        <charset val="134"/>
        <scheme val="minor"/>
      </rPr>
      <t>-709</t>
    </r>
    <r>
      <rPr>
        <sz val="11"/>
        <color theme="1"/>
        <rFont val="宋体"/>
        <family val="2"/>
        <charset val="134"/>
        <scheme val="minor"/>
      </rPr>
      <t/>
    </r>
  </si>
  <si>
    <r>
      <t>4</t>
    </r>
    <r>
      <rPr>
        <sz val="11"/>
        <color theme="1"/>
        <rFont val="宋体"/>
        <family val="3"/>
        <charset val="134"/>
        <scheme val="minor"/>
      </rPr>
      <t>-710</t>
    </r>
    <r>
      <rPr>
        <sz val="11"/>
        <color theme="1"/>
        <rFont val="宋体"/>
        <family val="2"/>
        <charset val="134"/>
        <scheme val="minor"/>
      </rPr>
      <t/>
    </r>
  </si>
  <si>
    <r>
      <t>4</t>
    </r>
    <r>
      <rPr>
        <sz val="11"/>
        <color theme="1"/>
        <rFont val="宋体"/>
        <family val="3"/>
        <charset val="134"/>
        <scheme val="minor"/>
      </rPr>
      <t>-711</t>
    </r>
    <r>
      <rPr>
        <sz val="11"/>
        <color theme="1"/>
        <rFont val="宋体"/>
        <family val="2"/>
        <charset val="134"/>
        <scheme val="minor"/>
      </rPr>
      <t/>
    </r>
  </si>
  <si>
    <r>
      <t>4</t>
    </r>
    <r>
      <rPr>
        <sz val="11"/>
        <color theme="1"/>
        <rFont val="宋体"/>
        <family val="3"/>
        <charset val="134"/>
        <scheme val="minor"/>
      </rPr>
      <t>-712</t>
    </r>
    <r>
      <rPr>
        <sz val="11"/>
        <color theme="1"/>
        <rFont val="宋体"/>
        <family val="2"/>
        <charset val="134"/>
        <scheme val="minor"/>
      </rPr>
      <t/>
    </r>
  </si>
  <si>
    <r>
      <t>4</t>
    </r>
    <r>
      <rPr>
        <sz val="11"/>
        <color theme="1"/>
        <rFont val="宋体"/>
        <family val="3"/>
        <charset val="134"/>
        <scheme val="minor"/>
      </rPr>
      <t>-713</t>
    </r>
    <r>
      <rPr>
        <sz val="11"/>
        <color theme="1"/>
        <rFont val="宋体"/>
        <family val="2"/>
        <charset val="134"/>
        <scheme val="minor"/>
      </rPr>
      <t/>
    </r>
  </si>
  <si>
    <r>
      <t>4</t>
    </r>
    <r>
      <rPr>
        <sz val="11"/>
        <color theme="1"/>
        <rFont val="宋体"/>
        <family val="3"/>
        <charset val="134"/>
        <scheme val="minor"/>
      </rPr>
      <t>-714</t>
    </r>
    <r>
      <rPr>
        <sz val="11"/>
        <color theme="1"/>
        <rFont val="宋体"/>
        <family val="2"/>
        <charset val="134"/>
        <scheme val="minor"/>
      </rPr>
      <t/>
    </r>
  </si>
  <si>
    <r>
      <t>4</t>
    </r>
    <r>
      <rPr>
        <sz val="11"/>
        <color theme="1"/>
        <rFont val="宋体"/>
        <family val="3"/>
        <charset val="134"/>
        <scheme val="minor"/>
      </rPr>
      <t>-715</t>
    </r>
    <r>
      <rPr>
        <sz val="11"/>
        <color theme="1"/>
        <rFont val="宋体"/>
        <family val="2"/>
        <charset val="134"/>
        <scheme val="minor"/>
      </rPr>
      <t/>
    </r>
  </si>
  <si>
    <r>
      <t>4</t>
    </r>
    <r>
      <rPr>
        <sz val="11"/>
        <color theme="1"/>
        <rFont val="宋体"/>
        <family val="3"/>
        <charset val="134"/>
        <scheme val="minor"/>
      </rPr>
      <t>-716</t>
    </r>
    <r>
      <rPr>
        <sz val="11"/>
        <color theme="1"/>
        <rFont val="宋体"/>
        <family val="2"/>
        <charset val="134"/>
        <scheme val="minor"/>
      </rPr>
      <t/>
    </r>
  </si>
  <si>
    <r>
      <t>4</t>
    </r>
    <r>
      <rPr>
        <sz val="11"/>
        <color theme="1"/>
        <rFont val="宋体"/>
        <family val="3"/>
        <charset val="134"/>
        <scheme val="minor"/>
      </rPr>
      <t>-717</t>
    </r>
    <r>
      <rPr>
        <sz val="11"/>
        <color theme="1"/>
        <rFont val="宋体"/>
        <family val="2"/>
        <charset val="134"/>
        <scheme val="minor"/>
      </rPr>
      <t/>
    </r>
  </si>
  <si>
    <r>
      <t>1</t>
    </r>
    <r>
      <rPr>
        <sz val="11"/>
        <color theme="1"/>
        <rFont val="宋体"/>
        <family val="3"/>
        <charset val="134"/>
        <scheme val="minor"/>
      </rPr>
      <t>-801</t>
    </r>
    <phoneticPr fontId="144" type="noConversion"/>
  </si>
  <si>
    <r>
      <t>1</t>
    </r>
    <r>
      <rPr>
        <sz val="11"/>
        <color theme="1"/>
        <rFont val="宋体"/>
        <family val="3"/>
        <charset val="134"/>
        <scheme val="minor"/>
      </rPr>
      <t>-802</t>
    </r>
    <r>
      <rPr>
        <sz val="11"/>
        <color theme="1"/>
        <rFont val="宋体"/>
        <family val="2"/>
        <charset val="134"/>
        <scheme val="minor"/>
      </rPr>
      <t/>
    </r>
  </si>
  <si>
    <r>
      <t>1</t>
    </r>
    <r>
      <rPr>
        <sz val="11"/>
        <color theme="1"/>
        <rFont val="宋体"/>
        <family val="3"/>
        <charset val="134"/>
        <scheme val="minor"/>
      </rPr>
      <t>-803</t>
    </r>
    <r>
      <rPr>
        <sz val="11"/>
        <color theme="1"/>
        <rFont val="宋体"/>
        <family val="2"/>
        <charset val="134"/>
        <scheme val="minor"/>
      </rPr>
      <t/>
    </r>
  </si>
  <si>
    <r>
      <t>1</t>
    </r>
    <r>
      <rPr>
        <sz val="11"/>
        <color theme="1"/>
        <rFont val="宋体"/>
        <family val="3"/>
        <charset val="134"/>
        <scheme val="minor"/>
      </rPr>
      <t>-804</t>
    </r>
    <r>
      <rPr>
        <sz val="11"/>
        <color theme="1"/>
        <rFont val="宋体"/>
        <family val="2"/>
        <charset val="134"/>
        <scheme val="minor"/>
      </rPr>
      <t/>
    </r>
  </si>
  <si>
    <r>
      <t>1</t>
    </r>
    <r>
      <rPr>
        <sz val="11"/>
        <color theme="1"/>
        <rFont val="宋体"/>
        <family val="3"/>
        <charset val="134"/>
        <scheme val="minor"/>
      </rPr>
      <t>-805</t>
    </r>
    <r>
      <rPr>
        <sz val="11"/>
        <color theme="1"/>
        <rFont val="宋体"/>
        <family val="2"/>
        <charset val="134"/>
        <scheme val="minor"/>
      </rPr>
      <t/>
    </r>
  </si>
  <si>
    <r>
      <t>1</t>
    </r>
    <r>
      <rPr>
        <sz val="11"/>
        <color theme="1"/>
        <rFont val="宋体"/>
        <family val="3"/>
        <charset val="134"/>
        <scheme val="minor"/>
      </rPr>
      <t>-806</t>
    </r>
    <r>
      <rPr>
        <sz val="11"/>
        <color theme="1"/>
        <rFont val="宋体"/>
        <family val="2"/>
        <charset val="134"/>
        <scheme val="minor"/>
      </rPr>
      <t/>
    </r>
  </si>
  <si>
    <r>
      <t>1</t>
    </r>
    <r>
      <rPr>
        <sz val="11"/>
        <color theme="1"/>
        <rFont val="宋体"/>
        <family val="3"/>
        <charset val="134"/>
        <scheme val="minor"/>
      </rPr>
      <t>-807</t>
    </r>
    <r>
      <rPr>
        <sz val="11"/>
        <color theme="1"/>
        <rFont val="宋体"/>
        <family val="2"/>
        <charset val="134"/>
        <scheme val="minor"/>
      </rPr>
      <t/>
    </r>
  </si>
  <si>
    <r>
      <t>1</t>
    </r>
    <r>
      <rPr>
        <sz val="11"/>
        <color theme="1"/>
        <rFont val="宋体"/>
        <family val="3"/>
        <charset val="134"/>
        <scheme val="minor"/>
      </rPr>
      <t>-808</t>
    </r>
    <r>
      <rPr>
        <sz val="11"/>
        <color theme="1"/>
        <rFont val="宋体"/>
        <family val="2"/>
        <charset val="134"/>
        <scheme val="minor"/>
      </rPr>
      <t/>
    </r>
  </si>
  <si>
    <r>
      <t>1</t>
    </r>
    <r>
      <rPr>
        <sz val="11"/>
        <color theme="1"/>
        <rFont val="宋体"/>
        <family val="3"/>
        <charset val="134"/>
        <scheme val="minor"/>
      </rPr>
      <t>-809</t>
    </r>
    <r>
      <rPr>
        <sz val="11"/>
        <color theme="1"/>
        <rFont val="宋体"/>
        <family val="2"/>
        <charset val="134"/>
        <scheme val="minor"/>
      </rPr>
      <t/>
    </r>
  </si>
  <si>
    <r>
      <t>1</t>
    </r>
    <r>
      <rPr>
        <sz val="11"/>
        <color theme="1"/>
        <rFont val="宋体"/>
        <family val="3"/>
        <charset val="134"/>
        <scheme val="minor"/>
      </rPr>
      <t>-810</t>
    </r>
    <r>
      <rPr>
        <sz val="11"/>
        <color theme="1"/>
        <rFont val="宋体"/>
        <family val="2"/>
        <charset val="134"/>
        <scheme val="minor"/>
      </rPr>
      <t/>
    </r>
  </si>
  <si>
    <r>
      <t>1</t>
    </r>
    <r>
      <rPr>
        <sz val="11"/>
        <color theme="1"/>
        <rFont val="宋体"/>
        <family val="3"/>
        <charset val="134"/>
        <scheme val="minor"/>
      </rPr>
      <t>-811</t>
    </r>
    <r>
      <rPr>
        <sz val="11"/>
        <color theme="1"/>
        <rFont val="宋体"/>
        <family val="2"/>
        <charset val="134"/>
        <scheme val="minor"/>
      </rPr>
      <t/>
    </r>
  </si>
  <si>
    <r>
      <t>1</t>
    </r>
    <r>
      <rPr>
        <sz val="11"/>
        <color theme="1"/>
        <rFont val="宋体"/>
        <family val="3"/>
        <charset val="134"/>
        <scheme val="minor"/>
      </rPr>
      <t>-812</t>
    </r>
    <r>
      <rPr>
        <sz val="11"/>
        <color theme="1"/>
        <rFont val="宋体"/>
        <family val="2"/>
        <charset val="134"/>
        <scheme val="minor"/>
      </rPr>
      <t/>
    </r>
  </si>
  <si>
    <r>
      <t>1</t>
    </r>
    <r>
      <rPr>
        <sz val="11"/>
        <color theme="1"/>
        <rFont val="宋体"/>
        <family val="3"/>
        <charset val="134"/>
        <scheme val="minor"/>
      </rPr>
      <t>-813</t>
    </r>
    <r>
      <rPr>
        <sz val="11"/>
        <color theme="1"/>
        <rFont val="宋体"/>
        <family val="2"/>
        <charset val="134"/>
        <scheme val="minor"/>
      </rPr>
      <t/>
    </r>
  </si>
  <si>
    <r>
      <t>1</t>
    </r>
    <r>
      <rPr>
        <sz val="11"/>
        <color theme="1"/>
        <rFont val="宋体"/>
        <family val="3"/>
        <charset val="134"/>
        <scheme val="minor"/>
      </rPr>
      <t>-814</t>
    </r>
    <r>
      <rPr>
        <sz val="11"/>
        <color theme="1"/>
        <rFont val="宋体"/>
        <family val="2"/>
        <charset val="134"/>
        <scheme val="minor"/>
      </rPr>
      <t/>
    </r>
  </si>
  <si>
    <r>
      <t>1</t>
    </r>
    <r>
      <rPr>
        <sz val="11"/>
        <color theme="1"/>
        <rFont val="宋体"/>
        <family val="3"/>
        <charset val="134"/>
        <scheme val="minor"/>
      </rPr>
      <t>-815</t>
    </r>
    <r>
      <rPr>
        <sz val="11"/>
        <color theme="1"/>
        <rFont val="宋体"/>
        <family val="2"/>
        <charset val="134"/>
        <scheme val="minor"/>
      </rPr>
      <t/>
    </r>
  </si>
  <si>
    <r>
      <t>1</t>
    </r>
    <r>
      <rPr>
        <sz val="11"/>
        <color theme="1"/>
        <rFont val="宋体"/>
        <family val="3"/>
        <charset val="134"/>
        <scheme val="minor"/>
      </rPr>
      <t>-816</t>
    </r>
    <r>
      <rPr>
        <sz val="11"/>
        <color theme="1"/>
        <rFont val="宋体"/>
        <family val="2"/>
        <charset val="134"/>
        <scheme val="minor"/>
      </rPr>
      <t/>
    </r>
  </si>
  <si>
    <r>
      <t>1</t>
    </r>
    <r>
      <rPr>
        <sz val="11"/>
        <color theme="1"/>
        <rFont val="宋体"/>
        <family val="3"/>
        <charset val="134"/>
        <scheme val="minor"/>
      </rPr>
      <t>-817</t>
    </r>
    <r>
      <rPr>
        <sz val="11"/>
        <color theme="1"/>
        <rFont val="宋体"/>
        <family val="2"/>
        <charset val="134"/>
        <scheme val="minor"/>
      </rPr>
      <t/>
    </r>
  </si>
  <si>
    <r>
      <t>1</t>
    </r>
    <r>
      <rPr>
        <sz val="11"/>
        <color theme="1"/>
        <rFont val="宋体"/>
        <family val="3"/>
        <charset val="134"/>
        <scheme val="minor"/>
      </rPr>
      <t>-818</t>
    </r>
    <r>
      <rPr>
        <sz val="11"/>
        <color theme="1"/>
        <rFont val="宋体"/>
        <family val="2"/>
        <charset val="134"/>
        <scheme val="minor"/>
      </rPr>
      <t/>
    </r>
  </si>
  <si>
    <r>
      <t>1</t>
    </r>
    <r>
      <rPr>
        <sz val="11"/>
        <color theme="1"/>
        <rFont val="宋体"/>
        <family val="3"/>
        <charset val="134"/>
        <scheme val="minor"/>
      </rPr>
      <t>-819</t>
    </r>
    <r>
      <rPr>
        <sz val="11"/>
        <color theme="1"/>
        <rFont val="宋体"/>
        <family val="2"/>
        <charset val="134"/>
        <scheme val="minor"/>
      </rPr>
      <t/>
    </r>
  </si>
  <si>
    <r>
      <t>1</t>
    </r>
    <r>
      <rPr>
        <sz val="11"/>
        <color theme="1"/>
        <rFont val="宋体"/>
        <family val="3"/>
        <charset val="134"/>
        <scheme val="minor"/>
      </rPr>
      <t>-820</t>
    </r>
    <r>
      <rPr>
        <sz val="11"/>
        <color theme="1"/>
        <rFont val="宋体"/>
        <family val="2"/>
        <charset val="134"/>
        <scheme val="minor"/>
      </rPr>
      <t/>
    </r>
  </si>
  <si>
    <r>
      <t>2</t>
    </r>
    <r>
      <rPr>
        <sz val="11"/>
        <color theme="1"/>
        <rFont val="宋体"/>
        <family val="3"/>
        <charset val="134"/>
        <scheme val="minor"/>
      </rPr>
      <t>-801</t>
    </r>
    <phoneticPr fontId="144" type="noConversion"/>
  </si>
  <si>
    <r>
      <t>2</t>
    </r>
    <r>
      <rPr>
        <sz val="11"/>
        <color theme="1"/>
        <rFont val="宋体"/>
        <family val="3"/>
        <charset val="134"/>
        <scheme val="minor"/>
      </rPr>
      <t>-802</t>
    </r>
    <r>
      <rPr>
        <sz val="11"/>
        <color theme="1"/>
        <rFont val="宋体"/>
        <family val="2"/>
        <charset val="134"/>
        <scheme val="minor"/>
      </rPr>
      <t/>
    </r>
  </si>
  <si>
    <r>
      <t>2</t>
    </r>
    <r>
      <rPr>
        <sz val="11"/>
        <color theme="1"/>
        <rFont val="宋体"/>
        <family val="3"/>
        <charset val="134"/>
        <scheme val="minor"/>
      </rPr>
      <t>-803</t>
    </r>
    <r>
      <rPr>
        <sz val="11"/>
        <color theme="1"/>
        <rFont val="宋体"/>
        <family val="2"/>
        <charset val="134"/>
        <scheme val="minor"/>
      </rPr>
      <t/>
    </r>
  </si>
  <si>
    <r>
      <t>2</t>
    </r>
    <r>
      <rPr>
        <sz val="11"/>
        <color theme="1"/>
        <rFont val="宋体"/>
        <family val="3"/>
        <charset val="134"/>
        <scheme val="minor"/>
      </rPr>
      <t>-804</t>
    </r>
    <r>
      <rPr>
        <sz val="11"/>
        <color theme="1"/>
        <rFont val="宋体"/>
        <family val="2"/>
        <charset val="134"/>
        <scheme val="minor"/>
      </rPr>
      <t/>
    </r>
  </si>
  <si>
    <r>
      <t>2</t>
    </r>
    <r>
      <rPr>
        <sz val="11"/>
        <color theme="1"/>
        <rFont val="宋体"/>
        <family val="3"/>
        <charset val="134"/>
        <scheme val="minor"/>
      </rPr>
      <t>-805</t>
    </r>
    <r>
      <rPr>
        <sz val="11"/>
        <color theme="1"/>
        <rFont val="宋体"/>
        <family val="2"/>
        <charset val="134"/>
        <scheme val="minor"/>
      </rPr>
      <t/>
    </r>
  </si>
  <si>
    <r>
      <t>2</t>
    </r>
    <r>
      <rPr>
        <sz val="11"/>
        <color theme="1"/>
        <rFont val="宋体"/>
        <family val="3"/>
        <charset val="134"/>
        <scheme val="minor"/>
      </rPr>
      <t>-806</t>
    </r>
    <r>
      <rPr>
        <sz val="11"/>
        <color theme="1"/>
        <rFont val="宋体"/>
        <family val="2"/>
        <charset val="134"/>
        <scheme val="minor"/>
      </rPr>
      <t/>
    </r>
  </si>
  <si>
    <r>
      <t>2</t>
    </r>
    <r>
      <rPr>
        <sz val="11"/>
        <color theme="1"/>
        <rFont val="宋体"/>
        <family val="3"/>
        <charset val="134"/>
        <scheme val="minor"/>
      </rPr>
      <t>-807</t>
    </r>
    <r>
      <rPr>
        <sz val="11"/>
        <color theme="1"/>
        <rFont val="宋体"/>
        <family val="2"/>
        <charset val="134"/>
        <scheme val="minor"/>
      </rPr>
      <t/>
    </r>
  </si>
  <si>
    <r>
      <t>2</t>
    </r>
    <r>
      <rPr>
        <sz val="11"/>
        <color theme="1"/>
        <rFont val="宋体"/>
        <family val="3"/>
        <charset val="134"/>
        <scheme val="minor"/>
      </rPr>
      <t>-808</t>
    </r>
    <r>
      <rPr>
        <sz val="11"/>
        <color theme="1"/>
        <rFont val="宋体"/>
        <family val="2"/>
        <charset val="134"/>
        <scheme val="minor"/>
      </rPr>
      <t/>
    </r>
  </si>
  <si>
    <r>
      <t>2</t>
    </r>
    <r>
      <rPr>
        <sz val="11"/>
        <color theme="1"/>
        <rFont val="宋体"/>
        <family val="3"/>
        <charset val="134"/>
        <scheme val="minor"/>
      </rPr>
      <t>-809</t>
    </r>
    <r>
      <rPr>
        <sz val="11"/>
        <color theme="1"/>
        <rFont val="宋体"/>
        <family val="2"/>
        <charset val="134"/>
        <scheme val="minor"/>
      </rPr>
      <t/>
    </r>
  </si>
  <si>
    <r>
      <t>2</t>
    </r>
    <r>
      <rPr>
        <sz val="11"/>
        <color theme="1"/>
        <rFont val="宋体"/>
        <family val="3"/>
        <charset val="134"/>
        <scheme val="minor"/>
      </rPr>
      <t>-810</t>
    </r>
    <r>
      <rPr>
        <sz val="11"/>
        <color theme="1"/>
        <rFont val="宋体"/>
        <family val="2"/>
        <charset val="134"/>
        <scheme val="minor"/>
      </rPr>
      <t/>
    </r>
  </si>
  <si>
    <r>
      <t>2</t>
    </r>
    <r>
      <rPr>
        <sz val="11"/>
        <color theme="1"/>
        <rFont val="宋体"/>
        <family val="3"/>
        <charset val="134"/>
        <scheme val="minor"/>
      </rPr>
      <t>-811</t>
    </r>
    <r>
      <rPr>
        <sz val="11"/>
        <color theme="1"/>
        <rFont val="宋体"/>
        <family val="2"/>
        <charset val="134"/>
        <scheme val="minor"/>
      </rPr>
      <t/>
    </r>
  </si>
  <si>
    <r>
      <t>2</t>
    </r>
    <r>
      <rPr>
        <sz val="11"/>
        <color theme="1"/>
        <rFont val="宋体"/>
        <family val="3"/>
        <charset val="134"/>
        <scheme val="minor"/>
      </rPr>
      <t>-812</t>
    </r>
    <r>
      <rPr>
        <sz val="11"/>
        <color theme="1"/>
        <rFont val="宋体"/>
        <family val="2"/>
        <charset val="134"/>
        <scheme val="minor"/>
      </rPr>
      <t/>
    </r>
  </si>
  <si>
    <r>
      <t>2</t>
    </r>
    <r>
      <rPr>
        <sz val="11"/>
        <color theme="1"/>
        <rFont val="宋体"/>
        <family val="3"/>
        <charset val="134"/>
        <scheme val="minor"/>
      </rPr>
      <t>-813</t>
    </r>
    <r>
      <rPr>
        <sz val="11"/>
        <color theme="1"/>
        <rFont val="宋体"/>
        <family val="2"/>
        <charset val="134"/>
        <scheme val="minor"/>
      </rPr>
      <t/>
    </r>
  </si>
  <si>
    <r>
      <t>2</t>
    </r>
    <r>
      <rPr>
        <sz val="11"/>
        <color theme="1"/>
        <rFont val="宋体"/>
        <family val="3"/>
        <charset val="134"/>
        <scheme val="minor"/>
      </rPr>
      <t>-814</t>
    </r>
    <r>
      <rPr>
        <sz val="11"/>
        <color theme="1"/>
        <rFont val="宋体"/>
        <family val="2"/>
        <charset val="134"/>
        <scheme val="minor"/>
      </rPr>
      <t/>
    </r>
  </si>
  <si>
    <r>
      <t>2</t>
    </r>
    <r>
      <rPr>
        <sz val="11"/>
        <color theme="1"/>
        <rFont val="宋体"/>
        <family val="3"/>
        <charset val="134"/>
        <scheme val="minor"/>
      </rPr>
      <t>-815</t>
    </r>
    <r>
      <rPr>
        <sz val="11"/>
        <color theme="1"/>
        <rFont val="宋体"/>
        <family val="2"/>
        <charset val="134"/>
        <scheme val="minor"/>
      </rPr>
      <t/>
    </r>
  </si>
  <si>
    <r>
      <t>2</t>
    </r>
    <r>
      <rPr>
        <sz val="11"/>
        <color theme="1"/>
        <rFont val="宋体"/>
        <family val="3"/>
        <charset val="134"/>
        <scheme val="minor"/>
      </rPr>
      <t>-816</t>
    </r>
    <r>
      <rPr>
        <sz val="11"/>
        <color theme="1"/>
        <rFont val="宋体"/>
        <family val="2"/>
        <charset val="134"/>
        <scheme val="minor"/>
      </rPr>
      <t/>
    </r>
  </si>
  <si>
    <r>
      <t>2</t>
    </r>
    <r>
      <rPr>
        <sz val="11"/>
        <color theme="1"/>
        <rFont val="宋体"/>
        <family val="3"/>
        <charset val="134"/>
        <scheme val="minor"/>
      </rPr>
      <t>-817</t>
    </r>
    <r>
      <rPr>
        <sz val="11"/>
        <color theme="1"/>
        <rFont val="宋体"/>
        <family val="2"/>
        <charset val="134"/>
        <scheme val="minor"/>
      </rPr>
      <t/>
    </r>
  </si>
  <si>
    <r>
      <t>2</t>
    </r>
    <r>
      <rPr>
        <sz val="11"/>
        <color theme="1"/>
        <rFont val="宋体"/>
        <family val="3"/>
        <charset val="134"/>
        <scheme val="minor"/>
      </rPr>
      <t>-818</t>
    </r>
    <r>
      <rPr>
        <sz val="11"/>
        <color theme="1"/>
        <rFont val="宋体"/>
        <family val="2"/>
        <charset val="134"/>
        <scheme val="minor"/>
      </rPr>
      <t/>
    </r>
  </si>
  <si>
    <r>
      <t>2</t>
    </r>
    <r>
      <rPr>
        <sz val="11"/>
        <color theme="1"/>
        <rFont val="宋体"/>
        <family val="3"/>
        <charset val="134"/>
        <scheme val="minor"/>
      </rPr>
      <t>-819</t>
    </r>
    <r>
      <rPr>
        <sz val="11"/>
        <color theme="1"/>
        <rFont val="宋体"/>
        <family val="2"/>
        <charset val="134"/>
        <scheme val="minor"/>
      </rPr>
      <t/>
    </r>
  </si>
  <si>
    <r>
      <t>2</t>
    </r>
    <r>
      <rPr>
        <sz val="11"/>
        <color theme="1"/>
        <rFont val="宋体"/>
        <family val="3"/>
        <charset val="134"/>
        <scheme val="minor"/>
      </rPr>
      <t>-820</t>
    </r>
    <r>
      <rPr>
        <sz val="11"/>
        <color theme="1"/>
        <rFont val="宋体"/>
        <family val="2"/>
        <charset val="134"/>
        <scheme val="minor"/>
      </rPr>
      <t/>
    </r>
  </si>
  <si>
    <r>
      <t>3</t>
    </r>
    <r>
      <rPr>
        <sz val="11"/>
        <color theme="1"/>
        <rFont val="宋体"/>
        <family val="3"/>
        <charset val="134"/>
        <scheme val="minor"/>
      </rPr>
      <t>-801</t>
    </r>
    <phoneticPr fontId="144" type="noConversion"/>
  </si>
  <si>
    <r>
      <t>3</t>
    </r>
    <r>
      <rPr>
        <sz val="11"/>
        <color theme="1"/>
        <rFont val="宋体"/>
        <family val="3"/>
        <charset val="134"/>
        <scheme val="minor"/>
      </rPr>
      <t>-802</t>
    </r>
    <r>
      <rPr>
        <sz val="11"/>
        <color theme="1"/>
        <rFont val="宋体"/>
        <family val="2"/>
        <charset val="134"/>
        <scheme val="minor"/>
      </rPr>
      <t/>
    </r>
  </si>
  <si>
    <r>
      <t>3</t>
    </r>
    <r>
      <rPr>
        <sz val="11"/>
        <color theme="1"/>
        <rFont val="宋体"/>
        <family val="3"/>
        <charset val="134"/>
        <scheme val="minor"/>
      </rPr>
      <t>-803</t>
    </r>
    <r>
      <rPr>
        <sz val="11"/>
        <color theme="1"/>
        <rFont val="宋体"/>
        <family val="2"/>
        <charset val="134"/>
        <scheme val="minor"/>
      </rPr>
      <t/>
    </r>
  </si>
  <si>
    <r>
      <t>3</t>
    </r>
    <r>
      <rPr>
        <sz val="11"/>
        <color theme="1"/>
        <rFont val="宋体"/>
        <family val="3"/>
        <charset val="134"/>
        <scheme val="minor"/>
      </rPr>
      <t>-804</t>
    </r>
    <r>
      <rPr>
        <sz val="11"/>
        <color theme="1"/>
        <rFont val="宋体"/>
        <family val="2"/>
        <charset val="134"/>
        <scheme val="minor"/>
      </rPr>
      <t/>
    </r>
  </si>
  <si>
    <r>
      <t>3</t>
    </r>
    <r>
      <rPr>
        <sz val="11"/>
        <color theme="1"/>
        <rFont val="宋体"/>
        <family val="3"/>
        <charset val="134"/>
        <scheme val="minor"/>
      </rPr>
      <t>-805</t>
    </r>
    <r>
      <rPr>
        <sz val="11"/>
        <color theme="1"/>
        <rFont val="宋体"/>
        <family val="2"/>
        <charset val="134"/>
        <scheme val="minor"/>
      </rPr>
      <t/>
    </r>
  </si>
  <si>
    <r>
      <t>3</t>
    </r>
    <r>
      <rPr>
        <sz val="11"/>
        <color theme="1"/>
        <rFont val="宋体"/>
        <family val="3"/>
        <charset val="134"/>
        <scheme val="minor"/>
      </rPr>
      <t>-806</t>
    </r>
    <r>
      <rPr>
        <sz val="11"/>
        <color theme="1"/>
        <rFont val="宋体"/>
        <family val="2"/>
        <charset val="134"/>
        <scheme val="minor"/>
      </rPr>
      <t/>
    </r>
  </si>
  <si>
    <r>
      <t>3</t>
    </r>
    <r>
      <rPr>
        <sz val="11"/>
        <color theme="1"/>
        <rFont val="宋体"/>
        <family val="3"/>
        <charset val="134"/>
        <scheme val="minor"/>
      </rPr>
      <t>-807</t>
    </r>
    <r>
      <rPr>
        <sz val="11"/>
        <color theme="1"/>
        <rFont val="宋体"/>
        <family val="2"/>
        <charset val="134"/>
        <scheme val="minor"/>
      </rPr>
      <t/>
    </r>
  </si>
  <si>
    <r>
      <t>3</t>
    </r>
    <r>
      <rPr>
        <sz val="11"/>
        <color theme="1"/>
        <rFont val="宋体"/>
        <family val="3"/>
        <charset val="134"/>
        <scheme val="minor"/>
      </rPr>
      <t>-808</t>
    </r>
    <r>
      <rPr>
        <sz val="11"/>
        <color theme="1"/>
        <rFont val="宋体"/>
        <family val="2"/>
        <charset val="134"/>
        <scheme val="minor"/>
      </rPr>
      <t/>
    </r>
  </si>
  <si>
    <r>
      <t>3</t>
    </r>
    <r>
      <rPr>
        <sz val="11"/>
        <color theme="1"/>
        <rFont val="宋体"/>
        <family val="3"/>
        <charset val="134"/>
        <scheme val="minor"/>
      </rPr>
      <t>-809</t>
    </r>
    <r>
      <rPr>
        <sz val="11"/>
        <color theme="1"/>
        <rFont val="宋体"/>
        <family val="2"/>
        <charset val="134"/>
        <scheme val="minor"/>
      </rPr>
      <t/>
    </r>
  </si>
  <si>
    <r>
      <t>3</t>
    </r>
    <r>
      <rPr>
        <sz val="11"/>
        <color theme="1"/>
        <rFont val="宋体"/>
        <family val="3"/>
        <charset val="134"/>
        <scheme val="minor"/>
      </rPr>
      <t>-810</t>
    </r>
    <r>
      <rPr>
        <sz val="11"/>
        <color theme="1"/>
        <rFont val="宋体"/>
        <family val="2"/>
        <charset val="134"/>
        <scheme val="minor"/>
      </rPr>
      <t/>
    </r>
  </si>
  <si>
    <r>
      <t>3</t>
    </r>
    <r>
      <rPr>
        <sz val="11"/>
        <color theme="1"/>
        <rFont val="宋体"/>
        <family val="3"/>
        <charset val="134"/>
        <scheme val="minor"/>
      </rPr>
      <t>-811</t>
    </r>
    <r>
      <rPr>
        <sz val="11"/>
        <color theme="1"/>
        <rFont val="宋体"/>
        <family val="2"/>
        <charset val="134"/>
        <scheme val="minor"/>
      </rPr>
      <t/>
    </r>
  </si>
  <si>
    <r>
      <t>3</t>
    </r>
    <r>
      <rPr>
        <sz val="11"/>
        <color theme="1"/>
        <rFont val="宋体"/>
        <family val="3"/>
        <charset val="134"/>
        <scheme val="minor"/>
      </rPr>
      <t>-812</t>
    </r>
    <r>
      <rPr>
        <sz val="11"/>
        <color theme="1"/>
        <rFont val="宋体"/>
        <family val="2"/>
        <charset val="134"/>
        <scheme val="minor"/>
      </rPr>
      <t/>
    </r>
  </si>
  <si>
    <r>
      <t>3</t>
    </r>
    <r>
      <rPr>
        <sz val="11"/>
        <color theme="1"/>
        <rFont val="宋体"/>
        <family val="3"/>
        <charset val="134"/>
        <scheme val="minor"/>
      </rPr>
      <t>-813</t>
    </r>
    <r>
      <rPr>
        <sz val="11"/>
        <color theme="1"/>
        <rFont val="宋体"/>
        <family val="2"/>
        <charset val="134"/>
        <scheme val="minor"/>
      </rPr>
      <t/>
    </r>
  </si>
  <si>
    <r>
      <t>3</t>
    </r>
    <r>
      <rPr>
        <sz val="11"/>
        <color theme="1"/>
        <rFont val="宋体"/>
        <family val="3"/>
        <charset val="134"/>
        <scheme val="minor"/>
      </rPr>
      <t>-814</t>
    </r>
    <r>
      <rPr>
        <sz val="11"/>
        <color theme="1"/>
        <rFont val="宋体"/>
        <family val="2"/>
        <charset val="134"/>
        <scheme val="minor"/>
      </rPr>
      <t/>
    </r>
  </si>
  <si>
    <r>
      <t>3</t>
    </r>
    <r>
      <rPr>
        <sz val="11"/>
        <color theme="1"/>
        <rFont val="宋体"/>
        <family val="3"/>
        <charset val="134"/>
        <scheme val="minor"/>
      </rPr>
      <t>-815</t>
    </r>
    <r>
      <rPr>
        <sz val="11"/>
        <color theme="1"/>
        <rFont val="宋体"/>
        <family val="2"/>
        <charset val="134"/>
        <scheme val="minor"/>
      </rPr>
      <t/>
    </r>
  </si>
  <si>
    <r>
      <t>3</t>
    </r>
    <r>
      <rPr>
        <sz val="11"/>
        <color theme="1"/>
        <rFont val="宋体"/>
        <family val="3"/>
        <charset val="134"/>
        <scheme val="minor"/>
      </rPr>
      <t>-816</t>
    </r>
    <r>
      <rPr>
        <sz val="11"/>
        <color theme="1"/>
        <rFont val="宋体"/>
        <family val="2"/>
        <charset val="134"/>
        <scheme val="minor"/>
      </rPr>
      <t/>
    </r>
  </si>
  <si>
    <r>
      <t>3</t>
    </r>
    <r>
      <rPr>
        <sz val="11"/>
        <color theme="1"/>
        <rFont val="宋体"/>
        <family val="3"/>
        <charset val="134"/>
        <scheme val="minor"/>
      </rPr>
      <t>-817</t>
    </r>
    <r>
      <rPr>
        <sz val="11"/>
        <color theme="1"/>
        <rFont val="宋体"/>
        <family val="2"/>
        <charset val="134"/>
        <scheme val="minor"/>
      </rPr>
      <t/>
    </r>
  </si>
  <si>
    <r>
      <t>3</t>
    </r>
    <r>
      <rPr>
        <sz val="11"/>
        <color theme="1"/>
        <rFont val="宋体"/>
        <family val="3"/>
        <charset val="134"/>
        <scheme val="minor"/>
      </rPr>
      <t>-818</t>
    </r>
    <r>
      <rPr>
        <sz val="11"/>
        <color theme="1"/>
        <rFont val="宋体"/>
        <family val="2"/>
        <charset val="134"/>
        <scheme val="minor"/>
      </rPr>
      <t/>
    </r>
  </si>
  <si>
    <r>
      <t>3</t>
    </r>
    <r>
      <rPr>
        <sz val="11"/>
        <color theme="1"/>
        <rFont val="宋体"/>
        <family val="3"/>
        <charset val="134"/>
        <scheme val="minor"/>
      </rPr>
      <t>-819</t>
    </r>
    <r>
      <rPr>
        <sz val="11"/>
        <color theme="1"/>
        <rFont val="宋体"/>
        <family val="2"/>
        <charset val="134"/>
        <scheme val="minor"/>
      </rPr>
      <t/>
    </r>
  </si>
  <si>
    <r>
      <t>3</t>
    </r>
    <r>
      <rPr>
        <sz val="11"/>
        <color theme="1"/>
        <rFont val="宋体"/>
        <family val="3"/>
        <charset val="134"/>
        <scheme val="minor"/>
      </rPr>
      <t>-820</t>
    </r>
    <r>
      <rPr>
        <sz val="11"/>
        <color theme="1"/>
        <rFont val="宋体"/>
        <family val="2"/>
        <charset val="134"/>
        <scheme val="minor"/>
      </rPr>
      <t/>
    </r>
  </si>
  <si>
    <r>
      <t>3</t>
    </r>
    <r>
      <rPr>
        <sz val="11"/>
        <color theme="1"/>
        <rFont val="宋体"/>
        <family val="3"/>
        <charset val="134"/>
        <scheme val="minor"/>
      </rPr>
      <t>-821</t>
    </r>
    <r>
      <rPr>
        <sz val="11"/>
        <color theme="1"/>
        <rFont val="宋体"/>
        <family val="2"/>
        <charset val="134"/>
        <scheme val="minor"/>
      </rPr>
      <t/>
    </r>
  </si>
  <si>
    <r>
      <t>3</t>
    </r>
    <r>
      <rPr>
        <sz val="11"/>
        <color theme="1"/>
        <rFont val="宋体"/>
        <family val="3"/>
        <charset val="134"/>
        <scheme val="minor"/>
      </rPr>
      <t>-822</t>
    </r>
    <r>
      <rPr>
        <sz val="11"/>
        <color theme="1"/>
        <rFont val="宋体"/>
        <family val="2"/>
        <charset val="134"/>
        <scheme val="minor"/>
      </rPr>
      <t/>
    </r>
  </si>
  <si>
    <r>
      <t>3</t>
    </r>
    <r>
      <rPr>
        <sz val="11"/>
        <color theme="1"/>
        <rFont val="宋体"/>
        <family val="3"/>
        <charset val="134"/>
        <scheme val="minor"/>
      </rPr>
      <t>-823</t>
    </r>
    <r>
      <rPr>
        <sz val="11"/>
        <color theme="1"/>
        <rFont val="宋体"/>
        <family val="2"/>
        <charset val="134"/>
        <scheme val="minor"/>
      </rPr>
      <t/>
    </r>
  </si>
  <si>
    <r>
      <t>3</t>
    </r>
    <r>
      <rPr>
        <sz val="11"/>
        <color theme="1"/>
        <rFont val="宋体"/>
        <family val="3"/>
        <charset val="134"/>
        <scheme val="minor"/>
      </rPr>
      <t>-824</t>
    </r>
    <r>
      <rPr>
        <sz val="11"/>
        <color theme="1"/>
        <rFont val="宋体"/>
        <family val="2"/>
        <charset val="134"/>
        <scheme val="minor"/>
      </rPr>
      <t/>
    </r>
  </si>
  <si>
    <r>
      <t>3</t>
    </r>
    <r>
      <rPr>
        <sz val="11"/>
        <color theme="1"/>
        <rFont val="宋体"/>
        <family val="3"/>
        <charset val="134"/>
        <scheme val="minor"/>
      </rPr>
      <t>-825</t>
    </r>
    <r>
      <rPr>
        <sz val="11"/>
        <color theme="1"/>
        <rFont val="宋体"/>
        <family val="2"/>
        <charset val="134"/>
        <scheme val="minor"/>
      </rPr>
      <t/>
    </r>
  </si>
  <si>
    <r>
      <t>3</t>
    </r>
    <r>
      <rPr>
        <sz val="11"/>
        <color theme="1"/>
        <rFont val="宋体"/>
        <family val="3"/>
        <charset val="134"/>
        <scheme val="minor"/>
      </rPr>
      <t>-826</t>
    </r>
    <r>
      <rPr>
        <sz val="11"/>
        <color theme="1"/>
        <rFont val="宋体"/>
        <family val="2"/>
        <charset val="134"/>
        <scheme val="minor"/>
      </rPr>
      <t/>
    </r>
  </si>
  <si>
    <r>
      <t>3</t>
    </r>
    <r>
      <rPr>
        <sz val="11"/>
        <color theme="1"/>
        <rFont val="宋体"/>
        <family val="3"/>
        <charset val="134"/>
        <scheme val="minor"/>
      </rPr>
      <t>-827</t>
    </r>
    <r>
      <rPr>
        <sz val="11"/>
        <color theme="1"/>
        <rFont val="宋体"/>
        <family val="2"/>
        <charset val="134"/>
        <scheme val="minor"/>
      </rPr>
      <t/>
    </r>
  </si>
  <si>
    <r>
      <t>3</t>
    </r>
    <r>
      <rPr>
        <sz val="11"/>
        <color theme="1"/>
        <rFont val="宋体"/>
        <family val="3"/>
        <charset val="134"/>
        <scheme val="minor"/>
      </rPr>
      <t>-828</t>
    </r>
    <r>
      <rPr>
        <sz val="11"/>
        <color theme="1"/>
        <rFont val="宋体"/>
        <family val="2"/>
        <charset val="134"/>
        <scheme val="minor"/>
      </rPr>
      <t/>
    </r>
  </si>
  <si>
    <r>
      <t>3</t>
    </r>
    <r>
      <rPr>
        <sz val="11"/>
        <color theme="1"/>
        <rFont val="宋体"/>
        <family val="3"/>
        <charset val="134"/>
        <scheme val="minor"/>
      </rPr>
      <t>-829</t>
    </r>
    <r>
      <rPr>
        <sz val="11"/>
        <color theme="1"/>
        <rFont val="宋体"/>
        <family val="2"/>
        <charset val="134"/>
        <scheme val="minor"/>
      </rPr>
      <t/>
    </r>
  </si>
  <si>
    <r>
      <t>3</t>
    </r>
    <r>
      <rPr>
        <sz val="11"/>
        <color theme="1"/>
        <rFont val="宋体"/>
        <family val="3"/>
        <charset val="134"/>
        <scheme val="minor"/>
      </rPr>
      <t>-830</t>
    </r>
    <r>
      <rPr>
        <sz val="11"/>
        <color theme="1"/>
        <rFont val="宋体"/>
        <family val="2"/>
        <charset val="134"/>
        <scheme val="minor"/>
      </rPr>
      <t/>
    </r>
  </si>
  <si>
    <r>
      <t>3</t>
    </r>
    <r>
      <rPr>
        <sz val="11"/>
        <color theme="1"/>
        <rFont val="宋体"/>
        <family val="3"/>
        <charset val="134"/>
        <scheme val="minor"/>
      </rPr>
      <t>-831</t>
    </r>
    <r>
      <rPr>
        <sz val="11"/>
        <color theme="1"/>
        <rFont val="宋体"/>
        <family val="2"/>
        <charset val="134"/>
        <scheme val="minor"/>
      </rPr>
      <t/>
    </r>
  </si>
  <si>
    <r>
      <t>3</t>
    </r>
    <r>
      <rPr>
        <sz val="11"/>
        <color theme="1"/>
        <rFont val="宋体"/>
        <family val="3"/>
        <charset val="134"/>
        <scheme val="minor"/>
      </rPr>
      <t>-832</t>
    </r>
    <r>
      <rPr>
        <sz val="11"/>
        <color theme="1"/>
        <rFont val="宋体"/>
        <family val="2"/>
        <charset val="134"/>
        <scheme val="minor"/>
      </rPr>
      <t/>
    </r>
  </si>
  <si>
    <r>
      <t>3</t>
    </r>
    <r>
      <rPr>
        <sz val="11"/>
        <color theme="1"/>
        <rFont val="宋体"/>
        <family val="3"/>
        <charset val="134"/>
        <scheme val="minor"/>
      </rPr>
      <t>-833</t>
    </r>
    <r>
      <rPr>
        <sz val="11"/>
        <color theme="1"/>
        <rFont val="宋体"/>
        <family val="2"/>
        <charset val="134"/>
        <scheme val="minor"/>
      </rPr>
      <t/>
    </r>
  </si>
  <si>
    <r>
      <t>3</t>
    </r>
    <r>
      <rPr>
        <sz val="11"/>
        <color theme="1"/>
        <rFont val="宋体"/>
        <family val="3"/>
        <charset val="134"/>
        <scheme val="minor"/>
      </rPr>
      <t>-834</t>
    </r>
    <r>
      <rPr>
        <sz val="11"/>
        <color theme="1"/>
        <rFont val="宋体"/>
        <family val="2"/>
        <charset val="134"/>
        <scheme val="minor"/>
      </rPr>
      <t/>
    </r>
  </si>
  <si>
    <r>
      <t>3</t>
    </r>
    <r>
      <rPr>
        <sz val="11"/>
        <color theme="1"/>
        <rFont val="宋体"/>
        <family val="3"/>
        <charset val="134"/>
        <scheme val="minor"/>
      </rPr>
      <t>-835</t>
    </r>
    <r>
      <rPr>
        <sz val="11"/>
        <color theme="1"/>
        <rFont val="宋体"/>
        <family val="2"/>
        <charset val="134"/>
        <scheme val="minor"/>
      </rPr>
      <t/>
    </r>
  </si>
  <si>
    <r>
      <t>3</t>
    </r>
    <r>
      <rPr>
        <sz val="11"/>
        <color theme="1"/>
        <rFont val="宋体"/>
        <family val="3"/>
        <charset val="134"/>
        <scheme val="minor"/>
      </rPr>
      <t>-836</t>
    </r>
    <r>
      <rPr>
        <sz val="11"/>
        <color theme="1"/>
        <rFont val="宋体"/>
        <family val="2"/>
        <charset val="134"/>
        <scheme val="minor"/>
      </rPr>
      <t/>
    </r>
  </si>
  <si>
    <r>
      <t>3</t>
    </r>
    <r>
      <rPr>
        <sz val="11"/>
        <color theme="1"/>
        <rFont val="宋体"/>
        <family val="3"/>
        <charset val="134"/>
        <scheme val="minor"/>
      </rPr>
      <t>-837</t>
    </r>
    <r>
      <rPr>
        <sz val="11"/>
        <color theme="1"/>
        <rFont val="宋体"/>
        <family val="2"/>
        <charset val="134"/>
        <scheme val="minor"/>
      </rPr>
      <t/>
    </r>
  </si>
  <si>
    <r>
      <t>3</t>
    </r>
    <r>
      <rPr>
        <sz val="11"/>
        <color theme="1"/>
        <rFont val="宋体"/>
        <family val="3"/>
        <charset val="134"/>
        <scheme val="minor"/>
      </rPr>
      <t>-838</t>
    </r>
    <r>
      <rPr>
        <sz val="11"/>
        <color theme="1"/>
        <rFont val="宋体"/>
        <family val="2"/>
        <charset val="134"/>
        <scheme val="minor"/>
      </rPr>
      <t/>
    </r>
  </si>
  <si>
    <r>
      <t>3</t>
    </r>
    <r>
      <rPr>
        <sz val="11"/>
        <color theme="1"/>
        <rFont val="宋体"/>
        <family val="3"/>
        <charset val="134"/>
        <scheme val="minor"/>
      </rPr>
      <t>-839</t>
    </r>
    <r>
      <rPr>
        <sz val="11"/>
        <color theme="1"/>
        <rFont val="宋体"/>
        <family val="2"/>
        <charset val="134"/>
        <scheme val="minor"/>
      </rPr>
      <t/>
    </r>
  </si>
  <si>
    <r>
      <t>3</t>
    </r>
    <r>
      <rPr>
        <sz val="11"/>
        <color theme="1"/>
        <rFont val="宋体"/>
        <family val="3"/>
        <charset val="134"/>
        <scheme val="minor"/>
      </rPr>
      <t>-840</t>
    </r>
    <r>
      <rPr>
        <sz val="11"/>
        <color theme="1"/>
        <rFont val="宋体"/>
        <family val="2"/>
        <charset val="134"/>
        <scheme val="minor"/>
      </rPr>
      <t/>
    </r>
  </si>
  <si>
    <r>
      <t>3</t>
    </r>
    <r>
      <rPr>
        <sz val="11"/>
        <color theme="1"/>
        <rFont val="宋体"/>
        <family val="3"/>
        <charset val="134"/>
        <scheme val="minor"/>
      </rPr>
      <t>-841</t>
    </r>
    <r>
      <rPr>
        <sz val="11"/>
        <color theme="1"/>
        <rFont val="宋体"/>
        <family val="2"/>
        <charset val="134"/>
        <scheme val="minor"/>
      </rPr>
      <t/>
    </r>
  </si>
  <si>
    <r>
      <t>3</t>
    </r>
    <r>
      <rPr>
        <sz val="11"/>
        <color theme="1"/>
        <rFont val="宋体"/>
        <family val="3"/>
        <charset val="134"/>
        <scheme val="minor"/>
      </rPr>
      <t>-842</t>
    </r>
    <r>
      <rPr>
        <sz val="11"/>
        <color theme="1"/>
        <rFont val="宋体"/>
        <family val="2"/>
        <charset val="134"/>
        <scheme val="minor"/>
      </rPr>
      <t/>
    </r>
  </si>
  <si>
    <r>
      <t>3</t>
    </r>
    <r>
      <rPr>
        <sz val="11"/>
        <color theme="1"/>
        <rFont val="宋体"/>
        <family val="3"/>
        <charset val="134"/>
        <scheme val="minor"/>
      </rPr>
      <t>-843</t>
    </r>
    <r>
      <rPr>
        <sz val="11"/>
        <color theme="1"/>
        <rFont val="宋体"/>
        <family val="2"/>
        <charset val="134"/>
        <scheme val="minor"/>
      </rPr>
      <t/>
    </r>
  </si>
  <si>
    <r>
      <t>3</t>
    </r>
    <r>
      <rPr>
        <sz val="11"/>
        <color theme="1"/>
        <rFont val="宋体"/>
        <family val="3"/>
        <charset val="134"/>
        <scheme val="minor"/>
      </rPr>
      <t>-844</t>
    </r>
    <r>
      <rPr>
        <sz val="11"/>
        <color theme="1"/>
        <rFont val="宋体"/>
        <family val="2"/>
        <charset val="134"/>
        <scheme val="minor"/>
      </rPr>
      <t/>
    </r>
  </si>
  <si>
    <r>
      <t>3</t>
    </r>
    <r>
      <rPr>
        <sz val="11"/>
        <color theme="1"/>
        <rFont val="宋体"/>
        <family val="3"/>
        <charset val="134"/>
        <scheme val="minor"/>
      </rPr>
      <t>-845</t>
    </r>
    <r>
      <rPr>
        <sz val="11"/>
        <color theme="1"/>
        <rFont val="宋体"/>
        <family val="2"/>
        <charset val="134"/>
        <scheme val="minor"/>
      </rPr>
      <t/>
    </r>
  </si>
  <si>
    <r>
      <t>3</t>
    </r>
    <r>
      <rPr>
        <sz val="11"/>
        <color theme="1"/>
        <rFont val="宋体"/>
        <family val="3"/>
        <charset val="134"/>
        <scheme val="minor"/>
      </rPr>
      <t>-846</t>
    </r>
    <r>
      <rPr>
        <sz val="11"/>
        <color theme="1"/>
        <rFont val="宋体"/>
        <family val="2"/>
        <charset val="134"/>
        <scheme val="minor"/>
      </rPr>
      <t/>
    </r>
  </si>
  <si>
    <r>
      <t>3</t>
    </r>
    <r>
      <rPr>
        <sz val="11"/>
        <color theme="1"/>
        <rFont val="宋体"/>
        <family val="3"/>
        <charset val="134"/>
        <scheme val="minor"/>
      </rPr>
      <t>-847</t>
    </r>
    <r>
      <rPr>
        <sz val="11"/>
        <color theme="1"/>
        <rFont val="宋体"/>
        <family val="2"/>
        <charset val="134"/>
        <scheme val="minor"/>
      </rPr>
      <t/>
    </r>
  </si>
  <si>
    <r>
      <t>3</t>
    </r>
    <r>
      <rPr>
        <sz val="11"/>
        <color theme="1"/>
        <rFont val="宋体"/>
        <family val="3"/>
        <charset val="134"/>
        <scheme val="minor"/>
      </rPr>
      <t>-848</t>
    </r>
    <r>
      <rPr>
        <sz val="11"/>
        <color theme="1"/>
        <rFont val="宋体"/>
        <family val="2"/>
        <charset val="134"/>
        <scheme val="minor"/>
      </rPr>
      <t/>
    </r>
  </si>
  <si>
    <r>
      <t>3</t>
    </r>
    <r>
      <rPr>
        <sz val="11"/>
        <color theme="1"/>
        <rFont val="宋体"/>
        <family val="3"/>
        <charset val="134"/>
        <scheme val="minor"/>
      </rPr>
      <t>-849</t>
    </r>
    <r>
      <rPr>
        <sz val="11"/>
        <color theme="1"/>
        <rFont val="宋体"/>
        <family val="2"/>
        <charset val="134"/>
        <scheme val="minor"/>
      </rPr>
      <t/>
    </r>
  </si>
  <si>
    <r>
      <t>3</t>
    </r>
    <r>
      <rPr>
        <sz val="11"/>
        <color theme="1"/>
        <rFont val="宋体"/>
        <family val="3"/>
        <charset val="134"/>
        <scheme val="minor"/>
      </rPr>
      <t>-850</t>
    </r>
    <r>
      <rPr>
        <sz val="11"/>
        <color theme="1"/>
        <rFont val="宋体"/>
        <family val="2"/>
        <charset val="134"/>
        <scheme val="minor"/>
      </rPr>
      <t/>
    </r>
  </si>
  <si>
    <r>
      <t>3</t>
    </r>
    <r>
      <rPr>
        <sz val="11"/>
        <color theme="1"/>
        <rFont val="宋体"/>
        <family val="3"/>
        <charset val="134"/>
        <scheme val="minor"/>
      </rPr>
      <t>-851</t>
    </r>
    <r>
      <rPr>
        <sz val="11"/>
        <color theme="1"/>
        <rFont val="宋体"/>
        <family val="2"/>
        <charset val="134"/>
        <scheme val="minor"/>
      </rPr>
      <t/>
    </r>
  </si>
  <si>
    <r>
      <t>3</t>
    </r>
    <r>
      <rPr>
        <sz val="11"/>
        <color theme="1"/>
        <rFont val="宋体"/>
        <family val="3"/>
        <charset val="134"/>
        <scheme val="minor"/>
      </rPr>
      <t>-852</t>
    </r>
    <r>
      <rPr>
        <sz val="11"/>
        <color theme="1"/>
        <rFont val="宋体"/>
        <family val="2"/>
        <charset val="134"/>
        <scheme val="minor"/>
      </rPr>
      <t/>
    </r>
  </si>
  <si>
    <r>
      <t>4</t>
    </r>
    <r>
      <rPr>
        <sz val="11"/>
        <color theme="1"/>
        <rFont val="宋体"/>
        <family val="3"/>
        <charset val="134"/>
        <scheme val="minor"/>
      </rPr>
      <t>-801</t>
    </r>
    <phoneticPr fontId="144" type="noConversion"/>
  </si>
  <si>
    <r>
      <t>4</t>
    </r>
    <r>
      <rPr>
        <sz val="11"/>
        <color theme="1"/>
        <rFont val="宋体"/>
        <family val="3"/>
        <charset val="134"/>
        <scheme val="minor"/>
      </rPr>
      <t>-802</t>
    </r>
    <r>
      <rPr>
        <sz val="11"/>
        <color theme="1"/>
        <rFont val="宋体"/>
        <family val="2"/>
        <charset val="134"/>
        <scheme val="minor"/>
      </rPr>
      <t/>
    </r>
  </si>
  <si>
    <r>
      <t>4</t>
    </r>
    <r>
      <rPr>
        <sz val="11"/>
        <color theme="1"/>
        <rFont val="宋体"/>
        <family val="3"/>
        <charset val="134"/>
        <scheme val="minor"/>
      </rPr>
      <t>-803</t>
    </r>
    <r>
      <rPr>
        <sz val="11"/>
        <color theme="1"/>
        <rFont val="宋体"/>
        <family val="2"/>
        <charset val="134"/>
        <scheme val="minor"/>
      </rPr>
      <t/>
    </r>
  </si>
  <si>
    <r>
      <t>4</t>
    </r>
    <r>
      <rPr>
        <sz val="11"/>
        <color theme="1"/>
        <rFont val="宋体"/>
        <family val="3"/>
        <charset val="134"/>
        <scheme val="minor"/>
      </rPr>
      <t>-804</t>
    </r>
    <r>
      <rPr>
        <sz val="11"/>
        <color theme="1"/>
        <rFont val="宋体"/>
        <family val="2"/>
        <charset val="134"/>
        <scheme val="minor"/>
      </rPr>
      <t/>
    </r>
  </si>
  <si>
    <r>
      <t>4</t>
    </r>
    <r>
      <rPr>
        <sz val="11"/>
        <color theme="1"/>
        <rFont val="宋体"/>
        <family val="3"/>
        <charset val="134"/>
        <scheme val="minor"/>
      </rPr>
      <t>-805</t>
    </r>
    <r>
      <rPr>
        <sz val="11"/>
        <color theme="1"/>
        <rFont val="宋体"/>
        <family val="2"/>
        <charset val="134"/>
        <scheme val="minor"/>
      </rPr>
      <t/>
    </r>
  </si>
  <si>
    <r>
      <t>4</t>
    </r>
    <r>
      <rPr>
        <sz val="11"/>
        <color theme="1"/>
        <rFont val="宋体"/>
        <family val="3"/>
        <charset val="134"/>
        <scheme val="minor"/>
      </rPr>
      <t>-806</t>
    </r>
    <r>
      <rPr>
        <sz val="11"/>
        <color theme="1"/>
        <rFont val="宋体"/>
        <family val="2"/>
        <charset val="134"/>
        <scheme val="minor"/>
      </rPr>
      <t/>
    </r>
  </si>
  <si>
    <r>
      <t>4</t>
    </r>
    <r>
      <rPr>
        <sz val="11"/>
        <color theme="1"/>
        <rFont val="宋体"/>
        <family val="3"/>
        <charset val="134"/>
        <scheme val="minor"/>
      </rPr>
      <t>-807</t>
    </r>
    <r>
      <rPr>
        <sz val="11"/>
        <color theme="1"/>
        <rFont val="宋体"/>
        <family val="2"/>
        <charset val="134"/>
        <scheme val="minor"/>
      </rPr>
      <t/>
    </r>
  </si>
  <si>
    <r>
      <t>4</t>
    </r>
    <r>
      <rPr>
        <sz val="11"/>
        <color theme="1"/>
        <rFont val="宋体"/>
        <family val="3"/>
        <charset val="134"/>
        <scheme val="minor"/>
      </rPr>
      <t>-808</t>
    </r>
    <r>
      <rPr>
        <sz val="11"/>
        <color theme="1"/>
        <rFont val="宋体"/>
        <family val="2"/>
        <charset val="134"/>
        <scheme val="minor"/>
      </rPr>
      <t/>
    </r>
  </si>
  <si>
    <r>
      <t>4</t>
    </r>
    <r>
      <rPr>
        <sz val="11"/>
        <color theme="1"/>
        <rFont val="宋体"/>
        <family val="3"/>
        <charset val="134"/>
        <scheme val="minor"/>
      </rPr>
      <t>-809</t>
    </r>
    <r>
      <rPr>
        <sz val="11"/>
        <color theme="1"/>
        <rFont val="宋体"/>
        <family val="2"/>
        <charset val="134"/>
        <scheme val="minor"/>
      </rPr>
      <t/>
    </r>
  </si>
  <si>
    <r>
      <t>4</t>
    </r>
    <r>
      <rPr>
        <sz val="11"/>
        <color theme="1"/>
        <rFont val="宋体"/>
        <family val="3"/>
        <charset val="134"/>
        <scheme val="minor"/>
      </rPr>
      <t>-810</t>
    </r>
    <r>
      <rPr>
        <sz val="11"/>
        <color theme="1"/>
        <rFont val="宋体"/>
        <family val="2"/>
        <charset val="134"/>
        <scheme val="minor"/>
      </rPr>
      <t/>
    </r>
  </si>
  <si>
    <r>
      <t>4</t>
    </r>
    <r>
      <rPr>
        <sz val="11"/>
        <color theme="1"/>
        <rFont val="宋体"/>
        <family val="3"/>
        <charset val="134"/>
        <scheme val="minor"/>
      </rPr>
      <t>-811</t>
    </r>
    <r>
      <rPr>
        <sz val="11"/>
        <color theme="1"/>
        <rFont val="宋体"/>
        <family val="2"/>
        <charset val="134"/>
        <scheme val="minor"/>
      </rPr>
      <t/>
    </r>
  </si>
  <si>
    <r>
      <t>4</t>
    </r>
    <r>
      <rPr>
        <sz val="11"/>
        <color theme="1"/>
        <rFont val="宋体"/>
        <family val="3"/>
        <charset val="134"/>
        <scheme val="minor"/>
      </rPr>
      <t>-812</t>
    </r>
    <r>
      <rPr>
        <sz val="11"/>
        <color theme="1"/>
        <rFont val="宋体"/>
        <family val="2"/>
        <charset val="134"/>
        <scheme val="minor"/>
      </rPr>
      <t/>
    </r>
  </si>
  <si>
    <r>
      <t>4</t>
    </r>
    <r>
      <rPr>
        <sz val="11"/>
        <color theme="1"/>
        <rFont val="宋体"/>
        <family val="3"/>
        <charset val="134"/>
        <scheme val="minor"/>
      </rPr>
      <t>-813</t>
    </r>
    <r>
      <rPr>
        <sz val="11"/>
        <color theme="1"/>
        <rFont val="宋体"/>
        <family val="2"/>
        <charset val="134"/>
        <scheme val="minor"/>
      </rPr>
      <t/>
    </r>
  </si>
  <si>
    <r>
      <t>4</t>
    </r>
    <r>
      <rPr>
        <sz val="11"/>
        <color theme="1"/>
        <rFont val="宋体"/>
        <family val="3"/>
        <charset val="134"/>
        <scheme val="minor"/>
      </rPr>
      <t>-814</t>
    </r>
    <r>
      <rPr>
        <sz val="11"/>
        <color theme="1"/>
        <rFont val="宋体"/>
        <family val="2"/>
        <charset val="134"/>
        <scheme val="minor"/>
      </rPr>
      <t/>
    </r>
  </si>
  <si>
    <r>
      <t>4</t>
    </r>
    <r>
      <rPr>
        <sz val="11"/>
        <color theme="1"/>
        <rFont val="宋体"/>
        <family val="3"/>
        <charset val="134"/>
        <scheme val="minor"/>
      </rPr>
      <t>-815</t>
    </r>
    <r>
      <rPr>
        <sz val="11"/>
        <color theme="1"/>
        <rFont val="宋体"/>
        <family val="2"/>
        <charset val="134"/>
        <scheme val="minor"/>
      </rPr>
      <t/>
    </r>
  </si>
  <si>
    <r>
      <t>4</t>
    </r>
    <r>
      <rPr>
        <sz val="11"/>
        <color theme="1"/>
        <rFont val="宋体"/>
        <family val="3"/>
        <charset val="134"/>
        <scheme val="minor"/>
      </rPr>
      <t>-816</t>
    </r>
    <r>
      <rPr>
        <sz val="11"/>
        <color theme="1"/>
        <rFont val="宋体"/>
        <family val="2"/>
        <charset val="134"/>
        <scheme val="minor"/>
      </rPr>
      <t/>
    </r>
  </si>
  <si>
    <r>
      <t>4</t>
    </r>
    <r>
      <rPr>
        <sz val="11"/>
        <color theme="1"/>
        <rFont val="宋体"/>
        <family val="3"/>
        <charset val="134"/>
        <scheme val="minor"/>
      </rPr>
      <t>-817</t>
    </r>
    <r>
      <rPr>
        <sz val="11"/>
        <color theme="1"/>
        <rFont val="宋体"/>
        <family val="2"/>
        <charset val="134"/>
        <scheme val="minor"/>
      </rPr>
      <t/>
    </r>
  </si>
  <si>
    <r>
      <t>1</t>
    </r>
    <r>
      <rPr>
        <sz val="11"/>
        <color theme="1"/>
        <rFont val="宋体"/>
        <family val="3"/>
        <charset val="134"/>
        <scheme val="minor"/>
      </rPr>
      <t>-901</t>
    </r>
    <phoneticPr fontId="144" type="noConversion"/>
  </si>
  <si>
    <r>
      <t>1</t>
    </r>
    <r>
      <rPr>
        <sz val="11"/>
        <color theme="1"/>
        <rFont val="宋体"/>
        <family val="3"/>
        <charset val="134"/>
        <scheme val="minor"/>
      </rPr>
      <t>-902</t>
    </r>
    <r>
      <rPr>
        <sz val="11"/>
        <color theme="1"/>
        <rFont val="宋体"/>
        <family val="2"/>
        <charset val="134"/>
        <scheme val="minor"/>
      </rPr>
      <t/>
    </r>
  </si>
  <si>
    <r>
      <t>1</t>
    </r>
    <r>
      <rPr>
        <sz val="11"/>
        <color theme="1"/>
        <rFont val="宋体"/>
        <family val="3"/>
        <charset val="134"/>
        <scheme val="minor"/>
      </rPr>
      <t>-903</t>
    </r>
    <r>
      <rPr>
        <sz val="11"/>
        <color theme="1"/>
        <rFont val="宋体"/>
        <family val="2"/>
        <charset val="134"/>
        <scheme val="minor"/>
      </rPr>
      <t/>
    </r>
  </si>
  <si>
    <r>
      <t>1</t>
    </r>
    <r>
      <rPr>
        <sz val="11"/>
        <color theme="1"/>
        <rFont val="宋体"/>
        <family val="3"/>
        <charset val="134"/>
        <scheme val="minor"/>
      </rPr>
      <t>-904</t>
    </r>
    <r>
      <rPr>
        <sz val="11"/>
        <color theme="1"/>
        <rFont val="宋体"/>
        <family val="2"/>
        <charset val="134"/>
        <scheme val="minor"/>
      </rPr>
      <t/>
    </r>
  </si>
  <si>
    <r>
      <t>1</t>
    </r>
    <r>
      <rPr>
        <sz val="11"/>
        <color theme="1"/>
        <rFont val="宋体"/>
        <family val="3"/>
        <charset val="134"/>
        <scheme val="minor"/>
      </rPr>
      <t>-905</t>
    </r>
    <r>
      <rPr>
        <sz val="11"/>
        <color theme="1"/>
        <rFont val="宋体"/>
        <family val="2"/>
        <charset val="134"/>
        <scheme val="minor"/>
      </rPr>
      <t/>
    </r>
  </si>
  <si>
    <r>
      <t>1</t>
    </r>
    <r>
      <rPr>
        <sz val="11"/>
        <color theme="1"/>
        <rFont val="宋体"/>
        <family val="3"/>
        <charset val="134"/>
        <scheme val="minor"/>
      </rPr>
      <t>-906</t>
    </r>
    <r>
      <rPr>
        <sz val="11"/>
        <color theme="1"/>
        <rFont val="宋体"/>
        <family val="2"/>
        <charset val="134"/>
        <scheme val="minor"/>
      </rPr>
      <t/>
    </r>
  </si>
  <si>
    <r>
      <t>1</t>
    </r>
    <r>
      <rPr>
        <sz val="11"/>
        <color theme="1"/>
        <rFont val="宋体"/>
        <family val="3"/>
        <charset val="134"/>
        <scheme val="minor"/>
      </rPr>
      <t>-907</t>
    </r>
    <r>
      <rPr>
        <sz val="11"/>
        <color theme="1"/>
        <rFont val="宋体"/>
        <family val="2"/>
        <charset val="134"/>
        <scheme val="minor"/>
      </rPr>
      <t/>
    </r>
  </si>
  <si>
    <r>
      <t>1</t>
    </r>
    <r>
      <rPr>
        <sz val="11"/>
        <color theme="1"/>
        <rFont val="宋体"/>
        <family val="3"/>
        <charset val="134"/>
        <scheme val="minor"/>
      </rPr>
      <t>-908</t>
    </r>
    <r>
      <rPr>
        <sz val="11"/>
        <color theme="1"/>
        <rFont val="宋体"/>
        <family val="2"/>
        <charset val="134"/>
        <scheme val="minor"/>
      </rPr>
      <t/>
    </r>
  </si>
  <si>
    <r>
      <t>1</t>
    </r>
    <r>
      <rPr>
        <sz val="11"/>
        <color theme="1"/>
        <rFont val="宋体"/>
        <family val="3"/>
        <charset val="134"/>
        <scheme val="minor"/>
      </rPr>
      <t>-909</t>
    </r>
    <r>
      <rPr>
        <sz val="11"/>
        <color theme="1"/>
        <rFont val="宋体"/>
        <family val="2"/>
        <charset val="134"/>
        <scheme val="minor"/>
      </rPr>
      <t/>
    </r>
  </si>
  <si>
    <r>
      <t>1</t>
    </r>
    <r>
      <rPr>
        <sz val="11"/>
        <color theme="1"/>
        <rFont val="宋体"/>
        <family val="3"/>
        <charset val="134"/>
        <scheme val="minor"/>
      </rPr>
      <t>-910</t>
    </r>
    <r>
      <rPr>
        <sz val="11"/>
        <color theme="1"/>
        <rFont val="宋体"/>
        <family val="2"/>
        <charset val="134"/>
        <scheme val="minor"/>
      </rPr>
      <t/>
    </r>
  </si>
  <si>
    <r>
      <t>1</t>
    </r>
    <r>
      <rPr>
        <sz val="11"/>
        <color theme="1"/>
        <rFont val="宋体"/>
        <family val="3"/>
        <charset val="134"/>
        <scheme val="minor"/>
      </rPr>
      <t>-911</t>
    </r>
    <r>
      <rPr>
        <sz val="11"/>
        <color theme="1"/>
        <rFont val="宋体"/>
        <family val="2"/>
        <charset val="134"/>
        <scheme val="minor"/>
      </rPr>
      <t/>
    </r>
  </si>
  <si>
    <r>
      <t>1</t>
    </r>
    <r>
      <rPr>
        <sz val="11"/>
        <color theme="1"/>
        <rFont val="宋体"/>
        <family val="3"/>
        <charset val="134"/>
        <scheme val="minor"/>
      </rPr>
      <t>-912</t>
    </r>
    <r>
      <rPr>
        <sz val="11"/>
        <color theme="1"/>
        <rFont val="宋体"/>
        <family val="2"/>
        <charset val="134"/>
        <scheme val="minor"/>
      </rPr>
      <t/>
    </r>
  </si>
  <si>
    <r>
      <t>1</t>
    </r>
    <r>
      <rPr>
        <sz val="11"/>
        <color theme="1"/>
        <rFont val="宋体"/>
        <family val="3"/>
        <charset val="134"/>
        <scheme val="minor"/>
      </rPr>
      <t>-913</t>
    </r>
    <r>
      <rPr>
        <sz val="11"/>
        <color theme="1"/>
        <rFont val="宋体"/>
        <family val="2"/>
        <charset val="134"/>
        <scheme val="minor"/>
      </rPr>
      <t/>
    </r>
  </si>
  <si>
    <r>
      <t>1</t>
    </r>
    <r>
      <rPr>
        <sz val="11"/>
        <color theme="1"/>
        <rFont val="宋体"/>
        <family val="3"/>
        <charset val="134"/>
        <scheme val="minor"/>
      </rPr>
      <t>-914</t>
    </r>
    <r>
      <rPr>
        <sz val="11"/>
        <color theme="1"/>
        <rFont val="宋体"/>
        <family val="2"/>
        <charset val="134"/>
        <scheme val="minor"/>
      </rPr>
      <t/>
    </r>
  </si>
  <si>
    <r>
      <t>1</t>
    </r>
    <r>
      <rPr>
        <sz val="11"/>
        <color theme="1"/>
        <rFont val="宋体"/>
        <family val="3"/>
        <charset val="134"/>
        <scheme val="minor"/>
      </rPr>
      <t>-915</t>
    </r>
    <r>
      <rPr>
        <sz val="11"/>
        <color theme="1"/>
        <rFont val="宋体"/>
        <family val="2"/>
        <charset val="134"/>
        <scheme val="minor"/>
      </rPr>
      <t/>
    </r>
  </si>
  <si>
    <r>
      <t>1</t>
    </r>
    <r>
      <rPr>
        <sz val="11"/>
        <color theme="1"/>
        <rFont val="宋体"/>
        <family val="3"/>
        <charset val="134"/>
        <scheme val="minor"/>
      </rPr>
      <t>-916</t>
    </r>
    <r>
      <rPr>
        <sz val="11"/>
        <color theme="1"/>
        <rFont val="宋体"/>
        <family val="2"/>
        <charset val="134"/>
        <scheme val="minor"/>
      </rPr>
      <t/>
    </r>
  </si>
  <si>
    <r>
      <t>1</t>
    </r>
    <r>
      <rPr>
        <sz val="11"/>
        <color theme="1"/>
        <rFont val="宋体"/>
        <family val="3"/>
        <charset val="134"/>
        <scheme val="minor"/>
      </rPr>
      <t>-917</t>
    </r>
    <r>
      <rPr>
        <sz val="11"/>
        <color theme="1"/>
        <rFont val="宋体"/>
        <family val="2"/>
        <charset val="134"/>
        <scheme val="minor"/>
      </rPr>
      <t/>
    </r>
  </si>
  <si>
    <r>
      <t>1</t>
    </r>
    <r>
      <rPr>
        <sz val="11"/>
        <color theme="1"/>
        <rFont val="宋体"/>
        <family val="3"/>
        <charset val="134"/>
        <scheme val="minor"/>
      </rPr>
      <t>-918</t>
    </r>
    <r>
      <rPr>
        <sz val="11"/>
        <color theme="1"/>
        <rFont val="宋体"/>
        <family val="2"/>
        <charset val="134"/>
        <scheme val="minor"/>
      </rPr>
      <t/>
    </r>
  </si>
  <si>
    <r>
      <t>1</t>
    </r>
    <r>
      <rPr>
        <sz val="11"/>
        <color theme="1"/>
        <rFont val="宋体"/>
        <family val="3"/>
        <charset val="134"/>
        <scheme val="minor"/>
      </rPr>
      <t>-919</t>
    </r>
    <r>
      <rPr>
        <sz val="11"/>
        <color theme="1"/>
        <rFont val="宋体"/>
        <family val="2"/>
        <charset val="134"/>
        <scheme val="minor"/>
      </rPr>
      <t/>
    </r>
  </si>
  <si>
    <r>
      <t>1</t>
    </r>
    <r>
      <rPr>
        <sz val="11"/>
        <color theme="1"/>
        <rFont val="宋体"/>
        <family val="3"/>
        <charset val="134"/>
        <scheme val="minor"/>
      </rPr>
      <t>-920</t>
    </r>
    <r>
      <rPr>
        <sz val="11"/>
        <color theme="1"/>
        <rFont val="宋体"/>
        <family val="2"/>
        <charset val="134"/>
        <scheme val="minor"/>
      </rPr>
      <t/>
    </r>
  </si>
  <si>
    <r>
      <t>2</t>
    </r>
    <r>
      <rPr>
        <sz val="11"/>
        <color theme="1"/>
        <rFont val="宋体"/>
        <family val="3"/>
        <charset val="134"/>
        <scheme val="minor"/>
      </rPr>
      <t>-901</t>
    </r>
    <phoneticPr fontId="144" type="noConversion"/>
  </si>
  <si>
    <r>
      <t>2</t>
    </r>
    <r>
      <rPr>
        <sz val="11"/>
        <color theme="1"/>
        <rFont val="宋体"/>
        <family val="3"/>
        <charset val="134"/>
        <scheme val="minor"/>
      </rPr>
      <t>-902</t>
    </r>
    <r>
      <rPr>
        <sz val="11"/>
        <color theme="1"/>
        <rFont val="宋体"/>
        <family val="2"/>
        <charset val="134"/>
        <scheme val="minor"/>
      </rPr>
      <t/>
    </r>
  </si>
  <si>
    <r>
      <t>2</t>
    </r>
    <r>
      <rPr>
        <sz val="11"/>
        <color theme="1"/>
        <rFont val="宋体"/>
        <family val="3"/>
        <charset val="134"/>
        <scheme val="minor"/>
      </rPr>
      <t>-903</t>
    </r>
    <r>
      <rPr>
        <sz val="11"/>
        <color theme="1"/>
        <rFont val="宋体"/>
        <family val="2"/>
        <charset val="134"/>
        <scheme val="minor"/>
      </rPr>
      <t/>
    </r>
  </si>
  <si>
    <r>
      <t>2</t>
    </r>
    <r>
      <rPr>
        <sz val="11"/>
        <color theme="1"/>
        <rFont val="宋体"/>
        <family val="3"/>
        <charset val="134"/>
        <scheme val="minor"/>
      </rPr>
      <t>-904</t>
    </r>
    <r>
      <rPr>
        <sz val="11"/>
        <color theme="1"/>
        <rFont val="宋体"/>
        <family val="2"/>
        <charset val="134"/>
        <scheme val="minor"/>
      </rPr>
      <t/>
    </r>
  </si>
  <si>
    <r>
      <t>2</t>
    </r>
    <r>
      <rPr>
        <sz val="11"/>
        <color theme="1"/>
        <rFont val="宋体"/>
        <family val="3"/>
        <charset val="134"/>
        <scheme val="minor"/>
      </rPr>
      <t>-905</t>
    </r>
    <r>
      <rPr>
        <sz val="11"/>
        <color theme="1"/>
        <rFont val="宋体"/>
        <family val="2"/>
        <charset val="134"/>
        <scheme val="minor"/>
      </rPr>
      <t/>
    </r>
  </si>
  <si>
    <r>
      <t>2</t>
    </r>
    <r>
      <rPr>
        <sz val="11"/>
        <color theme="1"/>
        <rFont val="宋体"/>
        <family val="3"/>
        <charset val="134"/>
        <scheme val="minor"/>
      </rPr>
      <t>-906</t>
    </r>
    <r>
      <rPr>
        <sz val="11"/>
        <color theme="1"/>
        <rFont val="宋体"/>
        <family val="2"/>
        <charset val="134"/>
        <scheme val="minor"/>
      </rPr>
      <t/>
    </r>
  </si>
  <si>
    <r>
      <t>2</t>
    </r>
    <r>
      <rPr>
        <sz val="11"/>
        <color theme="1"/>
        <rFont val="宋体"/>
        <family val="3"/>
        <charset val="134"/>
        <scheme val="minor"/>
      </rPr>
      <t>-907</t>
    </r>
    <r>
      <rPr>
        <sz val="11"/>
        <color theme="1"/>
        <rFont val="宋体"/>
        <family val="2"/>
        <charset val="134"/>
        <scheme val="minor"/>
      </rPr>
      <t/>
    </r>
  </si>
  <si>
    <r>
      <t>2</t>
    </r>
    <r>
      <rPr>
        <sz val="11"/>
        <color theme="1"/>
        <rFont val="宋体"/>
        <family val="3"/>
        <charset val="134"/>
        <scheme val="minor"/>
      </rPr>
      <t>-908</t>
    </r>
    <r>
      <rPr>
        <sz val="11"/>
        <color theme="1"/>
        <rFont val="宋体"/>
        <family val="2"/>
        <charset val="134"/>
        <scheme val="minor"/>
      </rPr>
      <t/>
    </r>
  </si>
  <si>
    <r>
      <t>2</t>
    </r>
    <r>
      <rPr>
        <sz val="11"/>
        <color theme="1"/>
        <rFont val="宋体"/>
        <family val="3"/>
        <charset val="134"/>
        <scheme val="minor"/>
      </rPr>
      <t>-909</t>
    </r>
    <r>
      <rPr>
        <sz val="11"/>
        <color theme="1"/>
        <rFont val="宋体"/>
        <family val="2"/>
        <charset val="134"/>
        <scheme val="minor"/>
      </rPr>
      <t/>
    </r>
  </si>
  <si>
    <r>
      <t>2</t>
    </r>
    <r>
      <rPr>
        <sz val="11"/>
        <color theme="1"/>
        <rFont val="宋体"/>
        <family val="3"/>
        <charset val="134"/>
        <scheme val="minor"/>
      </rPr>
      <t>-910</t>
    </r>
    <r>
      <rPr>
        <sz val="11"/>
        <color theme="1"/>
        <rFont val="宋体"/>
        <family val="2"/>
        <charset val="134"/>
        <scheme val="minor"/>
      </rPr>
      <t/>
    </r>
  </si>
  <si>
    <r>
      <t>2</t>
    </r>
    <r>
      <rPr>
        <sz val="11"/>
        <color theme="1"/>
        <rFont val="宋体"/>
        <family val="3"/>
        <charset val="134"/>
        <scheme val="minor"/>
      </rPr>
      <t>-911</t>
    </r>
    <r>
      <rPr>
        <sz val="11"/>
        <color theme="1"/>
        <rFont val="宋体"/>
        <family val="2"/>
        <charset val="134"/>
        <scheme val="minor"/>
      </rPr>
      <t/>
    </r>
  </si>
  <si>
    <r>
      <t>2</t>
    </r>
    <r>
      <rPr>
        <sz val="11"/>
        <color theme="1"/>
        <rFont val="宋体"/>
        <family val="3"/>
        <charset val="134"/>
        <scheme val="minor"/>
      </rPr>
      <t>-912</t>
    </r>
    <r>
      <rPr>
        <sz val="11"/>
        <color theme="1"/>
        <rFont val="宋体"/>
        <family val="2"/>
        <charset val="134"/>
        <scheme val="minor"/>
      </rPr>
      <t/>
    </r>
  </si>
  <si>
    <r>
      <t>2</t>
    </r>
    <r>
      <rPr>
        <sz val="11"/>
        <color theme="1"/>
        <rFont val="宋体"/>
        <family val="3"/>
        <charset val="134"/>
        <scheme val="minor"/>
      </rPr>
      <t>-913</t>
    </r>
    <r>
      <rPr>
        <sz val="11"/>
        <color theme="1"/>
        <rFont val="宋体"/>
        <family val="2"/>
        <charset val="134"/>
        <scheme val="minor"/>
      </rPr>
      <t/>
    </r>
  </si>
  <si>
    <r>
      <t>2</t>
    </r>
    <r>
      <rPr>
        <sz val="11"/>
        <color theme="1"/>
        <rFont val="宋体"/>
        <family val="3"/>
        <charset val="134"/>
        <scheme val="minor"/>
      </rPr>
      <t>-914</t>
    </r>
    <r>
      <rPr>
        <sz val="11"/>
        <color theme="1"/>
        <rFont val="宋体"/>
        <family val="2"/>
        <charset val="134"/>
        <scheme val="minor"/>
      </rPr>
      <t/>
    </r>
  </si>
  <si>
    <r>
      <t>2</t>
    </r>
    <r>
      <rPr>
        <sz val="11"/>
        <color theme="1"/>
        <rFont val="宋体"/>
        <family val="3"/>
        <charset val="134"/>
        <scheme val="minor"/>
      </rPr>
      <t>-915</t>
    </r>
    <r>
      <rPr>
        <sz val="11"/>
        <color theme="1"/>
        <rFont val="宋体"/>
        <family val="2"/>
        <charset val="134"/>
        <scheme val="minor"/>
      </rPr>
      <t/>
    </r>
  </si>
  <si>
    <r>
      <t>2</t>
    </r>
    <r>
      <rPr>
        <sz val="11"/>
        <color theme="1"/>
        <rFont val="宋体"/>
        <family val="3"/>
        <charset val="134"/>
        <scheme val="minor"/>
      </rPr>
      <t>-916</t>
    </r>
    <r>
      <rPr>
        <sz val="11"/>
        <color theme="1"/>
        <rFont val="宋体"/>
        <family val="2"/>
        <charset val="134"/>
        <scheme val="minor"/>
      </rPr>
      <t/>
    </r>
  </si>
  <si>
    <r>
      <t>2</t>
    </r>
    <r>
      <rPr>
        <sz val="11"/>
        <color theme="1"/>
        <rFont val="宋体"/>
        <family val="3"/>
        <charset val="134"/>
        <scheme val="minor"/>
      </rPr>
      <t>-917</t>
    </r>
    <r>
      <rPr>
        <sz val="11"/>
        <color theme="1"/>
        <rFont val="宋体"/>
        <family val="2"/>
        <charset val="134"/>
        <scheme val="minor"/>
      </rPr>
      <t/>
    </r>
  </si>
  <si>
    <r>
      <t>2</t>
    </r>
    <r>
      <rPr>
        <sz val="11"/>
        <color theme="1"/>
        <rFont val="宋体"/>
        <family val="3"/>
        <charset val="134"/>
        <scheme val="minor"/>
      </rPr>
      <t>-918</t>
    </r>
    <r>
      <rPr>
        <sz val="11"/>
        <color theme="1"/>
        <rFont val="宋体"/>
        <family val="2"/>
        <charset val="134"/>
        <scheme val="minor"/>
      </rPr>
      <t/>
    </r>
  </si>
  <si>
    <r>
      <t>2</t>
    </r>
    <r>
      <rPr>
        <sz val="11"/>
        <color theme="1"/>
        <rFont val="宋体"/>
        <family val="3"/>
        <charset val="134"/>
        <scheme val="minor"/>
      </rPr>
      <t>-919</t>
    </r>
    <r>
      <rPr>
        <sz val="11"/>
        <color theme="1"/>
        <rFont val="宋体"/>
        <family val="2"/>
        <charset val="134"/>
        <scheme val="minor"/>
      </rPr>
      <t/>
    </r>
  </si>
  <si>
    <r>
      <t>2</t>
    </r>
    <r>
      <rPr>
        <sz val="11"/>
        <color theme="1"/>
        <rFont val="宋体"/>
        <family val="3"/>
        <charset val="134"/>
        <scheme val="minor"/>
      </rPr>
      <t>-920</t>
    </r>
    <r>
      <rPr>
        <sz val="11"/>
        <color theme="1"/>
        <rFont val="宋体"/>
        <family val="2"/>
        <charset val="134"/>
        <scheme val="minor"/>
      </rPr>
      <t/>
    </r>
  </si>
  <si>
    <r>
      <t>3</t>
    </r>
    <r>
      <rPr>
        <sz val="11"/>
        <color theme="1"/>
        <rFont val="宋体"/>
        <family val="3"/>
        <charset val="134"/>
        <scheme val="minor"/>
      </rPr>
      <t>-901</t>
    </r>
    <phoneticPr fontId="144" type="noConversion"/>
  </si>
  <si>
    <r>
      <t>3</t>
    </r>
    <r>
      <rPr>
        <sz val="11"/>
        <color theme="1"/>
        <rFont val="宋体"/>
        <family val="3"/>
        <charset val="134"/>
        <scheme val="minor"/>
      </rPr>
      <t>-902</t>
    </r>
    <r>
      <rPr>
        <sz val="11"/>
        <color theme="1"/>
        <rFont val="宋体"/>
        <family val="2"/>
        <charset val="134"/>
        <scheme val="minor"/>
      </rPr>
      <t/>
    </r>
  </si>
  <si>
    <r>
      <t>3</t>
    </r>
    <r>
      <rPr>
        <sz val="11"/>
        <color theme="1"/>
        <rFont val="宋体"/>
        <family val="3"/>
        <charset val="134"/>
        <scheme val="minor"/>
      </rPr>
      <t>-903</t>
    </r>
    <r>
      <rPr>
        <sz val="11"/>
        <color theme="1"/>
        <rFont val="宋体"/>
        <family val="2"/>
        <charset val="134"/>
        <scheme val="minor"/>
      </rPr>
      <t/>
    </r>
  </si>
  <si>
    <r>
      <t>3</t>
    </r>
    <r>
      <rPr>
        <sz val="11"/>
        <color theme="1"/>
        <rFont val="宋体"/>
        <family val="3"/>
        <charset val="134"/>
        <scheme val="minor"/>
      </rPr>
      <t>-904</t>
    </r>
    <r>
      <rPr>
        <sz val="11"/>
        <color theme="1"/>
        <rFont val="宋体"/>
        <family val="2"/>
        <charset val="134"/>
        <scheme val="minor"/>
      </rPr>
      <t/>
    </r>
  </si>
  <si>
    <r>
      <t>3</t>
    </r>
    <r>
      <rPr>
        <sz val="11"/>
        <color theme="1"/>
        <rFont val="宋体"/>
        <family val="3"/>
        <charset val="134"/>
        <scheme val="minor"/>
      </rPr>
      <t>-905</t>
    </r>
    <r>
      <rPr>
        <sz val="11"/>
        <color theme="1"/>
        <rFont val="宋体"/>
        <family val="2"/>
        <charset val="134"/>
        <scheme val="minor"/>
      </rPr>
      <t/>
    </r>
  </si>
  <si>
    <r>
      <t>3</t>
    </r>
    <r>
      <rPr>
        <sz val="11"/>
        <color theme="1"/>
        <rFont val="宋体"/>
        <family val="3"/>
        <charset val="134"/>
        <scheme val="minor"/>
      </rPr>
      <t>-906</t>
    </r>
    <r>
      <rPr>
        <sz val="11"/>
        <color theme="1"/>
        <rFont val="宋体"/>
        <family val="2"/>
        <charset val="134"/>
        <scheme val="minor"/>
      </rPr>
      <t/>
    </r>
  </si>
  <si>
    <r>
      <t>3</t>
    </r>
    <r>
      <rPr>
        <sz val="11"/>
        <color theme="1"/>
        <rFont val="宋体"/>
        <family val="3"/>
        <charset val="134"/>
        <scheme val="minor"/>
      </rPr>
      <t>-907</t>
    </r>
    <r>
      <rPr>
        <sz val="11"/>
        <color theme="1"/>
        <rFont val="宋体"/>
        <family val="2"/>
        <charset val="134"/>
        <scheme val="minor"/>
      </rPr>
      <t/>
    </r>
  </si>
  <si>
    <r>
      <t>3</t>
    </r>
    <r>
      <rPr>
        <sz val="11"/>
        <color theme="1"/>
        <rFont val="宋体"/>
        <family val="3"/>
        <charset val="134"/>
        <scheme val="minor"/>
      </rPr>
      <t>-908</t>
    </r>
    <r>
      <rPr>
        <sz val="11"/>
        <color theme="1"/>
        <rFont val="宋体"/>
        <family val="2"/>
        <charset val="134"/>
        <scheme val="minor"/>
      </rPr>
      <t/>
    </r>
  </si>
  <si>
    <r>
      <t>3</t>
    </r>
    <r>
      <rPr>
        <sz val="11"/>
        <color theme="1"/>
        <rFont val="宋体"/>
        <family val="3"/>
        <charset val="134"/>
        <scheme val="minor"/>
      </rPr>
      <t>-909</t>
    </r>
    <r>
      <rPr>
        <sz val="11"/>
        <color theme="1"/>
        <rFont val="宋体"/>
        <family val="2"/>
        <charset val="134"/>
        <scheme val="minor"/>
      </rPr>
      <t/>
    </r>
  </si>
  <si>
    <r>
      <t>3</t>
    </r>
    <r>
      <rPr>
        <sz val="11"/>
        <color theme="1"/>
        <rFont val="宋体"/>
        <family val="3"/>
        <charset val="134"/>
        <scheme val="minor"/>
      </rPr>
      <t>-910</t>
    </r>
    <r>
      <rPr>
        <sz val="11"/>
        <color theme="1"/>
        <rFont val="宋体"/>
        <family val="2"/>
        <charset val="134"/>
        <scheme val="minor"/>
      </rPr>
      <t/>
    </r>
  </si>
  <si>
    <r>
      <t>3</t>
    </r>
    <r>
      <rPr>
        <sz val="11"/>
        <color theme="1"/>
        <rFont val="宋体"/>
        <family val="3"/>
        <charset val="134"/>
        <scheme val="minor"/>
      </rPr>
      <t>-911</t>
    </r>
    <r>
      <rPr>
        <sz val="11"/>
        <color theme="1"/>
        <rFont val="宋体"/>
        <family val="2"/>
        <charset val="134"/>
        <scheme val="minor"/>
      </rPr>
      <t/>
    </r>
  </si>
  <si>
    <r>
      <t>3</t>
    </r>
    <r>
      <rPr>
        <sz val="11"/>
        <color theme="1"/>
        <rFont val="宋体"/>
        <family val="3"/>
        <charset val="134"/>
        <scheme val="minor"/>
      </rPr>
      <t>-912</t>
    </r>
    <r>
      <rPr>
        <sz val="11"/>
        <color theme="1"/>
        <rFont val="宋体"/>
        <family val="2"/>
        <charset val="134"/>
        <scheme val="minor"/>
      </rPr>
      <t/>
    </r>
  </si>
  <si>
    <r>
      <t>3</t>
    </r>
    <r>
      <rPr>
        <sz val="11"/>
        <color theme="1"/>
        <rFont val="宋体"/>
        <family val="3"/>
        <charset val="134"/>
        <scheme val="minor"/>
      </rPr>
      <t>-913</t>
    </r>
    <r>
      <rPr>
        <sz val="11"/>
        <color theme="1"/>
        <rFont val="宋体"/>
        <family val="2"/>
        <charset val="134"/>
        <scheme val="minor"/>
      </rPr>
      <t/>
    </r>
  </si>
  <si>
    <r>
      <t>3</t>
    </r>
    <r>
      <rPr>
        <sz val="11"/>
        <color theme="1"/>
        <rFont val="宋体"/>
        <family val="3"/>
        <charset val="134"/>
        <scheme val="minor"/>
      </rPr>
      <t>-914</t>
    </r>
    <r>
      <rPr>
        <sz val="11"/>
        <color theme="1"/>
        <rFont val="宋体"/>
        <family val="2"/>
        <charset val="134"/>
        <scheme val="minor"/>
      </rPr>
      <t/>
    </r>
  </si>
  <si>
    <r>
      <t>3</t>
    </r>
    <r>
      <rPr>
        <sz val="11"/>
        <color theme="1"/>
        <rFont val="宋体"/>
        <family val="3"/>
        <charset val="134"/>
        <scheme val="minor"/>
      </rPr>
      <t>-915</t>
    </r>
    <r>
      <rPr>
        <sz val="11"/>
        <color theme="1"/>
        <rFont val="宋体"/>
        <family val="2"/>
        <charset val="134"/>
        <scheme val="minor"/>
      </rPr>
      <t/>
    </r>
  </si>
  <si>
    <r>
      <t>3</t>
    </r>
    <r>
      <rPr>
        <sz val="11"/>
        <color theme="1"/>
        <rFont val="宋体"/>
        <family val="3"/>
        <charset val="134"/>
        <scheme val="minor"/>
      </rPr>
      <t>-916</t>
    </r>
    <r>
      <rPr>
        <sz val="11"/>
        <color theme="1"/>
        <rFont val="宋体"/>
        <family val="2"/>
        <charset val="134"/>
        <scheme val="minor"/>
      </rPr>
      <t/>
    </r>
  </si>
  <si>
    <r>
      <t>3</t>
    </r>
    <r>
      <rPr>
        <sz val="11"/>
        <color theme="1"/>
        <rFont val="宋体"/>
        <family val="3"/>
        <charset val="134"/>
        <scheme val="minor"/>
      </rPr>
      <t>-917</t>
    </r>
    <r>
      <rPr>
        <sz val="11"/>
        <color theme="1"/>
        <rFont val="宋体"/>
        <family val="2"/>
        <charset val="134"/>
        <scheme val="minor"/>
      </rPr>
      <t/>
    </r>
  </si>
  <si>
    <r>
      <t>3</t>
    </r>
    <r>
      <rPr>
        <sz val="11"/>
        <color theme="1"/>
        <rFont val="宋体"/>
        <family val="3"/>
        <charset val="134"/>
        <scheme val="minor"/>
      </rPr>
      <t>-918</t>
    </r>
    <r>
      <rPr>
        <sz val="11"/>
        <color theme="1"/>
        <rFont val="宋体"/>
        <family val="2"/>
        <charset val="134"/>
        <scheme val="minor"/>
      </rPr>
      <t/>
    </r>
  </si>
  <si>
    <r>
      <t>3</t>
    </r>
    <r>
      <rPr>
        <sz val="11"/>
        <color theme="1"/>
        <rFont val="宋体"/>
        <family val="3"/>
        <charset val="134"/>
        <scheme val="minor"/>
      </rPr>
      <t>-919</t>
    </r>
    <r>
      <rPr>
        <sz val="11"/>
        <color theme="1"/>
        <rFont val="宋体"/>
        <family val="2"/>
        <charset val="134"/>
        <scheme val="minor"/>
      </rPr>
      <t/>
    </r>
  </si>
  <si>
    <r>
      <t>3</t>
    </r>
    <r>
      <rPr>
        <sz val="11"/>
        <color theme="1"/>
        <rFont val="宋体"/>
        <family val="3"/>
        <charset val="134"/>
        <scheme val="minor"/>
      </rPr>
      <t>-920</t>
    </r>
    <r>
      <rPr>
        <sz val="11"/>
        <color theme="1"/>
        <rFont val="宋体"/>
        <family val="2"/>
        <charset val="134"/>
        <scheme val="minor"/>
      </rPr>
      <t/>
    </r>
  </si>
  <si>
    <r>
      <t>3</t>
    </r>
    <r>
      <rPr>
        <sz val="11"/>
        <color theme="1"/>
        <rFont val="宋体"/>
        <family val="3"/>
        <charset val="134"/>
        <scheme val="minor"/>
      </rPr>
      <t>-921</t>
    </r>
    <r>
      <rPr>
        <sz val="11"/>
        <color theme="1"/>
        <rFont val="宋体"/>
        <family val="2"/>
        <charset val="134"/>
        <scheme val="minor"/>
      </rPr>
      <t/>
    </r>
  </si>
  <si>
    <r>
      <t>3</t>
    </r>
    <r>
      <rPr>
        <sz val="11"/>
        <color theme="1"/>
        <rFont val="宋体"/>
        <family val="3"/>
        <charset val="134"/>
        <scheme val="minor"/>
      </rPr>
      <t>-922</t>
    </r>
    <r>
      <rPr>
        <sz val="11"/>
        <color theme="1"/>
        <rFont val="宋体"/>
        <family val="2"/>
        <charset val="134"/>
        <scheme val="minor"/>
      </rPr>
      <t/>
    </r>
  </si>
  <si>
    <r>
      <t>3</t>
    </r>
    <r>
      <rPr>
        <sz val="11"/>
        <color theme="1"/>
        <rFont val="宋体"/>
        <family val="3"/>
        <charset val="134"/>
        <scheme val="minor"/>
      </rPr>
      <t>-923</t>
    </r>
    <r>
      <rPr>
        <sz val="11"/>
        <color theme="1"/>
        <rFont val="宋体"/>
        <family val="2"/>
        <charset val="134"/>
        <scheme val="minor"/>
      </rPr>
      <t/>
    </r>
  </si>
  <si>
    <r>
      <t>3</t>
    </r>
    <r>
      <rPr>
        <sz val="11"/>
        <color theme="1"/>
        <rFont val="宋体"/>
        <family val="3"/>
        <charset val="134"/>
        <scheme val="minor"/>
      </rPr>
      <t>-924</t>
    </r>
    <r>
      <rPr>
        <sz val="11"/>
        <color theme="1"/>
        <rFont val="宋体"/>
        <family val="2"/>
        <charset val="134"/>
        <scheme val="minor"/>
      </rPr>
      <t/>
    </r>
  </si>
  <si>
    <r>
      <t>3</t>
    </r>
    <r>
      <rPr>
        <sz val="11"/>
        <color theme="1"/>
        <rFont val="宋体"/>
        <family val="3"/>
        <charset val="134"/>
        <scheme val="minor"/>
      </rPr>
      <t>-925</t>
    </r>
    <r>
      <rPr>
        <sz val="11"/>
        <color theme="1"/>
        <rFont val="宋体"/>
        <family val="2"/>
        <charset val="134"/>
        <scheme val="minor"/>
      </rPr>
      <t/>
    </r>
  </si>
  <si>
    <r>
      <t>3</t>
    </r>
    <r>
      <rPr>
        <sz val="11"/>
        <color theme="1"/>
        <rFont val="宋体"/>
        <family val="3"/>
        <charset val="134"/>
        <scheme val="minor"/>
      </rPr>
      <t>-926</t>
    </r>
    <r>
      <rPr>
        <sz val="11"/>
        <color theme="1"/>
        <rFont val="宋体"/>
        <family val="2"/>
        <charset val="134"/>
        <scheme val="minor"/>
      </rPr>
      <t/>
    </r>
  </si>
  <si>
    <r>
      <t>3</t>
    </r>
    <r>
      <rPr>
        <sz val="11"/>
        <color theme="1"/>
        <rFont val="宋体"/>
        <family val="3"/>
        <charset val="134"/>
        <scheme val="minor"/>
      </rPr>
      <t>-927</t>
    </r>
    <r>
      <rPr>
        <sz val="11"/>
        <color theme="1"/>
        <rFont val="宋体"/>
        <family val="2"/>
        <charset val="134"/>
        <scheme val="minor"/>
      </rPr>
      <t/>
    </r>
  </si>
  <si>
    <r>
      <t>3</t>
    </r>
    <r>
      <rPr>
        <sz val="11"/>
        <color theme="1"/>
        <rFont val="宋体"/>
        <family val="3"/>
        <charset val="134"/>
        <scheme val="minor"/>
      </rPr>
      <t>-928</t>
    </r>
    <r>
      <rPr>
        <sz val="11"/>
        <color theme="1"/>
        <rFont val="宋体"/>
        <family val="2"/>
        <charset val="134"/>
        <scheme val="minor"/>
      </rPr>
      <t/>
    </r>
  </si>
  <si>
    <r>
      <t>3</t>
    </r>
    <r>
      <rPr>
        <sz val="11"/>
        <color theme="1"/>
        <rFont val="宋体"/>
        <family val="3"/>
        <charset val="134"/>
        <scheme val="minor"/>
      </rPr>
      <t>-929</t>
    </r>
    <r>
      <rPr>
        <sz val="11"/>
        <color theme="1"/>
        <rFont val="宋体"/>
        <family val="2"/>
        <charset val="134"/>
        <scheme val="minor"/>
      </rPr>
      <t/>
    </r>
  </si>
  <si>
    <r>
      <t>3</t>
    </r>
    <r>
      <rPr>
        <sz val="11"/>
        <color theme="1"/>
        <rFont val="宋体"/>
        <family val="3"/>
        <charset val="134"/>
        <scheme val="minor"/>
      </rPr>
      <t>-930</t>
    </r>
    <r>
      <rPr>
        <sz val="11"/>
        <color theme="1"/>
        <rFont val="宋体"/>
        <family val="2"/>
        <charset val="134"/>
        <scheme val="minor"/>
      </rPr>
      <t/>
    </r>
  </si>
  <si>
    <r>
      <t>3</t>
    </r>
    <r>
      <rPr>
        <sz val="11"/>
        <color theme="1"/>
        <rFont val="宋体"/>
        <family val="3"/>
        <charset val="134"/>
        <scheme val="minor"/>
      </rPr>
      <t>-931</t>
    </r>
    <r>
      <rPr>
        <sz val="11"/>
        <color theme="1"/>
        <rFont val="宋体"/>
        <family val="2"/>
        <charset val="134"/>
        <scheme val="minor"/>
      </rPr>
      <t/>
    </r>
  </si>
  <si>
    <r>
      <t>3</t>
    </r>
    <r>
      <rPr>
        <sz val="11"/>
        <color theme="1"/>
        <rFont val="宋体"/>
        <family val="3"/>
        <charset val="134"/>
        <scheme val="minor"/>
      </rPr>
      <t>-932</t>
    </r>
    <r>
      <rPr>
        <sz val="11"/>
        <color theme="1"/>
        <rFont val="宋体"/>
        <family val="2"/>
        <charset val="134"/>
        <scheme val="minor"/>
      </rPr>
      <t/>
    </r>
  </si>
  <si>
    <r>
      <t>3</t>
    </r>
    <r>
      <rPr>
        <sz val="11"/>
        <color theme="1"/>
        <rFont val="宋体"/>
        <family val="3"/>
        <charset val="134"/>
        <scheme val="minor"/>
      </rPr>
      <t>-933</t>
    </r>
    <r>
      <rPr>
        <sz val="11"/>
        <color theme="1"/>
        <rFont val="宋体"/>
        <family val="2"/>
        <charset val="134"/>
        <scheme val="minor"/>
      </rPr>
      <t/>
    </r>
  </si>
  <si>
    <r>
      <t>3</t>
    </r>
    <r>
      <rPr>
        <sz val="11"/>
        <color theme="1"/>
        <rFont val="宋体"/>
        <family val="3"/>
        <charset val="134"/>
        <scheme val="minor"/>
      </rPr>
      <t>-934</t>
    </r>
    <r>
      <rPr>
        <sz val="11"/>
        <color theme="1"/>
        <rFont val="宋体"/>
        <family val="2"/>
        <charset val="134"/>
        <scheme val="minor"/>
      </rPr>
      <t/>
    </r>
  </si>
  <si>
    <r>
      <t>3</t>
    </r>
    <r>
      <rPr>
        <sz val="11"/>
        <color theme="1"/>
        <rFont val="宋体"/>
        <family val="3"/>
        <charset val="134"/>
        <scheme val="minor"/>
      </rPr>
      <t>-935</t>
    </r>
    <r>
      <rPr>
        <sz val="11"/>
        <color theme="1"/>
        <rFont val="宋体"/>
        <family val="2"/>
        <charset val="134"/>
        <scheme val="minor"/>
      </rPr>
      <t/>
    </r>
  </si>
  <si>
    <r>
      <t>3</t>
    </r>
    <r>
      <rPr>
        <sz val="11"/>
        <color theme="1"/>
        <rFont val="宋体"/>
        <family val="3"/>
        <charset val="134"/>
        <scheme val="minor"/>
      </rPr>
      <t>-936</t>
    </r>
    <r>
      <rPr>
        <sz val="11"/>
        <color theme="1"/>
        <rFont val="宋体"/>
        <family val="2"/>
        <charset val="134"/>
        <scheme val="minor"/>
      </rPr>
      <t/>
    </r>
  </si>
  <si>
    <r>
      <t>3</t>
    </r>
    <r>
      <rPr>
        <sz val="11"/>
        <color theme="1"/>
        <rFont val="宋体"/>
        <family val="3"/>
        <charset val="134"/>
        <scheme val="minor"/>
      </rPr>
      <t>-937</t>
    </r>
    <r>
      <rPr>
        <sz val="11"/>
        <color theme="1"/>
        <rFont val="宋体"/>
        <family val="2"/>
        <charset val="134"/>
        <scheme val="minor"/>
      </rPr>
      <t/>
    </r>
  </si>
  <si>
    <r>
      <t>3</t>
    </r>
    <r>
      <rPr>
        <sz val="11"/>
        <color theme="1"/>
        <rFont val="宋体"/>
        <family val="3"/>
        <charset val="134"/>
        <scheme val="minor"/>
      </rPr>
      <t>-938</t>
    </r>
    <r>
      <rPr>
        <sz val="11"/>
        <color theme="1"/>
        <rFont val="宋体"/>
        <family val="2"/>
        <charset val="134"/>
        <scheme val="minor"/>
      </rPr>
      <t/>
    </r>
  </si>
  <si>
    <r>
      <t>3</t>
    </r>
    <r>
      <rPr>
        <sz val="11"/>
        <color theme="1"/>
        <rFont val="宋体"/>
        <family val="3"/>
        <charset val="134"/>
        <scheme val="minor"/>
      </rPr>
      <t>-939</t>
    </r>
    <r>
      <rPr>
        <sz val="11"/>
        <color theme="1"/>
        <rFont val="宋体"/>
        <family val="2"/>
        <charset val="134"/>
        <scheme val="minor"/>
      </rPr>
      <t/>
    </r>
  </si>
  <si>
    <r>
      <t>3</t>
    </r>
    <r>
      <rPr>
        <sz val="11"/>
        <color theme="1"/>
        <rFont val="宋体"/>
        <family val="3"/>
        <charset val="134"/>
        <scheme val="minor"/>
      </rPr>
      <t>-940</t>
    </r>
    <r>
      <rPr>
        <sz val="11"/>
        <color theme="1"/>
        <rFont val="宋体"/>
        <family val="2"/>
        <charset val="134"/>
        <scheme val="minor"/>
      </rPr>
      <t/>
    </r>
  </si>
  <si>
    <r>
      <t>3</t>
    </r>
    <r>
      <rPr>
        <sz val="11"/>
        <color theme="1"/>
        <rFont val="宋体"/>
        <family val="3"/>
        <charset val="134"/>
        <scheme val="minor"/>
      </rPr>
      <t>-941</t>
    </r>
    <r>
      <rPr>
        <sz val="11"/>
        <color theme="1"/>
        <rFont val="宋体"/>
        <family val="2"/>
        <charset val="134"/>
        <scheme val="minor"/>
      </rPr>
      <t/>
    </r>
  </si>
  <si>
    <r>
      <t>3</t>
    </r>
    <r>
      <rPr>
        <sz val="11"/>
        <color theme="1"/>
        <rFont val="宋体"/>
        <family val="3"/>
        <charset val="134"/>
        <scheme val="minor"/>
      </rPr>
      <t>-942</t>
    </r>
    <r>
      <rPr>
        <sz val="11"/>
        <color theme="1"/>
        <rFont val="宋体"/>
        <family val="2"/>
        <charset val="134"/>
        <scheme val="minor"/>
      </rPr>
      <t/>
    </r>
  </si>
  <si>
    <r>
      <t>3</t>
    </r>
    <r>
      <rPr>
        <sz val="11"/>
        <color theme="1"/>
        <rFont val="宋体"/>
        <family val="3"/>
        <charset val="134"/>
        <scheme val="minor"/>
      </rPr>
      <t>-943</t>
    </r>
    <r>
      <rPr>
        <sz val="11"/>
        <color theme="1"/>
        <rFont val="宋体"/>
        <family val="2"/>
        <charset val="134"/>
        <scheme val="minor"/>
      </rPr>
      <t/>
    </r>
  </si>
  <si>
    <r>
      <t>3</t>
    </r>
    <r>
      <rPr>
        <sz val="11"/>
        <color theme="1"/>
        <rFont val="宋体"/>
        <family val="3"/>
        <charset val="134"/>
        <scheme val="minor"/>
      </rPr>
      <t>-944</t>
    </r>
    <r>
      <rPr>
        <sz val="11"/>
        <color theme="1"/>
        <rFont val="宋体"/>
        <family val="2"/>
        <charset val="134"/>
        <scheme val="minor"/>
      </rPr>
      <t/>
    </r>
  </si>
  <si>
    <r>
      <t>3</t>
    </r>
    <r>
      <rPr>
        <sz val="11"/>
        <color theme="1"/>
        <rFont val="宋体"/>
        <family val="3"/>
        <charset val="134"/>
        <scheme val="minor"/>
      </rPr>
      <t>-945</t>
    </r>
    <r>
      <rPr>
        <sz val="11"/>
        <color theme="1"/>
        <rFont val="宋体"/>
        <family val="2"/>
        <charset val="134"/>
        <scheme val="minor"/>
      </rPr>
      <t/>
    </r>
  </si>
  <si>
    <r>
      <t>3</t>
    </r>
    <r>
      <rPr>
        <sz val="11"/>
        <color theme="1"/>
        <rFont val="宋体"/>
        <family val="3"/>
        <charset val="134"/>
        <scheme val="minor"/>
      </rPr>
      <t>-946</t>
    </r>
    <r>
      <rPr>
        <sz val="11"/>
        <color theme="1"/>
        <rFont val="宋体"/>
        <family val="2"/>
        <charset val="134"/>
        <scheme val="minor"/>
      </rPr>
      <t/>
    </r>
  </si>
  <si>
    <r>
      <t>3</t>
    </r>
    <r>
      <rPr>
        <sz val="11"/>
        <color theme="1"/>
        <rFont val="宋体"/>
        <family val="3"/>
        <charset val="134"/>
        <scheme val="minor"/>
      </rPr>
      <t>-947</t>
    </r>
    <r>
      <rPr>
        <sz val="11"/>
        <color theme="1"/>
        <rFont val="宋体"/>
        <family val="2"/>
        <charset val="134"/>
        <scheme val="minor"/>
      </rPr>
      <t/>
    </r>
  </si>
  <si>
    <r>
      <t>3</t>
    </r>
    <r>
      <rPr>
        <sz val="11"/>
        <color theme="1"/>
        <rFont val="宋体"/>
        <family val="3"/>
        <charset val="134"/>
        <scheme val="minor"/>
      </rPr>
      <t>-948</t>
    </r>
    <r>
      <rPr>
        <sz val="11"/>
        <color theme="1"/>
        <rFont val="宋体"/>
        <family val="2"/>
        <charset val="134"/>
        <scheme val="minor"/>
      </rPr>
      <t/>
    </r>
  </si>
  <si>
    <r>
      <t>3</t>
    </r>
    <r>
      <rPr>
        <sz val="11"/>
        <color theme="1"/>
        <rFont val="宋体"/>
        <family val="3"/>
        <charset val="134"/>
        <scheme val="minor"/>
      </rPr>
      <t>-949</t>
    </r>
    <r>
      <rPr>
        <sz val="11"/>
        <color theme="1"/>
        <rFont val="宋体"/>
        <family val="2"/>
        <charset val="134"/>
        <scheme val="minor"/>
      </rPr>
      <t/>
    </r>
  </si>
  <si>
    <r>
      <t>3</t>
    </r>
    <r>
      <rPr>
        <sz val="11"/>
        <color theme="1"/>
        <rFont val="宋体"/>
        <family val="3"/>
        <charset val="134"/>
        <scheme val="minor"/>
      </rPr>
      <t>-950</t>
    </r>
    <r>
      <rPr>
        <sz val="11"/>
        <color theme="1"/>
        <rFont val="宋体"/>
        <family val="2"/>
        <charset val="134"/>
        <scheme val="minor"/>
      </rPr>
      <t/>
    </r>
  </si>
  <si>
    <r>
      <t>3</t>
    </r>
    <r>
      <rPr>
        <sz val="11"/>
        <color theme="1"/>
        <rFont val="宋体"/>
        <family val="3"/>
        <charset val="134"/>
        <scheme val="minor"/>
      </rPr>
      <t>-951</t>
    </r>
    <r>
      <rPr>
        <sz val="11"/>
        <color theme="1"/>
        <rFont val="宋体"/>
        <family val="2"/>
        <charset val="134"/>
        <scheme val="minor"/>
      </rPr>
      <t/>
    </r>
  </si>
  <si>
    <r>
      <t>3</t>
    </r>
    <r>
      <rPr>
        <sz val="11"/>
        <color theme="1"/>
        <rFont val="宋体"/>
        <family val="3"/>
        <charset val="134"/>
        <scheme val="minor"/>
      </rPr>
      <t>-952</t>
    </r>
    <r>
      <rPr>
        <sz val="11"/>
        <color theme="1"/>
        <rFont val="宋体"/>
        <family val="2"/>
        <charset val="134"/>
        <scheme val="minor"/>
      </rPr>
      <t/>
    </r>
  </si>
  <si>
    <r>
      <t>4</t>
    </r>
    <r>
      <rPr>
        <sz val="11"/>
        <color theme="1"/>
        <rFont val="宋体"/>
        <family val="3"/>
        <charset val="134"/>
        <scheme val="minor"/>
      </rPr>
      <t>-901</t>
    </r>
    <phoneticPr fontId="144" type="noConversion"/>
  </si>
  <si>
    <r>
      <t>4</t>
    </r>
    <r>
      <rPr>
        <sz val="11"/>
        <color theme="1"/>
        <rFont val="宋体"/>
        <family val="3"/>
        <charset val="134"/>
        <scheme val="minor"/>
      </rPr>
      <t>-902</t>
    </r>
    <r>
      <rPr>
        <sz val="11"/>
        <color theme="1"/>
        <rFont val="宋体"/>
        <family val="2"/>
        <charset val="134"/>
        <scheme val="minor"/>
      </rPr>
      <t/>
    </r>
  </si>
  <si>
    <r>
      <t>4</t>
    </r>
    <r>
      <rPr>
        <sz val="11"/>
        <color theme="1"/>
        <rFont val="宋体"/>
        <family val="3"/>
        <charset val="134"/>
        <scheme val="minor"/>
      </rPr>
      <t>-903</t>
    </r>
    <r>
      <rPr>
        <sz val="11"/>
        <color theme="1"/>
        <rFont val="宋体"/>
        <family val="2"/>
        <charset val="134"/>
        <scheme val="minor"/>
      </rPr>
      <t/>
    </r>
  </si>
  <si>
    <r>
      <t>4</t>
    </r>
    <r>
      <rPr>
        <sz val="11"/>
        <color theme="1"/>
        <rFont val="宋体"/>
        <family val="3"/>
        <charset val="134"/>
        <scheme val="minor"/>
      </rPr>
      <t>-904</t>
    </r>
    <r>
      <rPr>
        <sz val="11"/>
        <color theme="1"/>
        <rFont val="宋体"/>
        <family val="2"/>
        <charset val="134"/>
        <scheme val="minor"/>
      </rPr>
      <t/>
    </r>
  </si>
  <si>
    <r>
      <t>4</t>
    </r>
    <r>
      <rPr>
        <sz val="11"/>
        <color theme="1"/>
        <rFont val="宋体"/>
        <family val="3"/>
        <charset val="134"/>
        <scheme val="minor"/>
      </rPr>
      <t>-905</t>
    </r>
    <r>
      <rPr>
        <sz val="11"/>
        <color theme="1"/>
        <rFont val="宋体"/>
        <family val="2"/>
        <charset val="134"/>
        <scheme val="minor"/>
      </rPr>
      <t/>
    </r>
  </si>
  <si>
    <r>
      <t>4</t>
    </r>
    <r>
      <rPr>
        <sz val="11"/>
        <color theme="1"/>
        <rFont val="宋体"/>
        <family val="3"/>
        <charset val="134"/>
        <scheme val="minor"/>
      </rPr>
      <t>-906</t>
    </r>
    <r>
      <rPr>
        <sz val="11"/>
        <color theme="1"/>
        <rFont val="宋体"/>
        <family val="2"/>
        <charset val="134"/>
        <scheme val="minor"/>
      </rPr>
      <t/>
    </r>
  </si>
  <si>
    <r>
      <t>4</t>
    </r>
    <r>
      <rPr>
        <sz val="11"/>
        <color theme="1"/>
        <rFont val="宋体"/>
        <family val="3"/>
        <charset val="134"/>
        <scheme val="minor"/>
      </rPr>
      <t>-907</t>
    </r>
    <r>
      <rPr>
        <sz val="11"/>
        <color theme="1"/>
        <rFont val="宋体"/>
        <family val="2"/>
        <charset val="134"/>
        <scheme val="minor"/>
      </rPr>
      <t/>
    </r>
  </si>
  <si>
    <r>
      <t>4</t>
    </r>
    <r>
      <rPr>
        <sz val="11"/>
        <color theme="1"/>
        <rFont val="宋体"/>
        <family val="3"/>
        <charset val="134"/>
        <scheme val="minor"/>
      </rPr>
      <t>-908</t>
    </r>
    <r>
      <rPr>
        <sz val="11"/>
        <color theme="1"/>
        <rFont val="宋体"/>
        <family val="2"/>
        <charset val="134"/>
        <scheme val="minor"/>
      </rPr>
      <t/>
    </r>
  </si>
  <si>
    <r>
      <t>4</t>
    </r>
    <r>
      <rPr>
        <sz val="11"/>
        <color theme="1"/>
        <rFont val="宋体"/>
        <family val="3"/>
        <charset val="134"/>
        <scheme val="minor"/>
      </rPr>
      <t>-909</t>
    </r>
    <r>
      <rPr>
        <sz val="11"/>
        <color theme="1"/>
        <rFont val="宋体"/>
        <family val="2"/>
        <charset val="134"/>
        <scheme val="minor"/>
      </rPr>
      <t/>
    </r>
  </si>
  <si>
    <r>
      <t>4</t>
    </r>
    <r>
      <rPr>
        <sz val="11"/>
        <color theme="1"/>
        <rFont val="宋体"/>
        <family val="3"/>
        <charset val="134"/>
        <scheme val="minor"/>
      </rPr>
      <t>-910</t>
    </r>
    <r>
      <rPr>
        <sz val="11"/>
        <color theme="1"/>
        <rFont val="宋体"/>
        <family val="2"/>
        <charset val="134"/>
        <scheme val="minor"/>
      </rPr>
      <t/>
    </r>
  </si>
  <si>
    <r>
      <t>4</t>
    </r>
    <r>
      <rPr>
        <sz val="11"/>
        <color theme="1"/>
        <rFont val="宋体"/>
        <family val="3"/>
        <charset val="134"/>
        <scheme val="minor"/>
      </rPr>
      <t>-911</t>
    </r>
    <r>
      <rPr>
        <sz val="11"/>
        <color theme="1"/>
        <rFont val="宋体"/>
        <family val="2"/>
        <charset val="134"/>
        <scheme val="minor"/>
      </rPr>
      <t/>
    </r>
  </si>
  <si>
    <r>
      <t>4</t>
    </r>
    <r>
      <rPr>
        <sz val="11"/>
        <color theme="1"/>
        <rFont val="宋体"/>
        <family val="3"/>
        <charset val="134"/>
        <scheme val="minor"/>
      </rPr>
      <t>-912</t>
    </r>
    <r>
      <rPr>
        <sz val="11"/>
        <color theme="1"/>
        <rFont val="宋体"/>
        <family val="2"/>
        <charset val="134"/>
        <scheme val="minor"/>
      </rPr>
      <t/>
    </r>
  </si>
  <si>
    <r>
      <t>4</t>
    </r>
    <r>
      <rPr>
        <sz val="11"/>
        <color theme="1"/>
        <rFont val="宋体"/>
        <family val="3"/>
        <charset val="134"/>
        <scheme val="minor"/>
      </rPr>
      <t>-913</t>
    </r>
    <r>
      <rPr>
        <sz val="11"/>
        <color theme="1"/>
        <rFont val="宋体"/>
        <family val="2"/>
        <charset val="134"/>
        <scheme val="minor"/>
      </rPr>
      <t/>
    </r>
  </si>
  <si>
    <r>
      <t>4</t>
    </r>
    <r>
      <rPr>
        <sz val="11"/>
        <color theme="1"/>
        <rFont val="宋体"/>
        <family val="3"/>
        <charset val="134"/>
        <scheme val="minor"/>
      </rPr>
      <t>-914</t>
    </r>
    <r>
      <rPr>
        <sz val="11"/>
        <color theme="1"/>
        <rFont val="宋体"/>
        <family val="2"/>
        <charset val="134"/>
        <scheme val="minor"/>
      </rPr>
      <t/>
    </r>
  </si>
  <si>
    <r>
      <t>4</t>
    </r>
    <r>
      <rPr>
        <sz val="11"/>
        <color theme="1"/>
        <rFont val="宋体"/>
        <family val="3"/>
        <charset val="134"/>
        <scheme val="minor"/>
      </rPr>
      <t>-915</t>
    </r>
    <r>
      <rPr>
        <sz val="11"/>
        <color theme="1"/>
        <rFont val="宋体"/>
        <family val="2"/>
        <charset val="134"/>
        <scheme val="minor"/>
      </rPr>
      <t/>
    </r>
  </si>
  <si>
    <r>
      <t>4</t>
    </r>
    <r>
      <rPr>
        <sz val="11"/>
        <color theme="1"/>
        <rFont val="宋体"/>
        <family val="3"/>
        <charset val="134"/>
        <scheme val="minor"/>
      </rPr>
      <t>-916</t>
    </r>
    <r>
      <rPr>
        <sz val="11"/>
        <color theme="1"/>
        <rFont val="宋体"/>
        <family val="2"/>
        <charset val="134"/>
        <scheme val="minor"/>
      </rPr>
      <t/>
    </r>
  </si>
  <si>
    <r>
      <t>4</t>
    </r>
    <r>
      <rPr>
        <sz val="11"/>
        <color theme="1"/>
        <rFont val="宋体"/>
        <family val="3"/>
        <charset val="134"/>
        <scheme val="minor"/>
      </rPr>
      <t>-917</t>
    </r>
    <r>
      <rPr>
        <sz val="11"/>
        <color theme="1"/>
        <rFont val="宋体"/>
        <family val="2"/>
        <charset val="134"/>
        <scheme val="minor"/>
      </rPr>
      <t/>
    </r>
  </si>
  <si>
    <r>
      <t>4</t>
    </r>
    <r>
      <rPr>
        <sz val="11"/>
        <color theme="1"/>
        <rFont val="宋体"/>
        <family val="3"/>
        <charset val="134"/>
        <scheme val="minor"/>
      </rPr>
      <t>-918</t>
    </r>
    <r>
      <rPr>
        <sz val="11"/>
        <color theme="1"/>
        <rFont val="宋体"/>
        <family val="2"/>
        <charset val="134"/>
        <scheme val="minor"/>
      </rPr>
      <t/>
    </r>
  </si>
  <si>
    <r>
      <t>4</t>
    </r>
    <r>
      <rPr>
        <sz val="11"/>
        <color theme="1"/>
        <rFont val="宋体"/>
        <family val="3"/>
        <charset val="134"/>
        <scheme val="minor"/>
      </rPr>
      <t>-919</t>
    </r>
    <r>
      <rPr>
        <sz val="11"/>
        <color theme="1"/>
        <rFont val="宋体"/>
        <family val="2"/>
        <charset val="134"/>
        <scheme val="minor"/>
      </rPr>
      <t/>
    </r>
  </si>
  <si>
    <r>
      <t>4</t>
    </r>
    <r>
      <rPr>
        <sz val="11"/>
        <color theme="1"/>
        <rFont val="宋体"/>
        <family val="3"/>
        <charset val="134"/>
        <scheme val="minor"/>
      </rPr>
      <t>-920</t>
    </r>
    <r>
      <rPr>
        <sz val="11"/>
        <color theme="1"/>
        <rFont val="宋体"/>
        <family val="2"/>
        <charset val="134"/>
        <scheme val="minor"/>
      </rPr>
      <t/>
    </r>
  </si>
  <si>
    <r>
      <t>4</t>
    </r>
    <r>
      <rPr>
        <sz val="11"/>
        <color theme="1"/>
        <rFont val="宋体"/>
        <family val="3"/>
        <charset val="134"/>
        <scheme val="minor"/>
      </rPr>
      <t>-921</t>
    </r>
    <r>
      <rPr>
        <sz val="11"/>
        <color theme="1"/>
        <rFont val="宋体"/>
        <family val="2"/>
        <charset val="134"/>
        <scheme val="minor"/>
      </rPr>
      <t/>
    </r>
  </si>
  <si>
    <r>
      <t>4</t>
    </r>
    <r>
      <rPr>
        <sz val="11"/>
        <color theme="1"/>
        <rFont val="宋体"/>
        <family val="3"/>
        <charset val="134"/>
        <scheme val="minor"/>
      </rPr>
      <t>-922</t>
    </r>
    <r>
      <rPr>
        <sz val="11"/>
        <color theme="1"/>
        <rFont val="宋体"/>
        <family val="2"/>
        <charset val="134"/>
        <scheme val="minor"/>
      </rPr>
      <t/>
    </r>
  </si>
  <si>
    <r>
      <t>4</t>
    </r>
    <r>
      <rPr>
        <sz val="11"/>
        <color theme="1"/>
        <rFont val="宋体"/>
        <family val="3"/>
        <charset val="134"/>
        <scheme val="minor"/>
      </rPr>
      <t>-923</t>
    </r>
    <r>
      <rPr>
        <sz val="11"/>
        <color theme="1"/>
        <rFont val="宋体"/>
        <family val="2"/>
        <charset val="134"/>
        <scheme val="minor"/>
      </rPr>
      <t/>
    </r>
  </si>
  <si>
    <r>
      <t>4</t>
    </r>
    <r>
      <rPr>
        <sz val="11"/>
        <color theme="1"/>
        <rFont val="宋体"/>
        <family val="3"/>
        <charset val="134"/>
        <scheme val="minor"/>
      </rPr>
      <t>-924</t>
    </r>
    <r>
      <rPr>
        <sz val="11"/>
        <color theme="1"/>
        <rFont val="宋体"/>
        <family val="2"/>
        <charset val="134"/>
        <scheme val="minor"/>
      </rPr>
      <t/>
    </r>
  </si>
  <si>
    <r>
      <t>4</t>
    </r>
    <r>
      <rPr>
        <sz val="11"/>
        <color theme="1"/>
        <rFont val="宋体"/>
        <family val="3"/>
        <charset val="134"/>
        <scheme val="minor"/>
      </rPr>
      <t>-925</t>
    </r>
    <r>
      <rPr>
        <sz val="11"/>
        <color theme="1"/>
        <rFont val="宋体"/>
        <family val="2"/>
        <charset val="134"/>
        <scheme val="minor"/>
      </rPr>
      <t/>
    </r>
  </si>
  <si>
    <r>
      <t>4</t>
    </r>
    <r>
      <rPr>
        <sz val="11"/>
        <color theme="1"/>
        <rFont val="宋体"/>
        <family val="3"/>
        <charset val="134"/>
        <scheme val="minor"/>
      </rPr>
      <t>-926</t>
    </r>
    <r>
      <rPr>
        <sz val="11"/>
        <color theme="1"/>
        <rFont val="宋体"/>
        <family val="2"/>
        <charset val="134"/>
        <scheme val="minor"/>
      </rPr>
      <t/>
    </r>
  </si>
  <si>
    <r>
      <t>4</t>
    </r>
    <r>
      <rPr>
        <sz val="11"/>
        <color theme="1"/>
        <rFont val="宋体"/>
        <family val="3"/>
        <charset val="134"/>
        <scheme val="minor"/>
      </rPr>
      <t>-927</t>
    </r>
    <r>
      <rPr>
        <sz val="11"/>
        <color theme="1"/>
        <rFont val="宋体"/>
        <family val="2"/>
        <charset val="134"/>
        <scheme val="minor"/>
      </rPr>
      <t/>
    </r>
  </si>
  <si>
    <r>
      <t>4</t>
    </r>
    <r>
      <rPr>
        <sz val="11"/>
        <color theme="1"/>
        <rFont val="宋体"/>
        <family val="3"/>
        <charset val="134"/>
        <scheme val="minor"/>
      </rPr>
      <t>-928</t>
    </r>
    <r>
      <rPr>
        <sz val="11"/>
        <color theme="1"/>
        <rFont val="宋体"/>
        <family val="2"/>
        <charset val="134"/>
        <scheme val="minor"/>
      </rPr>
      <t/>
    </r>
  </si>
  <si>
    <r>
      <t>4</t>
    </r>
    <r>
      <rPr>
        <sz val="11"/>
        <color theme="1"/>
        <rFont val="宋体"/>
        <family val="3"/>
        <charset val="134"/>
        <scheme val="minor"/>
      </rPr>
      <t>-929</t>
    </r>
    <r>
      <rPr>
        <sz val="11"/>
        <color theme="1"/>
        <rFont val="宋体"/>
        <family val="2"/>
        <charset val="134"/>
        <scheme val="minor"/>
      </rPr>
      <t/>
    </r>
  </si>
  <si>
    <r>
      <t>4</t>
    </r>
    <r>
      <rPr>
        <sz val="11"/>
        <color theme="1"/>
        <rFont val="宋体"/>
        <family val="3"/>
        <charset val="134"/>
        <scheme val="minor"/>
      </rPr>
      <t>-930</t>
    </r>
    <r>
      <rPr>
        <sz val="11"/>
        <color theme="1"/>
        <rFont val="宋体"/>
        <family val="2"/>
        <charset val="134"/>
        <scheme val="minor"/>
      </rPr>
      <t/>
    </r>
  </si>
  <si>
    <r>
      <t>4</t>
    </r>
    <r>
      <rPr>
        <sz val="11"/>
        <color theme="1"/>
        <rFont val="宋体"/>
        <family val="3"/>
        <charset val="134"/>
        <scheme val="minor"/>
      </rPr>
      <t>-931</t>
    </r>
    <r>
      <rPr>
        <sz val="11"/>
        <color theme="1"/>
        <rFont val="宋体"/>
        <family val="2"/>
        <charset val="134"/>
        <scheme val="minor"/>
      </rPr>
      <t/>
    </r>
  </si>
  <si>
    <r>
      <t>4</t>
    </r>
    <r>
      <rPr>
        <sz val="11"/>
        <color theme="1"/>
        <rFont val="宋体"/>
        <family val="3"/>
        <charset val="134"/>
        <scheme val="minor"/>
      </rPr>
      <t>-932</t>
    </r>
    <r>
      <rPr>
        <sz val="11"/>
        <color theme="1"/>
        <rFont val="宋体"/>
        <family val="2"/>
        <charset val="134"/>
        <scheme val="minor"/>
      </rPr>
      <t/>
    </r>
  </si>
  <si>
    <r>
      <t>4</t>
    </r>
    <r>
      <rPr>
        <sz val="11"/>
        <color theme="1"/>
        <rFont val="宋体"/>
        <family val="3"/>
        <charset val="134"/>
        <scheme val="minor"/>
      </rPr>
      <t>-933</t>
    </r>
    <r>
      <rPr>
        <sz val="11"/>
        <color theme="1"/>
        <rFont val="宋体"/>
        <family val="2"/>
        <charset val="134"/>
        <scheme val="minor"/>
      </rPr>
      <t/>
    </r>
  </si>
  <si>
    <r>
      <t>4</t>
    </r>
    <r>
      <rPr>
        <sz val="11"/>
        <color theme="1"/>
        <rFont val="宋体"/>
        <family val="3"/>
        <charset val="134"/>
        <scheme val="minor"/>
      </rPr>
      <t>-934</t>
    </r>
    <r>
      <rPr>
        <sz val="11"/>
        <color theme="1"/>
        <rFont val="宋体"/>
        <family val="2"/>
        <charset val="134"/>
        <scheme val="minor"/>
      </rPr>
      <t/>
    </r>
  </si>
  <si>
    <r>
      <t>4</t>
    </r>
    <r>
      <rPr>
        <sz val="11"/>
        <color theme="1"/>
        <rFont val="宋体"/>
        <family val="3"/>
        <charset val="134"/>
        <scheme val="minor"/>
      </rPr>
      <t>-935</t>
    </r>
    <r>
      <rPr>
        <sz val="11"/>
        <color theme="1"/>
        <rFont val="宋体"/>
        <family val="2"/>
        <charset val="134"/>
        <scheme val="minor"/>
      </rPr>
      <t/>
    </r>
  </si>
  <si>
    <r>
      <t>4</t>
    </r>
    <r>
      <rPr>
        <sz val="11"/>
        <color theme="1"/>
        <rFont val="宋体"/>
        <family val="3"/>
        <charset val="134"/>
        <scheme val="minor"/>
      </rPr>
      <t>-936</t>
    </r>
    <r>
      <rPr>
        <sz val="11"/>
        <color theme="1"/>
        <rFont val="宋体"/>
        <family val="2"/>
        <charset val="134"/>
        <scheme val="minor"/>
      </rPr>
      <t/>
    </r>
  </si>
  <si>
    <r>
      <t>4</t>
    </r>
    <r>
      <rPr>
        <sz val="11"/>
        <color theme="1"/>
        <rFont val="宋体"/>
        <family val="3"/>
        <charset val="134"/>
        <scheme val="minor"/>
      </rPr>
      <t>-937</t>
    </r>
    <r>
      <rPr>
        <sz val="11"/>
        <color theme="1"/>
        <rFont val="宋体"/>
        <family val="2"/>
        <charset val="134"/>
        <scheme val="minor"/>
      </rPr>
      <t/>
    </r>
  </si>
  <si>
    <r>
      <t>4</t>
    </r>
    <r>
      <rPr>
        <sz val="11"/>
        <color theme="1"/>
        <rFont val="宋体"/>
        <family val="3"/>
        <charset val="134"/>
        <scheme val="minor"/>
      </rPr>
      <t>-938</t>
    </r>
    <r>
      <rPr>
        <sz val="11"/>
        <color theme="1"/>
        <rFont val="宋体"/>
        <family val="2"/>
        <charset val="134"/>
        <scheme val="minor"/>
      </rPr>
      <t/>
    </r>
  </si>
  <si>
    <r>
      <t>4</t>
    </r>
    <r>
      <rPr>
        <sz val="11"/>
        <color theme="1"/>
        <rFont val="宋体"/>
        <family val="3"/>
        <charset val="134"/>
        <scheme val="minor"/>
      </rPr>
      <t>-939</t>
    </r>
    <r>
      <rPr>
        <sz val="11"/>
        <color theme="1"/>
        <rFont val="宋体"/>
        <family val="2"/>
        <charset val="134"/>
        <scheme val="minor"/>
      </rPr>
      <t/>
    </r>
  </si>
  <si>
    <r>
      <t>4</t>
    </r>
    <r>
      <rPr>
        <sz val="11"/>
        <color theme="1"/>
        <rFont val="宋体"/>
        <family val="3"/>
        <charset val="134"/>
        <scheme val="minor"/>
      </rPr>
      <t>-940</t>
    </r>
    <r>
      <rPr>
        <sz val="11"/>
        <color theme="1"/>
        <rFont val="宋体"/>
        <family val="2"/>
        <charset val="134"/>
        <scheme val="minor"/>
      </rPr>
      <t/>
    </r>
  </si>
  <si>
    <r>
      <t>4</t>
    </r>
    <r>
      <rPr>
        <sz val="11"/>
        <color theme="1"/>
        <rFont val="宋体"/>
        <family val="3"/>
        <charset val="134"/>
        <scheme val="minor"/>
      </rPr>
      <t>-941</t>
    </r>
    <r>
      <rPr>
        <sz val="11"/>
        <color theme="1"/>
        <rFont val="宋体"/>
        <family val="2"/>
        <charset val="134"/>
        <scheme val="minor"/>
      </rPr>
      <t/>
    </r>
  </si>
  <si>
    <r>
      <t>4</t>
    </r>
    <r>
      <rPr>
        <sz val="11"/>
        <color theme="1"/>
        <rFont val="宋体"/>
        <family val="3"/>
        <charset val="134"/>
        <scheme val="minor"/>
      </rPr>
      <t>-942</t>
    </r>
    <r>
      <rPr>
        <sz val="11"/>
        <color theme="1"/>
        <rFont val="宋体"/>
        <family val="2"/>
        <charset val="134"/>
        <scheme val="minor"/>
      </rPr>
      <t/>
    </r>
  </si>
  <si>
    <r>
      <t>4</t>
    </r>
    <r>
      <rPr>
        <sz val="11"/>
        <color theme="1"/>
        <rFont val="宋体"/>
        <family val="3"/>
        <charset val="134"/>
        <scheme val="minor"/>
      </rPr>
      <t>-943</t>
    </r>
    <r>
      <rPr>
        <sz val="11"/>
        <color theme="1"/>
        <rFont val="宋体"/>
        <family val="2"/>
        <charset val="134"/>
        <scheme val="minor"/>
      </rPr>
      <t/>
    </r>
  </si>
  <si>
    <r>
      <t>4</t>
    </r>
    <r>
      <rPr>
        <sz val="11"/>
        <color theme="1"/>
        <rFont val="宋体"/>
        <family val="3"/>
        <charset val="134"/>
        <scheme val="minor"/>
      </rPr>
      <t>-944</t>
    </r>
    <r>
      <rPr>
        <sz val="11"/>
        <color theme="1"/>
        <rFont val="宋体"/>
        <family val="2"/>
        <charset val="134"/>
        <scheme val="minor"/>
      </rPr>
      <t/>
    </r>
  </si>
  <si>
    <r>
      <t>4</t>
    </r>
    <r>
      <rPr>
        <sz val="11"/>
        <color theme="1"/>
        <rFont val="宋体"/>
        <family val="3"/>
        <charset val="134"/>
        <scheme val="minor"/>
      </rPr>
      <t>-945</t>
    </r>
    <r>
      <rPr>
        <sz val="11"/>
        <color theme="1"/>
        <rFont val="宋体"/>
        <family val="2"/>
        <charset val="134"/>
        <scheme val="minor"/>
      </rPr>
      <t/>
    </r>
  </si>
  <si>
    <r>
      <t>1</t>
    </r>
    <r>
      <rPr>
        <sz val="11"/>
        <color theme="1"/>
        <rFont val="宋体"/>
        <family val="3"/>
        <charset val="134"/>
        <scheme val="minor"/>
      </rPr>
      <t>-1001</t>
    </r>
    <phoneticPr fontId="144" type="noConversion"/>
  </si>
  <si>
    <r>
      <t>1</t>
    </r>
    <r>
      <rPr>
        <sz val="11"/>
        <color theme="1"/>
        <rFont val="宋体"/>
        <family val="3"/>
        <charset val="134"/>
        <scheme val="minor"/>
      </rPr>
      <t>-1002</t>
    </r>
    <r>
      <rPr>
        <sz val="11"/>
        <color theme="1"/>
        <rFont val="宋体"/>
        <family val="2"/>
        <charset val="134"/>
        <scheme val="minor"/>
      </rPr>
      <t/>
    </r>
  </si>
  <si>
    <r>
      <t>1</t>
    </r>
    <r>
      <rPr>
        <sz val="11"/>
        <color theme="1"/>
        <rFont val="宋体"/>
        <family val="3"/>
        <charset val="134"/>
        <scheme val="minor"/>
      </rPr>
      <t>-1003</t>
    </r>
    <r>
      <rPr>
        <sz val="11"/>
        <color theme="1"/>
        <rFont val="宋体"/>
        <family val="2"/>
        <charset val="134"/>
        <scheme val="minor"/>
      </rPr>
      <t/>
    </r>
  </si>
  <si>
    <r>
      <t>1</t>
    </r>
    <r>
      <rPr>
        <sz val="11"/>
        <color theme="1"/>
        <rFont val="宋体"/>
        <family val="3"/>
        <charset val="134"/>
        <scheme val="minor"/>
      </rPr>
      <t>-1004</t>
    </r>
    <r>
      <rPr>
        <sz val="11"/>
        <color theme="1"/>
        <rFont val="宋体"/>
        <family val="2"/>
        <charset val="134"/>
        <scheme val="minor"/>
      </rPr>
      <t/>
    </r>
  </si>
  <si>
    <r>
      <t>1</t>
    </r>
    <r>
      <rPr>
        <sz val="11"/>
        <color theme="1"/>
        <rFont val="宋体"/>
        <family val="3"/>
        <charset val="134"/>
        <scheme val="minor"/>
      </rPr>
      <t>-1005</t>
    </r>
    <r>
      <rPr>
        <sz val="11"/>
        <color theme="1"/>
        <rFont val="宋体"/>
        <family val="2"/>
        <charset val="134"/>
        <scheme val="minor"/>
      </rPr>
      <t/>
    </r>
  </si>
  <si>
    <r>
      <t>1</t>
    </r>
    <r>
      <rPr>
        <sz val="11"/>
        <color theme="1"/>
        <rFont val="宋体"/>
        <family val="3"/>
        <charset val="134"/>
        <scheme val="minor"/>
      </rPr>
      <t>-1006</t>
    </r>
    <r>
      <rPr>
        <sz val="11"/>
        <color theme="1"/>
        <rFont val="宋体"/>
        <family val="2"/>
        <charset val="134"/>
        <scheme val="minor"/>
      </rPr>
      <t/>
    </r>
  </si>
  <si>
    <r>
      <t>1</t>
    </r>
    <r>
      <rPr>
        <sz val="11"/>
        <color theme="1"/>
        <rFont val="宋体"/>
        <family val="3"/>
        <charset val="134"/>
        <scheme val="minor"/>
      </rPr>
      <t>-1007</t>
    </r>
    <r>
      <rPr>
        <sz val="11"/>
        <color theme="1"/>
        <rFont val="宋体"/>
        <family val="2"/>
        <charset val="134"/>
        <scheme val="minor"/>
      </rPr>
      <t/>
    </r>
  </si>
  <si>
    <r>
      <t>1</t>
    </r>
    <r>
      <rPr>
        <sz val="11"/>
        <color theme="1"/>
        <rFont val="宋体"/>
        <family val="3"/>
        <charset val="134"/>
        <scheme val="minor"/>
      </rPr>
      <t>-1008</t>
    </r>
    <r>
      <rPr>
        <sz val="11"/>
        <color theme="1"/>
        <rFont val="宋体"/>
        <family val="2"/>
        <charset val="134"/>
        <scheme val="minor"/>
      </rPr>
      <t/>
    </r>
  </si>
  <si>
    <r>
      <t>1</t>
    </r>
    <r>
      <rPr>
        <sz val="11"/>
        <color theme="1"/>
        <rFont val="宋体"/>
        <family val="3"/>
        <charset val="134"/>
        <scheme val="minor"/>
      </rPr>
      <t>-1009</t>
    </r>
    <r>
      <rPr>
        <sz val="11"/>
        <color theme="1"/>
        <rFont val="宋体"/>
        <family val="2"/>
        <charset val="134"/>
        <scheme val="minor"/>
      </rPr>
      <t/>
    </r>
  </si>
  <si>
    <r>
      <t>1</t>
    </r>
    <r>
      <rPr>
        <sz val="11"/>
        <color theme="1"/>
        <rFont val="宋体"/>
        <family val="3"/>
        <charset val="134"/>
        <scheme val="minor"/>
      </rPr>
      <t>-1010</t>
    </r>
    <r>
      <rPr>
        <sz val="11"/>
        <color theme="1"/>
        <rFont val="宋体"/>
        <family val="2"/>
        <charset val="134"/>
        <scheme val="minor"/>
      </rPr>
      <t/>
    </r>
  </si>
  <si>
    <r>
      <t>1</t>
    </r>
    <r>
      <rPr>
        <sz val="11"/>
        <color theme="1"/>
        <rFont val="宋体"/>
        <family val="3"/>
        <charset val="134"/>
        <scheme val="minor"/>
      </rPr>
      <t>-1011</t>
    </r>
    <r>
      <rPr>
        <sz val="11"/>
        <color theme="1"/>
        <rFont val="宋体"/>
        <family val="2"/>
        <charset val="134"/>
        <scheme val="minor"/>
      </rPr>
      <t/>
    </r>
  </si>
  <si>
    <r>
      <t>1</t>
    </r>
    <r>
      <rPr>
        <sz val="11"/>
        <color theme="1"/>
        <rFont val="宋体"/>
        <family val="3"/>
        <charset val="134"/>
        <scheme val="minor"/>
      </rPr>
      <t>-1012</t>
    </r>
    <r>
      <rPr>
        <sz val="11"/>
        <color theme="1"/>
        <rFont val="宋体"/>
        <family val="2"/>
        <charset val="134"/>
        <scheme val="minor"/>
      </rPr>
      <t/>
    </r>
  </si>
  <si>
    <r>
      <t>1</t>
    </r>
    <r>
      <rPr>
        <sz val="11"/>
        <color theme="1"/>
        <rFont val="宋体"/>
        <family val="3"/>
        <charset val="134"/>
        <scheme val="minor"/>
      </rPr>
      <t>-1013</t>
    </r>
    <r>
      <rPr>
        <sz val="11"/>
        <color theme="1"/>
        <rFont val="宋体"/>
        <family val="2"/>
        <charset val="134"/>
        <scheme val="minor"/>
      </rPr>
      <t/>
    </r>
  </si>
  <si>
    <r>
      <t>1</t>
    </r>
    <r>
      <rPr>
        <sz val="11"/>
        <color theme="1"/>
        <rFont val="宋体"/>
        <family val="3"/>
        <charset val="134"/>
        <scheme val="minor"/>
      </rPr>
      <t>-1014</t>
    </r>
    <r>
      <rPr>
        <sz val="11"/>
        <color theme="1"/>
        <rFont val="宋体"/>
        <family val="2"/>
        <charset val="134"/>
        <scheme val="minor"/>
      </rPr>
      <t/>
    </r>
  </si>
  <si>
    <r>
      <t>1</t>
    </r>
    <r>
      <rPr>
        <sz val="11"/>
        <color theme="1"/>
        <rFont val="宋体"/>
        <family val="3"/>
        <charset val="134"/>
        <scheme val="minor"/>
      </rPr>
      <t>-1015</t>
    </r>
    <r>
      <rPr>
        <sz val="11"/>
        <color theme="1"/>
        <rFont val="宋体"/>
        <family val="2"/>
        <charset val="134"/>
        <scheme val="minor"/>
      </rPr>
      <t/>
    </r>
  </si>
  <si>
    <r>
      <t>1</t>
    </r>
    <r>
      <rPr>
        <sz val="11"/>
        <color theme="1"/>
        <rFont val="宋体"/>
        <family val="3"/>
        <charset val="134"/>
        <scheme val="minor"/>
      </rPr>
      <t>-1016</t>
    </r>
    <r>
      <rPr>
        <sz val="11"/>
        <color theme="1"/>
        <rFont val="宋体"/>
        <family val="2"/>
        <charset val="134"/>
        <scheme val="minor"/>
      </rPr>
      <t/>
    </r>
  </si>
  <si>
    <r>
      <t>1</t>
    </r>
    <r>
      <rPr>
        <sz val="11"/>
        <color theme="1"/>
        <rFont val="宋体"/>
        <family val="3"/>
        <charset val="134"/>
        <scheme val="minor"/>
      </rPr>
      <t>-1017</t>
    </r>
    <r>
      <rPr>
        <sz val="11"/>
        <color theme="1"/>
        <rFont val="宋体"/>
        <family val="2"/>
        <charset val="134"/>
        <scheme val="minor"/>
      </rPr>
      <t/>
    </r>
  </si>
  <si>
    <r>
      <t>1</t>
    </r>
    <r>
      <rPr>
        <sz val="11"/>
        <color theme="1"/>
        <rFont val="宋体"/>
        <family val="3"/>
        <charset val="134"/>
        <scheme val="minor"/>
      </rPr>
      <t>-1018</t>
    </r>
    <r>
      <rPr>
        <sz val="11"/>
        <color theme="1"/>
        <rFont val="宋体"/>
        <family val="2"/>
        <charset val="134"/>
        <scheme val="minor"/>
      </rPr>
      <t/>
    </r>
  </si>
  <si>
    <r>
      <t>1</t>
    </r>
    <r>
      <rPr>
        <sz val="11"/>
        <color theme="1"/>
        <rFont val="宋体"/>
        <family val="3"/>
        <charset val="134"/>
        <scheme val="minor"/>
      </rPr>
      <t>-1019</t>
    </r>
    <r>
      <rPr>
        <sz val="11"/>
        <color theme="1"/>
        <rFont val="宋体"/>
        <family val="2"/>
        <charset val="134"/>
        <scheme val="minor"/>
      </rPr>
      <t/>
    </r>
  </si>
  <si>
    <r>
      <t>1</t>
    </r>
    <r>
      <rPr>
        <sz val="11"/>
        <color theme="1"/>
        <rFont val="宋体"/>
        <family val="3"/>
        <charset val="134"/>
        <scheme val="minor"/>
      </rPr>
      <t>-1020</t>
    </r>
    <r>
      <rPr>
        <sz val="11"/>
        <color theme="1"/>
        <rFont val="宋体"/>
        <family val="2"/>
        <charset val="134"/>
        <scheme val="minor"/>
      </rPr>
      <t/>
    </r>
  </si>
  <si>
    <r>
      <t>2</t>
    </r>
    <r>
      <rPr>
        <sz val="11"/>
        <color theme="1"/>
        <rFont val="宋体"/>
        <family val="3"/>
        <charset val="134"/>
        <scheme val="minor"/>
      </rPr>
      <t>-1001</t>
    </r>
    <phoneticPr fontId="144" type="noConversion"/>
  </si>
  <si>
    <r>
      <t>2</t>
    </r>
    <r>
      <rPr>
        <sz val="11"/>
        <color theme="1"/>
        <rFont val="宋体"/>
        <family val="3"/>
        <charset val="134"/>
        <scheme val="minor"/>
      </rPr>
      <t>-1002</t>
    </r>
    <r>
      <rPr>
        <sz val="11"/>
        <color theme="1"/>
        <rFont val="宋体"/>
        <family val="2"/>
        <charset val="134"/>
        <scheme val="minor"/>
      </rPr>
      <t/>
    </r>
  </si>
  <si>
    <r>
      <t>2</t>
    </r>
    <r>
      <rPr>
        <sz val="11"/>
        <color theme="1"/>
        <rFont val="宋体"/>
        <family val="3"/>
        <charset val="134"/>
        <scheme val="minor"/>
      </rPr>
      <t>-1003</t>
    </r>
    <r>
      <rPr>
        <sz val="11"/>
        <color theme="1"/>
        <rFont val="宋体"/>
        <family val="2"/>
        <charset val="134"/>
        <scheme val="minor"/>
      </rPr>
      <t/>
    </r>
  </si>
  <si>
    <r>
      <t>2</t>
    </r>
    <r>
      <rPr>
        <sz val="11"/>
        <color theme="1"/>
        <rFont val="宋体"/>
        <family val="3"/>
        <charset val="134"/>
        <scheme val="minor"/>
      </rPr>
      <t>-1004</t>
    </r>
    <r>
      <rPr>
        <sz val="11"/>
        <color theme="1"/>
        <rFont val="宋体"/>
        <family val="2"/>
        <charset val="134"/>
        <scheme val="minor"/>
      </rPr>
      <t/>
    </r>
  </si>
  <si>
    <r>
      <t>2</t>
    </r>
    <r>
      <rPr>
        <sz val="11"/>
        <color theme="1"/>
        <rFont val="宋体"/>
        <family val="3"/>
        <charset val="134"/>
        <scheme val="minor"/>
      </rPr>
      <t>-1005</t>
    </r>
    <r>
      <rPr>
        <sz val="11"/>
        <color theme="1"/>
        <rFont val="宋体"/>
        <family val="2"/>
        <charset val="134"/>
        <scheme val="minor"/>
      </rPr>
      <t/>
    </r>
  </si>
  <si>
    <r>
      <t>2</t>
    </r>
    <r>
      <rPr>
        <sz val="11"/>
        <color theme="1"/>
        <rFont val="宋体"/>
        <family val="3"/>
        <charset val="134"/>
        <scheme val="minor"/>
      </rPr>
      <t>-1006</t>
    </r>
    <r>
      <rPr>
        <sz val="11"/>
        <color theme="1"/>
        <rFont val="宋体"/>
        <family val="2"/>
        <charset val="134"/>
        <scheme val="minor"/>
      </rPr>
      <t/>
    </r>
  </si>
  <si>
    <r>
      <t>2</t>
    </r>
    <r>
      <rPr>
        <sz val="11"/>
        <color theme="1"/>
        <rFont val="宋体"/>
        <family val="3"/>
        <charset val="134"/>
        <scheme val="minor"/>
      </rPr>
      <t>-1007</t>
    </r>
    <r>
      <rPr>
        <sz val="11"/>
        <color theme="1"/>
        <rFont val="宋体"/>
        <family val="2"/>
        <charset val="134"/>
        <scheme val="minor"/>
      </rPr>
      <t/>
    </r>
  </si>
  <si>
    <r>
      <t>2</t>
    </r>
    <r>
      <rPr>
        <sz val="11"/>
        <color theme="1"/>
        <rFont val="宋体"/>
        <family val="3"/>
        <charset val="134"/>
        <scheme val="minor"/>
      </rPr>
      <t>-1008</t>
    </r>
    <r>
      <rPr>
        <sz val="11"/>
        <color theme="1"/>
        <rFont val="宋体"/>
        <family val="2"/>
        <charset val="134"/>
        <scheme val="minor"/>
      </rPr>
      <t/>
    </r>
  </si>
  <si>
    <r>
      <t>2</t>
    </r>
    <r>
      <rPr>
        <sz val="11"/>
        <color theme="1"/>
        <rFont val="宋体"/>
        <family val="3"/>
        <charset val="134"/>
        <scheme val="minor"/>
      </rPr>
      <t>-1009</t>
    </r>
    <r>
      <rPr>
        <sz val="11"/>
        <color theme="1"/>
        <rFont val="宋体"/>
        <family val="2"/>
        <charset val="134"/>
        <scheme val="minor"/>
      </rPr>
      <t/>
    </r>
  </si>
  <si>
    <r>
      <t>2</t>
    </r>
    <r>
      <rPr>
        <sz val="11"/>
        <color theme="1"/>
        <rFont val="宋体"/>
        <family val="3"/>
        <charset val="134"/>
        <scheme val="minor"/>
      </rPr>
      <t>-1010</t>
    </r>
    <r>
      <rPr>
        <sz val="11"/>
        <color theme="1"/>
        <rFont val="宋体"/>
        <family val="2"/>
        <charset val="134"/>
        <scheme val="minor"/>
      </rPr>
      <t/>
    </r>
  </si>
  <si>
    <r>
      <t>2</t>
    </r>
    <r>
      <rPr>
        <sz val="11"/>
        <color theme="1"/>
        <rFont val="宋体"/>
        <family val="3"/>
        <charset val="134"/>
        <scheme val="minor"/>
      </rPr>
      <t>-1011</t>
    </r>
    <r>
      <rPr>
        <sz val="11"/>
        <color theme="1"/>
        <rFont val="宋体"/>
        <family val="2"/>
        <charset val="134"/>
        <scheme val="minor"/>
      </rPr>
      <t/>
    </r>
  </si>
  <si>
    <r>
      <t>2</t>
    </r>
    <r>
      <rPr>
        <sz val="11"/>
        <color theme="1"/>
        <rFont val="宋体"/>
        <family val="3"/>
        <charset val="134"/>
        <scheme val="minor"/>
      </rPr>
      <t>-1012</t>
    </r>
    <r>
      <rPr>
        <sz val="11"/>
        <color theme="1"/>
        <rFont val="宋体"/>
        <family val="2"/>
        <charset val="134"/>
        <scheme val="minor"/>
      </rPr>
      <t/>
    </r>
  </si>
  <si>
    <r>
      <t>2</t>
    </r>
    <r>
      <rPr>
        <sz val="11"/>
        <color theme="1"/>
        <rFont val="宋体"/>
        <family val="3"/>
        <charset val="134"/>
        <scheme val="minor"/>
      </rPr>
      <t>-1013</t>
    </r>
    <r>
      <rPr>
        <sz val="11"/>
        <color theme="1"/>
        <rFont val="宋体"/>
        <family val="2"/>
        <charset val="134"/>
        <scheme val="minor"/>
      </rPr>
      <t/>
    </r>
  </si>
  <si>
    <r>
      <t>2</t>
    </r>
    <r>
      <rPr>
        <sz val="11"/>
        <color theme="1"/>
        <rFont val="宋体"/>
        <family val="3"/>
        <charset val="134"/>
        <scheme val="minor"/>
      </rPr>
      <t>-1014</t>
    </r>
    <r>
      <rPr>
        <sz val="11"/>
        <color theme="1"/>
        <rFont val="宋体"/>
        <family val="2"/>
        <charset val="134"/>
        <scheme val="minor"/>
      </rPr>
      <t/>
    </r>
  </si>
  <si>
    <r>
      <t>2</t>
    </r>
    <r>
      <rPr>
        <sz val="11"/>
        <color theme="1"/>
        <rFont val="宋体"/>
        <family val="3"/>
        <charset val="134"/>
        <scheme val="minor"/>
      </rPr>
      <t>-1015</t>
    </r>
    <r>
      <rPr>
        <sz val="11"/>
        <color theme="1"/>
        <rFont val="宋体"/>
        <family val="2"/>
        <charset val="134"/>
        <scheme val="minor"/>
      </rPr>
      <t/>
    </r>
  </si>
  <si>
    <r>
      <t>2</t>
    </r>
    <r>
      <rPr>
        <sz val="11"/>
        <color theme="1"/>
        <rFont val="宋体"/>
        <family val="3"/>
        <charset val="134"/>
        <scheme val="minor"/>
      </rPr>
      <t>-1016</t>
    </r>
    <r>
      <rPr>
        <sz val="11"/>
        <color theme="1"/>
        <rFont val="宋体"/>
        <family val="2"/>
        <charset val="134"/>
        <scheme val="minor"/>
      </rPr>
      <t/>
    </r>
  </si>
  <si>
    <r>
      <t>2</t>
    </r>
    <r>
      <rPr>
        <sz val="11"/>
        <color theme="1"/>
        <rFont val="宋体"/>
        <family val="3"/>
        <charset val="134"/>
        <scheme val="minor"/>
      </rPr>
      <t>-1017</t>
    </r>
    <r>
      <rPr>
        <sz val="11"/>
        <color theme="1"/>
        <rFont val="宋体"/>
        <family val="2"/>
        <charset val="134"/>
        <scheme val="minor"/>
      </rPr>
      <t/>
    </r>
  </si>
  <si>
    <r>
      <t>2</t>
    </r>
    <r>
      <rPr>
        <sz val="11"/>
        <color theme="1"/>
        <rFont val="宋体"/>
        <family val="3"/>
        <charset val="134"/>
        <scheme val="minor"/>
      </rPr>
      <t>-1018</t>
    </r>
    <r>
      <rPr>
        <sz val="11"/>
        <color theme="1"/>
        <rFont val="宋体"/>
        <family val="2"/>
        <charset val="134"/>
        <scheme val="minor"/>
      </rPr>
      <t/>
    </r>
  </si>
  <si>
    <r>
      <t>2</t>
    </r>
    <r>
      <rPr>
        <sz val="11"/>
        <color theme="1"/>
        <rFont val="宋体"/>
        <family val="3"/>
        <charset val="134"/>
        <scheme val="minor"/>
      </rPr>
      <t>-1019</t>
    </r>
    <r>
      <rPr>
        <sz val="11"/>
        <color theme="1"/>
        <rFont val="宋体"/>
        <family val="2"/>
        <charset val="134"/>
        <scheme val="minor"/>
      </rPr>
      <t/>
    </r>
  </si>
  <si>
    <r>
      <t>2</t>
    </r>
    <r>
      <rPr>
        <sz val="11"/>
        <color theme="1"/>
        <rFont val="宋体"/>
        <family val="3"/>
        <charset val="134"/>
        <scheme val="minor"/>
      </rPr>
      <t>-1020</t>
    </r>
    <r>
      <rPr>
        <sz val="11"/>
        <color theme="1"/>
        <rFont val="宋体"/>
        <family val="2"/>
        <charset val="134"/>
        <scheme val="minor"/>
      </rPr>
      <t/>
    </r>
  </si>
  <si>
    <r>
      <t>3</t>
    </r>
    <r>
      <rPr>
        <sz val="11"/>
        <color theme="1"/>
        <rFont val="宋体"/>
        <family val="3"/>
        <charset val="134"/>
        <scheme val="minor"/>
      </rPr>
      <t>-1001</t>
    </r>
    <phoneticPr fontId="144" type="noConversion"/>
  </si>
  <si>
    <r>
      <t>3</t>
    </r>
    <r>
      <rPr>
        <sz val="11"/>
        <color theme="1"/>
        <rFont val="宋体"/>
        <family val="3"/>
        <charset val="134"/>
        <scheme val="minor"/>
      </rPr>
      <t>-1002</t>
    </r>
    <r>
      <rPr>
        <sz val="11"/>
        <color theme="1"/>
        <rFont val="宋体"/>
        <family val="2"/>
        <charset val="134"/>
        <scheme val="minor"/>
      </rPr>
      <t/>
    </r>
  </si>
  <si>
    <r>
      <t>3</t>
    </r>
    <r>
      <rPr>
        <sz val="11"/>
        <color theme="1"/>
        <rFont val="宋体"/>
        <family val="3"/>
        <charset val="134"/>
        <scheme val="minor"/>
      </rPr>
      <t>-1003</t>
    </r>
    <r>
      <rPr>
        <sz val="11"/>
        <color theme="1"/>
        <rFont val="宋体"/>
        <family val="2"/>
        <charset val="134"/>
        <scheme val="minor"/>
      </rPr>
      <t/>
    </r>
  </si>
  <si>
    <r>
      <t>3</t>
    </r>
    <r>
      <rPr>
        <sz val="11"/>
        <color theme="1"/>
        <rFont val="宋体"/>
        <family val="3"/>
        <charset val="134"/>
        <scheme val="minor"/>
      </rPr>
      <t>-1004</t>
    </r>
    <r>
      <rPr>
        <sz val="11"/>
        <color theme="1"/>
        <rFont val="宋体"/>
        <family val="2"/>
        <charset val="134"/>
        <scheme val="minor"/>
      </rPr>
      <t/>
    </r>
  </si>
  <si>
    <r>
      <t>3</t>
    </r>
    <r>
      <rPr>
        <sz val="11"/>
        <color theme="1"/>
        <rFont val="宋体"/>
        <family val="3"/>
        <charset val="134"/>
        <scheme val="minor"/>
      </rPr>
      <t>-1005</t>
    </r>
    <r>
      <rPr>
        <sz val="11"/>
        <color theme="1"/>
        <rFont val="宋体"/>
        <family val="2"/>
        <charset val="134"/>
        <scheme val="minor"/>
      </rPr>
      <t/>
    </r>
  </si>
  <si>
    <r>
      <t>3</t>
    </r>
    <r>
      <rPr>
        <sz val="11"/>
        <color theme="1"/>
        <rFont val="宋体"/>
        <family val="3"/>
        <charset val="134"/>
        <scheme val="minor"/>
      </rPr>
      <t>-1006</t>
    </r>
    <r>
      <rPr>
        <sz val="11"/>
        <color theme="1"/>
        <rFont val="宋体"/>
        <family val="2"/>
        <charset val="134"/>
        <scheme val="minor"/>
      </rPr>
      <t/>
    </r>
  </si>
  <si>
    <r>
      <t>3</t>
    </r>
    <r>
      <rPr>
        <sz val="11"/>
        <color theme="1"/>
        <rFont val="宋体"/>
        <family val="3"/>
        <charset val="134"/>
        <scheme val="minor"/>
      </rPr>
      <t>-1007</t>
    </r>
    <r>
      <rPr>
        <sz val="11"/>
        <color theme="1"/>
        <rFont val="宋体"/>
        <family val="2"/>
        <charset val="134"/>
        <scheme val="minor"/>
      </rPr>
      <t/>
    </r>
  </si>
  <si>
    <r>
      <t>3</t>
    </r>
    <r>
      <rPr>
        <sz val="11"/>
        <color theme="1"/>
        <rFont val="宋体"/>
        <family val="3"/>
        <charset val="134"/>
        <scheme val="minor"/>
      </rPr>
      <t>-1008</t>
    </r>
    <r>
      <rPr>
        <sz val="11"/>
        <color theme="1"/>
        <rFont val="宋体"/>
        <family val="2"/>
        <charset val="134"/>
        <scheme val="minor"/>
      </rPr>
      <t/>
    </r>
  </si>
  <si>
    <r>
      <t>3</t>
    </r>
    <r>
      <rPr>
        <sz val="11"/>
        <color theme="1"/>
        <rFont val="宋体"/>
        <family val="3"/>
        <charset val="134"/>
        <scheme val="minor"/>
      </rPr>
      <t>-1009</t>
    </r>
    <r>
      <rPr>
        <sz val="11"/>
        <color theme="1"/>
        <rFont val="宋体"/>
        <family val="2"/>
        <charset val="134"/>
        <scheme val="minor"/>
      </rPr>
      <t/>
    </r>
  </si>
  <si>
    <r>
      <t>3</t>
    </r>
    <r>
      <rPr>
        <sz val="11"/>
        <color theme="1"/>
        <rFont val="宋体"/>
        <family val="3"/>
        <charset val="134"/>
        <scheme val="minor"/>
      </rPr>
      <t>-1010</t>
    </r>
    <r>
      <rPr>
        <sz val="11"/>
        <color theme="1"/>
        <rFont val="宋体"/>
        <family val="2"/>
        <charset val="134"/>
        <scheme val="minor"/>
      </rPr>
      <t/>
    </r>
  </si>
  <si>
    <r>
      <t>3</t>
    </r>
    <r>
      <rPr>
        <sz val="11"/>
        <color theme="1"/>
        <rFont val="宋体"/>
        <family val="3"/>
        <charset val="134"/>
        <scheme val="minor"/>
      </rPr>
      <t>-1011</t>
    </r>
    <r>
      <rPr>
        <sz val="11"/>
        <color theme="1"/>
        <rFont val="宋体"/>
        <family val="2"/>
        <charset val="134"/>
        <scheme val="minor"/>
      </rPr>
      <t/>
    </r>
  </si>
  <si>
    <r>
      <t>3</t>
    </r>
    <r>
      <rPr>
        <sz val="11"/>
        <color theme="1"/>
        <rFont val="宋体"/>
        <family val="3"/>
        <charset val="134"/>
        <scheme val="minor"/>
      </rPr>
      <t>-1012</t>
    </r>
    <r>
      <rPr>
        <sz val="11"/>
        <color theme="1"/>
        <rFont val="宋体"/>
        <family val="2"/>
        <charset val="134"/>
        <scheme val="minor"/>
      </rPr>
      <t/>
    </r>
  </si>
  <si>
    <r>
      <t>3</t>
    </r>
    <r>
      <rPr>
        <sz val="11"/>
        <color theme="1"/>
        <rFont val="宋体"/>
        <family val="3"/>
        <charset val="134"/>
        <scheme val="minor"/>
      </rPr>
      <t>-1013</t>
    </r>
    <r>
      <rPr>
        <sz val="11"/>
        <color theme="1"/>
        <rFont val="宋体"/>
        <family val="2"/>
        <charset val="134"/>
        <scheme val="minor"/>
      </rPr>
      <t/>
    </r>
  </si>
  <si>
    <r>
      <t>3</t>
    </r>
    <r>
      <rPr>
        <sz val="11"/>
        <color theme="1"/>
        <rFont val="宋体"/>
        <family val="3"/>
        <charset val="134"/>
        <scheme val="minor"/>
      </rPr>
      <t>-1014</t>
    </r>
    <r>
      <rPr>
        <sz val="11"/>
        <color theme="1"/>
        <rFont val="宋体"/>
        <family val="2"/>
        <charset val="134"/>
        <scheme val="minor"/>
      </rPr>
      <t/>
    </r>
  </si>
  <si>
    <r>
      <t>3</t>
    </r>
    <r>
      <rPr>
        <sz val="11"/>
        <color theme="1"/>
        <rFont val="宋体"/>
        <family val="3"/>
        <charset val="134"/>
        <scheme val="minor"/>
      </rPr>
      <t>-1015</t>
    </r>
    <r>
      <rPr>
        <sz val="11"/>
        <color theme="1"/>
        <rFont val="宋体"/>
        <family val="2"/>
        <charset val="134"/>
        <scheme val="minor"/>
      </rPr>
      <t/>
    </r>
  </si>
  <si>
    <r>
      <t>3</t>
    </r>
    <r>
      <rPr>
        <sz val="11"/>
        <color theme="1"/>
        <rFont val="宋体"/>
        <family val="3"/>
        <charset val="134"/>
        <scheme val="minor"/>
      </rPr>
      <t>-1016</t>
    </r>
    <r>
      <rPr>
        <sz val="11"/>
        <color theme="1"/>
        <rFont val="宋体"/>
        <family val="2"/>
        <charset val="134"/>
        <scheme val="minor"/>
      </rPr>
      <t/>
    </r>
  </si>
  <si>
    <r>
      <t>3</t>
    </r>
    <r>
      <rPr>
        <sz val="11"/>
        <color theme="1"/>
        <rFont val="宋体"/>
        <family val="3"/>
        <charset val="134"/>
        <scheme val="minor"/>
      </rPr>
      <t>-1017</t>
    </r>
    <r>
      <rPr>
        <sz val="11"/>
        <color theme="1"/>
        <rFont val="宋体"/>
        <family val="2"/>
        <charset val="134"/>
        <scheme val="minor"/>
      </rPr>
      <t/>
    </r>
  </si>
  <si>
    <r>
      <t>3</t>
    </r>
    <r>
      <rPr>
        <sz val="11"/>
        <color theme="1"/>
        <rFont val="宋体"/>
        <family val="3"/>
        <charset val="134"/>
        <scheme val="minor"/>
      </rPr>
      <t>-1018</t>
    </r>
    <r>
      <rPr>
        <sz val="11"/>
        <color theme="1"/>
        <rFont val="宋体"/>
        <family val="2"/>
        <charset val="134"/>
        <scheme val="minor"/>
      </rPr>
      <t/>
    </r>
  </si>
  <si>
    <r>
      <t>3</t>
    </r>
    <r>
      <rPr>
        <sz val="11"/>
        <color theme="1"/>
        <rFont val="宋体"/>
        <family val="3"/>
        <charset val="134"/>
        <scheme val="minor"/>
      </rPr>
      <t>-1019</t>
    </r>
    <r>
      <rPr>
        <sz val="11"/>
        <color theme="1"/>
        <rFont val="宋体"/>
        <family val="2"/>
        <charset val="134"/>
        <scheme val="minor"/>
      </rPr>
      <t/>
    </r>
  </si>
  <si>
    <r>
      <t>3</t>
    </r>
    <r>
      <rPr>
        <sz val="11"/>
        <color theme="1"/>
        <rFont val="宋体"/>
        <family val="3"/>
        <charset val="134"/>
        <scheme val="minor"/>
      </rPr>
      <t>-1020</t>
    </r>
    <r>
      <rPr>
        <sz val="11"/>
        <color theme="1"/>
        <rFont val="宋体"/>
        <family val="2"/>
        <charset val="134"/>
        <scheme val="minor"/>
      </rPr>
      <t/>
    </r>
  </si>
  <si>
    <r>
      <t>3</t>
    </r>
    <r>
      <rPr>
        <sz val="11"/>
        <color theme="1"/>
        <rFont val="宋体"/>
        <family val="3"/>
        <charset val="134"/>
        <scheme val="minor"/>
      </rPr>
      <t>-1021</t>
    </r>
    <r>
      <rPr>
        <sz val="11"/>
        <color theme="1"/>
        <rFont val="宋体"/>
        <family val="2"/>
        <charset val="134"/>
        <scheme val="minor"/>
      </rPr>
      <t/>
    </r>
  </si>
  <si>
    <r>
      <t>3</t>
    </r>
    <r>
      <rPr>
        <sz val="11"/>
        <color theme="1"/>
        <rFont val="宋体"/>
        <family val="3"/>
        <charset val="134"/>
        <scheme val="minor"/>
      </rPr>
      <t>-1022</t>
    </r>
    <r>
      <rPr>
        <sz val="11"/>
        <color theme="1"/>
        <rFont val="宋体"/>
        <family val="2"/>
        <charset val="134"/>
        <scheme val="minor"/>
      </rPr>
      <t/>
    </r>
  </si>
  <si>
    <r>
      <t>3</t>
    </r>
    <r>
      <rPr>
        <sz val="11"/>
        <color theme="1"/>
        <rFont val="宋体"/>
        <family val="3"/>
        <charset val="134"/>
        <scheme val="minor"/>
      </rPr>
      <t>-1023</t>
    </r>
    <r>
      <rPr>
        <sz val="11"/>
        <color theme="1"/>
        <rFont val="宋体"/>
        <family val="2"/>
        <charset val="134"/>
        <scheme val="minor"/>
      </rPr>
      <t/>
    </r>
  </si>
  <si>
    <r>
      <t>3</t>
    </r>
    <r>
      <rPr>
        <sz val="11"/>
        <color theme="1"/>
        <rFont val="宋体"/>
        <family val="3"/>
        <charset val="134"/>
        <scheme val="minor"/>
      </rPr>
      <t>-1024</t>
    </r>
    <r>
      <rPr>
        <sz val="11"/>
        <color theme="1"/>
        <rFont val="宋体"/>
        <family val="2"/>
        <charset val="134"/>
        <scheme val="minor"/>
      </rPr>
      <t/>
    </r>
  </si>
  <si>
    <r>
      <t>3</t>
    </r>
    <r>
      <rPr>
        <sz val="11"/>
        <color theme="1"/>
        <rFont val="宋体"/>
        <family val="3"/>
        <charset val="134"/>
        <scheme val="minor"/>
      </rPr>
      <t>-1025</t>
    </r>
    <r>
      <rPr>
        <sz val="11"/>
        <color theme="1"/>
        <rFont val="宋体"/>
        <family val="2"/>
        <charset val="134"/>
        <scheme val="minor"/>
      </rPr>
      <t/>
    </r>
  </si>
  <si>
    <r>
      <t>3</t>
    </r>
    <r>
      <rPr>
        <sz val="11"/>
        <color theme="1"/>
        <rFont val="宋体"/>
        <family val="3"/>
        <charset val="134"/>
        <scheme val="minor"/>
      </rPr>
      <t>-1026</t>
    </r>
    <r>
      <rPr>
        <sz val="11"/>
        <color theme="1"/>
        <rFont val="宋体"/>
        <family val="2"/>
        <charset val="134"/>
        <scheme val="minor"/>
      </rPr>
      <t/>
    </r>
  </si>
  <si>
    <r>
      <t>3</t>
    </r>
    <r>
      <rPr>
        <sz val="11"/>
        <color theme="1"/>
        <rFont val="宋体"/>
        <family val="3"/>
        <charset val="134"/>
        <scheme val="minor"/>
      </rPr>
      <t>-1027</t>
    </r>
    <r>
      <rPr>
        <sz val="11"/>
        <color theme="1"/>
        <rFont val="宋体"/>
        <family val="2"/>
        <charset val="134"/>
        <scheme val="minor"/>
      </rPr>
      <t/>
    </r>
  </si>
  <si>
    <r>
      <t>3</t>
    </r>
    <r>
      <rPr>
        <sz val="11"/>
        <color theme="1"/>
        <rFont val="宋体"/>
        <family val="3"/>
        <charset val="134"/>
        <scheme val="minor"/>
      </rPr>
      <t>-1028</t>
    </r>
    <r>
      <rPr>
        <sz val="11"/>
        <color theme="1"/>
        <rFont val="宋体"/>
        <family val="2"/>
        <charset val="134"/>
        <scheme val="minor"/>
      </rPr>
      <t/>
    </r>
  </si>
  <si>
    <r>
      <t>3</t>
    </r>
    <r>
      <rPr>
        <sz val="11"/>
        <color theme="1"/>
        <rFont val="宋体"/>
        <family val="3"/>
        <charset val="134"/>
        <scheme val="minor"/>
      </rPr>
      <t>-1029</t>
    </r>
    <r>
      <rPr>
        <sz val="11"/>
        <color theme="1"/>
        <rFont val="宋体"/>
        <family val="2"/>
        <charset val="134"/>
        <scheme val="minor"/>
      </rPr>
      <t/>
    </r>
  </si>
  <si>
    <r>
      <t>3</t>
    </r>
    <r>
      <rPr>
        <sz val="11"/>
        <color theme="1"/>
        <rFont val="宋体"/>
        <family val="3"/>
        <charset val="134"/>
        <scheme val="minor"/>
      </rPr>
      <t>-1030</t>
    </r>
    <r>
      <rPr>
        <sz val="11"/>
        <color theme="1"/>
        <rFont val="宋体"/>
        <family val="2"/>
        <charset val="134"/>
        <scheme val="minor"/>
      </rPr>
      <t/>
    </r>
  </si>
  <si>
    <r>
      <t>3</t>
    </r>
    <r>
      <rPr>
        <sz val="11"/>
        <color theme="1"/>
        <rFont val="宋体"/>
        <family val="3"/>
        <charset val="134"/>
        <scheme val="minor"/>
      </rPr>
      <t>-1031</t>
    </r>
    <r>
      <rPr>
        <sz val="11"/>
        <color theme="1"/>
        <rFont val="宋体"/>
        <family val="2"/>
        <charset val="134"/>
        <scheme val="minor"/>
      </rPr>
      <t/>
    </r>
  </si>
  <si>
    <r>
      <t>3</t>
    </r>
    <r>
      <rPr>
        <sz val="11"/>
        <color theme="1"/>
        <rFont val="宋体"/>
        <family val="3"/>
        <charset val="134"/>
        <scheme val="minor"/>
      </rPr>
      <t>-1032</t>
    </r>
    <r>
      <rPr>
        <sz val="11"/>
        <color theme="1"/>
        <rFont val="宋体"/>
        <family val="2"/>
        <charset val="134"/>
        <scheme val="minor"/>
      </rPr>
      <t/>
    </r>
  </si>
  <si>
    <r>
      <t>3</t>
    </r>
    <r>
      <rPr>
        <sz val="11"/>
        <color theme="1"/>
        <rFont val="宋体"/>
        <family val="3"/>
        <charset val="134"/>
        <scheme val="minor"/>
      </rPr>
      <t>-1033</t>
    </r>
    <r>
      <rPr>
        <sz val="11"/>
        <color theme="1"/>
        <rFont val="宋体"/>
        <family val="2"/>
        <charset val="134"/>
        <scheme val="minor"/>
      </rPr>
      <t/>
    </r>
  </si>
  <si>
    <r>
      <t>3</t>
    </r>
    <r>
      <rPr>
        <sz val="11"/>
        <color theme="1"/>
        <rFont val="宋体"/>
        <family val="3"/>
        <charset val="134"/>
        <scheme val="minor"/>
      </rPr>
      <t>-1034</t>
    </r>
    <r>
      <rPr>
        <sz val="11"/>
        <color theme="1"/>
        <rFont val="宋体"/>
        <family val="2"/>
        <charset val="134"/>
        <scheme val="minor"/>
      </rPr>
      <t/>
    </r>
  </si>
  <si>
    <r>
      <t>3</t>
    </r>
    <r>
      <rPr>
        <sz val="11"/>
        <color theme="1"/>
        <rFont val="宋体"/>
        <family val="3"/>
        <charset val="134"/>
        <scheme val="minor"/>
      </rPr>
      <t>-1035</t>
    </r>
    <r>
      <rPr>
        <sz val="11"/>
        <color theme="1"/>
        <rFont val="宋体"/>
        <family val="2"/>
        <charset val="134"/>
        <scheme val="minor"/>
      </rPr>
      <t/>
    </r>
  </si>
  <si>
    <r>
      <t>3</t>
    </r>
    <r>
      <rPr>
        <sz val="11"/>
        <color theme="1"/>
        <rFont val="宋体"/>
        <family val="3"/>
        <charset val="134"/>
        <scheme val="minor"/>
      </rPr>
      <t>-1036</t>
    </r>
    <r>
      <rPr>
        <sz val="11"/>
        <color theme="1"/>
        <rFont val="宋体"/>
        <family val="2"/>
        <charset val="134"/>
        <scheme val="minor"/>
      </rPr>
      <t/>
    </r>
  </si>
  <si>
    <r>
      <t>3</t>
    </r>
    <r>
      <rPr>
        <sz val="11"/>
        <color theme="1"/>
        <rFont val="宋体"/>
        <family val="3"/>
        <charset val="134"/>
        <scheme val="minor"/>
      </rPr>
      <t>-1037</t>
    </r>
    <r>
      <rPr>
        <sz val="11"/>
        <color theme="1"/>
        <rFont val="宋体"/>
        <family val="2"/>
        <charset val="134"/>
        <scheme val="minor"/>
      </rPr>
      <t/>
    </r>
  </si>
  <si>
    <r>
      <t>3</t>
    </r>
    <r>
      <rPr>
        <sz val="11"/>
        <color theme="1"/>
        <rFont val="宋体"/>
        <family val="3"/>
        <charset val="134"/>
        <scheme val="minor"/>
      </rPr>
      <t>-1038</t>
    </r>
    <r>
      <rPr>
        <sz val="11"/>
        <color theme="1"/>
        <rFont val="宋体"/>
        <family val="2"/>
        <charset val="134"/>
        <scheme val="minor"/>
      </rPr>
      <t/>
    </r>
  </si>
  <si>
    <r>
      <t>3</t>
    </r>
    <r>
      <rPr>
        <sz val="11"/>
        <color theme="1"/>
        <rFont val="宋体"/>
        <family val="3"/>
        <charset val="134"/>
        <scheme val="minor"/>
      </rPr>
      <t>-1039</t>
    </r>
    <r>
      <rPr>
        <sz val="11"/>
        <color theme="1"/>
        <rFont val="宋体"/>
        <family val="2"/>
        <charset val="134"/>
        <scheme val="minor"/>
      </rPr>
      <t/>
    </r>
  </si>
  <si>
    <r>
      <t>3</t>
    </r>
    <r>
      <rPr>
        <sz val="11"/>
        <color theme="1"/>
        <rFont val="宋体"/>
        <family val="3"/>
        <charset val="134"/>
        <scheme val="minor"/>
      </rPr>
      <t>-1040</t>
    </r>
    <r>
      <rPr>
        <sz val="11"/>
        <color theme="1"/>
        <rFont val="宋体"/>
        <family val="2"/>
        <charset val="134"/>
        <scheme val="minor"/>
      </rPr>
      <t/>
    </r>
  </si>
  <si>
    <r>
      <t>3</t>
    </r>
    <r>
      <rPr>
        <sz val="11"/>
        <color theme="1"/>
        <rFont val="宋体"/>
        <family val="3"/>
        <charset val="134"/>
        <scheme val="minor"/>
      </rPr>
      <t>-1041</t>
    </r>
    <r>
      <rPr>
        <sz val="11"/>
        <color theme="1"/>
        <rFont val="宋体"/>
        <family val="2"/>
        <charset val="134"/>
        <scheme val="minor"/>
      </rPr>
      <t/>
    </r>
  </si>
  <si>
    <r>
      <t>3</t>
    </r>
    <r>
      <rPr>
        <sz val="11"/>
        <color theme="1"/>
        <rFont val="宋体"/>
        <family val="3"/>
        <charset val="134"/>
        <scheme val="minor"/>
      </rPr>
      <t>-1042</t>
    </r>
    <r>
      <rPr>
        <sz val="11"/>
        <color theme="1"/>
        <rFont val="宋体"/>
        <family val="2"/>
        <charset val="134"/>
        <scheme val="minor"/>
      </rPr>
      <t/>
    </r>
  </si>
  <si>
    <r>
      <t>3</t>
    </r>
    <r>
      <rPr>
        <sz val="11"/>
        <color theme="1"/>
        <rFont val="宋体"/>
        <family val="3"/>
        <charset val="134"/>
        <scheme val="minor"/>
      </rPr>
      <t>-1043</t>
    </r>
    <r>
      <rPr>
        <sz val="11"/>
        <color theme="1"/>
        <rFont val="宋体"/>
        <family val="2"/>
        <charset val="134"/>
        <scheme val="minor"/>
      </rPr>
      <t/>
    </r>
  </si>
  <si>
    <r>
      <t>3</t>
    </r>
    <r>
      <rPr>
        <sz val="11"/>
        <color theme="1"/>
        <rFont val="宋体"/>
        <family val="3"/>
        <charset val="134"/>
        <scheme val="minor"/>
      </rPr>
      <t>-1044</t>
    </r>
    <r>
      <rPr>
        <sz val="11"/>
        <color theme="1"/>
        <rFont val="宋体"/>
        <family val="2"/>
        <charset val="134"/>
        <scheme val="minor"/>
      </rPr>
      <t/>
    </r>
  </si>
  <si>
    <r>
      <t>3</t>
    </r>
    <r>
      <rPr>
        <sz val="11"/>
        <color theme="1"/>
        <rFont val="宋体"/>
        <family val="3"/>
        <charset val="134"/>
        <scheme val="minor"/>
      </rPr>
      <t>-1045</t>
    </r>
    <r>
      <rPr>
        <sz val="11"/>
        <color theme="1"/>
        <rFont val="宋体"/>
        <family val="2"/>
        <charset val="134"/>
        <scheme val="minor"/>
      </rPr>
      <t/>
    </r>
  </si>
  <si>
    <r>
      <t>3</t>
    </r>
    <r>
      <rPr>
        <sz val="11"/>
        <color theme="1"/>
        <rFont val="宋体"/>
        <family val="3"/>
        <charset val="134"/>
        <scheme val="minor"/>
      </rPr>
      <t>-1046</t>
    </r>
    <r>
      <rPr>
        <sz val="11"/>
        <color theme="1"/>
        <rFont val="宋体"/>
        <family val="2"/>
        <charset val="134"/>
        <scheme val="minor"/>
      </rPr>
      <t/>
    </r>
  </si>
  <si>
    <r>
      <t>3</t>
    </r>
    <r>
      <rPr>
        <sz val="11"/>
        <color theme="1"/>
        <rFont val="宋体"/>
        <family val="3"/>
        <charset val="134"/>
        <scheme val="minor"/>
      </rPr>
      <t>-1047</t>
    </r>
    <r>
      <rPr>
        <sz val="11"/>
        <color theme="1"/>
        <rFont val="宋体"/>
        <family val="2"/>
        <charset val="134"/>
        <scheme val="minor"/>
      </rPr>
      <t/>
    </r>
  </si>
  <si>
    <r>
      <t>3</t>
    </r>
    <r>
      <rPr>
        <sz val="11"/>
        <color theme="1"/>
        <rFont val="宋体"/>
        <family val="3"/>
        <charset val="134"/>
        <scheme val="minor"/>
      </rPr>
      <t>-1048</t>
    </r>
    <r>
      <rPr>
        <sz val="11"/>
        <color theme="1"/>
        <rFont val="宋体"/>
        <family val="2"/>
        <charset val="134"/>
        <scheme val="minor"/>
      </rPr>
      <t/>
    </r>
  </si>
  <si>
    <r>
      <t>3</t>
    </r>
    <r>
      <rPr>
        <sz val="11"/>
        <color theme="1"/>
        <rFont val="宋体"/>
        <family val="3"/>
        <charset val="134"/>
        <scheme val="minor"/>
      </rPr>
      <t>-1049</t>
    </r>
    <r>
      <rPr>
        <sz val="11"/>
        <color theme="1"/>
        <rFont val="宋体"/>
        <family val="2"/>
        <charset val="134"/>
        <scheme val="minor"/>
      </rPr>
      <t/>
    </r>
  </si>
  <si>
    <r>
      <t>3</t>
    </r>
    <r>
      <rPr>
        <sz val="11"/>
        <color theme="1"/>
        <rFont val="宋体"/>
        <family val="3"/>
        <charset val="134"/>
        <scheme val="minor"/>
      </rPr>
      <t>-1050</t>
    </r>
    <r>
      <rPr>
        <sz val="11"/>
        <color theme="1"/>
        <rFont val="宋体"/>
        <family val="2"/>
        <charset val="134"/>
        <scheme val="minor"/>
      </rPr>
      <t/>
    </r>
  </si>
  <si>
    <r>
      <t>3</t>
    </r>
    <r>
      <rPr>
        <sz val="11"/>
        <color theme="1"/>
        <rFont val="宋体"/>
        <family val="3"/>
        <charset val="134"/>
        <scheme val="minor"/>
      </rPr>
      <t>-1051</t>
    </r>
    <r>
      <rPr>
        <sz val="11"/>
        <color theme="1"/>
        <rFont val="宋体"/>
        <family val="2"/>
        <charset val="134"/>
        <scheme val="minor"/>
      </rPr>
      <t/>
    </r>
  </si>
  <si>
    <r>
      <t>3</t>
    </r>
    <r>
      <rPr>
        <sz val="11"/>
        <color theme="1"/>
        <rFont val="宋体"/>
        <family val="3"/>
        <charset val="134"/>
        <scheme val="minor"/>
      </rPr>
      <t>-1052</t>
    </r>
    <r>
      <rPr>
        <sz val="11"/>
        <color theme="1"/>
        <rFont val="宋体"/>
        <family val="2"/>
        <charset val="134"/>
        <scheme val="minor"/>
      </rPr>
      <t/>
    </r>
  </si>
  <si>
    <r>
      <t>4</t>
    </r>
    <r>
      <rPr>
        <sz val="11"/>
        <color theme="1"/>
        <rFont val="宋体"/>
        <family val="3"/>
        <charset val="134"/>
        <scheme val="minor"/>
      </rPr>
      <t>-1001</t>
    </r>
    <phoneticPr fontId="144" type="noConversion"/>
  </si>
  <si>
    <r>
      <t>4</t>
    </r>
    <r>
      <rPr>
        <sz val="11"/>
        <color theme="1"/>
        <rFont val="宋体"/>
        <family val="3"/>
        <charset val="134"/>
        <scheme val="minor"/>
      </rPr>
      <t>-1002</t>
    </r>
    <r>
      <rPr>
        <sz val="11"/>
        <color theme="1"/>
        <rFont val="宋体"/>
        <family val="2"/>
        <charset val="134"/>
        <scheme val="minor"/>
      </rPr>
      <t/>
    </r>
  </si>
  <si>
    <r>
      <t>4</t>
    </r>
    <r>
      <rPr>
        <sz val="11"/>
        <color theme="1"/>
        <rFont val="宋体"/>
        <family val="3"/>
        <charset val="134"/>
        <scheme val="minor"/>
      </rPr>
      <t>-1003</t>
    </r>
    <r>
      <rPr>
        <sz val="11"/>
        <color theme="1"/>
        <rFont val="宋体"/>
        <family val="2"/>
        <charset val="134"/>
        <scheme val="minor"/>
      </rPr>
      <t/>
    </r>
  </si>
  <si>
    <r>
      <t>4</t>
    </r>
    <r>
      <rPr>
        <sz val="11"/>
        <color theme="1"/>
        <rFont val="宋体"/>
        <family val="3"/>
        <charset val="134"/>
        <scheme val="minor"/>
      </rPr>
      <t>-1004</t>
    </r>
    <r>
      <rPr>
        <sz val="11"/>
        <color theme="1"/>
        <rFont val="宋体"/>
        <family val="2"/>
        <charset val="134"/>
        <scheme val="minor"/>
      </rPr>
      <t/>
    </r>
  </si>
  <si>
    <r>
      <t>4</t>
    </r>
    <r>
      <rPr>
        <sz val="11"/>
        <color theme="1"/>
        <rFont val="宋体"/>
        <family val="3"/>
        <charset val="134"/>
        <scheme val="minor"/>
      </rPr>
      <t>-1005</t>
    </r>
    <r>
      <rPr>
        <sz val="11"/>
        <color theme="1"/>
        <rFont val="宋体"/>
        <family val="2"/>
        <charset val="134"/>
        <scheme val="minor"/>
      </rPr>
      <t/>
    </r>
  </si>
  <si>
    <r>
      <t>4</t>
    </r>
    <r>
      <rPr>
        <sz val="11"/>
        <color theme="1"/>
        <rFont val="宋体"/>
        <family val="3"/>
        <charset val="134"/>
        <scheme val="minor"/>
      </rPr>
      <t>-1006</t>
    </r>
    <r>
      <rPr>
        <sz val="11"/>
        <color theme="1"/>
        <rFont val="宋体"/>
        <family val="2"/>
        <charset val="134"/>
        <scheme val="minor"/>
      </rPr>
      <t/>
    </r>
  </si>
  <si>
    <r>
      <t>4</t>
    </r>
    <r>
      <rPr>
        <sz val="11"/>
        <color theme="1"/>
        <rFont val="宋体"/>
        <family val="3"/>
        <charset val="134"/>
        <scheme val="minor"/>
      </rPr>
      <t>-1007</t>
    </r>
    <r>
      <rPr>
        <sz val="11"/>
        <color theme="1"/>
        <rFont val="宋体"/>
        <family val="2"/>
        <charset val="134"/>
        <scheme val="minor"/>
      </rPr>
      <t/>
    </r>
  </si>
  <si>
    <r>
      <t>4</t>
    </r>
    <r>
      <rPr>
        <sz val="11"/>
        <color theme="1"/>
        <rFont val="宋体"/>
        <family val="3"/>
        <charset val="134"/>
        <scheme val="minor"/>
      </rPr>
      <t>-1008</t>
    </r>
    <r>
      <rPr>
        <sz val="11"/>
        <color theme="1"/>
        <rFont val="宋体"/>
        <family val="2"/>
        <charset val="134"/>
        <scheme val="minor"/>
      </rPr>
      <t/>
    </r>
  </si>
  <si>
    <r>
      <t>4</t>
    </r>
    <r>
      <rPr>
        <sz val="11"/>
        <color theme="1"/>
        <rFont val="宋体"/>
        <family val="3"/>
        <charset val="134"/>
        <scheme val="minor"/>
      </rPr>
      <t>-1009</t>
    </r>
    <r>
      <rPr>
        <sz val="11"/>
        <color theme="1"/>
        <rFont val="宋体"/>
        <family val="2"/>
        <charset val="134"/>
        <scheme val="minor"/>
      </rPr>
      <t/>
    </r>
  </si>
  <si>
    <r>
      <t>4</t>
    </r>
    <r>
      <rPr>
        <sz val="11"/>
        <color theme="1"/>
        <rFont val="宋体"/>
        <family val="3"/>
        <charset val="134"/>
        <scheme val="minor"/>
      </rPr>
      <t>-1010</t>
    </r>
    <r>
      <rPr>
        <sz val="11"/>
        <color theme="1"/>
        <rFont val="宋体"/>
        <family val="2"/>
        <charset val="134"/>
        <scheme val="minor"/>
      </rPr>
      <t/>
    </r>
  </si>
  <si>
    <r>
      <t>4</t>
    </r>
    <r>
      <rPr>
        <sz val="11"/>
        <color theme="1"/>
        <rFont val="宋体"/>
        <family val="3"/>
        <charset val="134"/>
        <scheme val="minor"/>
      </rPr>
      <t>-1011</t>
    </r>
    <r>
      <rPr>
        <sz val="11"/>
        <color theme="1"/>
        <rFont val="宋体"/>
        <family val="2"/>
        <charset val="134"/>
        <scheme val="minor"/>
      </rPr>
      <t/>
    </r>
  </si>
  <si>
    <r>
      <t>4</t>
    </r>
    <r>
      <rPr>
        <sz val="11"/>
        <color theme="1"/>
        <rFont val="宋体"/>
        <family val="3"/>
        <charset val="134"/>
        <scheme val="minor"/>
      </rPr>
      <t>-1012</t>
    </r>
    <r>
      <rPr>
        <sz val="11"/>
        <color theme="1"/>
        <rFont val="宋体"/>
        <family val="2"/>
        <charset val="134"/>
        <scheme val="minor"/>
      </rPr>
      <t/>
    </r>
  </si>
  <si>
    <r>
      <t>4</t>
    </r>
    <r>
      <rPr>
        <sz val="11"/>
        <color theme="1"/>
        <rFont val="宋体"/>
        <family val="3"/>
        <charset val="134"/>
        <scheme val="minor"/>
      </rPr>
      <t>-1013</t>
    </r>
    <r>
      <rPr>
        <sz val="11"/>
        <color theme="1"/>
        <rFont val="宋体"/>
        <family val="2"/>
        <charset val="134"/>
        <scheme val="minor"/>
      </rPr>
      <t/>
    </r>
  </si>
  <si>
    <r>
      <t>4</t>
    </r>
    <r>
      <rPr>
        <sz val="11"/>
        <color theme="1"/>
        <rFont val="宋体"/>
        <family val="3"/>
        <charset val="134"/>
        <scheme val="minor"/>
      </rPr>
      <t>-1014</t>
    </r>
    <r>
      <rPr>
        <sz val="11"/>
        <color theme="1"/>
        <rFont val="宋体"/>
        <family val="2"/>
        <charset val="134"/>
        <scheme val="minor"/>
      </rPr>
      <t/>
    </r>
  </si>
  <si>
    <r>
      <t>4</t>
    </r>
    <r>
      <rPr>
        <sz val="11"/>
        <color theme="1"/>
        <rFont val="宋体"/>
        <family val="3"/>
        <charset val="134"/>
        <scheme val="minor"/>
      </rPr>
      <t>-1015</t>
    </r>
    <r>
      <rPr>
        <sz val="11"/>
        <color theme="1"/>
        <rFont val="宋体"/>
        <family val="2"/>
        <charset val="134"/>
        <scheme val="minor"/>
      </rPr>
      <t/>
    </r>
  </si>
  <si>
    <r>
      <t>4</t>
    </r>
    <r>
      <rPr>
        <sz val="11"/>
        <color theme="1"/>
        <rFont val="宋体"/>
        <family val="3"/>
        <charset val="134"/>
        <scheme val="minor"/>
      </rPr>
      <t>-1016</t>
    </r>
    <r>
      <rPr>
        <sz val="11"/>
        <color theme="1"/>
        <rFont val="宋体"/>
        <family val="2"/>
        <charset val="134"/>
        <scheme val="minor"/>
      </rPr>
      <t/>
    </r>
  </si>
  <si>
    <r>
      <t>4</t>
    </r>
    <r>
      <rPr>
        <sz val="11"/>
        <color theme="1"/>
        <rFont val="宋体"/>
        <family val="3"/>
        <charset val="134"/>
        <scheme val="minor"/>
      </rPr>
      <t>-1017</t>
    </r>
    <r>
      <rPr>
        <sz val="11"/>
        <color theme="1"/>
        <rFont val="宋体"/>
        <family val="2"/>
        <charset val="134"/>
        <scheme val="minor"/>
      </rPr>
      <t/>
    </r>
  </si>
  <si>
    <r>
      <t>4</t>
    </r>
    <r>
      <rPr>
        <sz val="11"/>
        <color theme="1"/>
        <rFont val="宋体"/>
        <family val="3"/>
        <charset val="134"/>
        <scheme val="minor"/>
      </rPr>
      <t>-1018</t>
    </r>
    <r>
      <rPr>
        <sz val="11"/>
        <color theme="1"/>
        <rFont val="宋体"/>
        <family val="2"/>
        <charset val="134"/>
        <scheme val="minor"/>
      </rPr>
      <t/>
    </r>
  </si>
  <si>
    <r>
      <t>4</t>
    </r>
    <r>
      <rPr>
        <sz val="11"/>
        <color theme="1"/>
        <rFont val="宋体"/>
        <family val="3"/>
        <charset val="134"/>
        <scheme val="minor"/>
      </rPr>
      <t>-1019</t>
    </r>
    <r>
      <rPr>
        <sz val="11"/>
        <color theme="1"/>
        <rFont val="宋体"/>
        <family val="2"/>
        <charset val="134"/>
        <scheme val="minor"/>
      </rPr>
      <t/>
    </r>
  </si>
  <si>
    <r>
      <t>4</t>
    </r>
    <r>
      <rPr>
        <sz val="11"/>
        <color theme="1"/>
        <rFont val="宋体"/>
        <family val="3"/>
        <charset val="134"/>
        <scheme val="minor"/>
      </rPr>
      <t>-1020</t>
    </r>
    <r>
      <rPr>
        <sz val="11"/>
        <color theme="1"/>
        <rFont val="宋体"/>
        <family val="2"/>
        <charset val="134"/>
        <scheme val="minor"/>
      </rPr>
      <t/>
    </r>
  </si>
  <si>
    <r>
      <t>4</t>
    </r>
    <r>
      <rPr>
        <sz val="11"/>
        <color theme="1"/>
        <rFont val="宋体"/>
        <family val="3"/>
        <charset val="134"/>
        <scheme val="minor"/>
      </rPr>
      <t>-1021</t>
    </r>
    <r>
      <rPr>
        <sz val="11"/>
        <color theme="1"/>
        <rFont val="宋体"/>
        <family val="2"/>
        <charset val="134"/>
        <scheme val="minor"/>
      </rPr>
      <t/>
    </r>
  </si>
  <si>
    <r>
      <t>4</t>
    </r>
    <r>
      <rPr>
        <sz val="11"/>
        <color theme="1"/>
        <rFont val="宋体"/>
        <family val="3"/>
        <charset val="134"/>
        <scheme val="minor"/>
      </rPr>
      <t>-1022</t>
    </r>
    <r>
      <rPr>
        <sz val="11"/>
        <color theme="1"/>
        <rFont val="宋体"/>
        <family val="2"/>
        <charset val="134"/>
        <scheme val="minor"/>
      </rPr>
      <t/>
    </r>
  </si>
  <si>
    <r>
      <t>4</t>
    </r>
    <r>
      <rPr>
        <sz val="11"/>
        <color theme="1"/>
        <rFont val="宋体"/>
        <family val="3"/>
        <charset val="134"/>
        <scheme val="minor"/>
      </rPr>
      <t>-1023</t>
    </r>
    <r>
      <rPr>
        <sz val="11"/>
        <color theme="1"/>
        <rFont val="宋体"/>
        <family val="2"/>
        <charset val="134"/>
        <scheme val="minor"/>
      </rPr>
      <t/>
    </r>
  </si>
  <si>
    <r>
      <t>4</t>
    </r>
    <r>
      <rPr>
        <sz val="11"/>
        <color theme="1"/>
        <rFont val="宋体"/>
        <family val="3"/>
        <charset val="134"/>
        <scheme val="minor"/>
      </rPr>
      <t>-1024</t>
    </r>
    <r>
      <rPr>
        <sz val="11"/>
        <color theme="1"/>
        <rFont val="宋体"/>
        <family val="2"/>
        <charset val="134"/>
        <scheme val="minor"/>
      </rPr>
      <t/>
    </r>
  </si>
  <si>
    <r>
      <t>4</t>
    </r>
    <r>
      <rPr>
        <sz val="11"/>
        <color theme="1"/>
        <rFont val="宋体"/>
        <family val="3"/>
        <charset val="134"/>
        <scheme val="minor"/>
      </rPr>
      <t>-1025</t>
    </r>
    <r>
      <rPr>
        <sz val="11"/>
        <color theme="1"/>
        <rFont val="宋体"/>
        <family val="2"/>
        <charset val="134"/>
        <scheme val="minor"/>
      </rPr>
      <t/>
    </r>
  </si>
  <si>
    <r>
      <t>4</t>
    </r>
    <r>
      <rPr>
        <sz val="11"/>
        <color theme="1"/>
        <rFont val="宋体"/>
        <family val="3"/>
        <charset val="134"/>
        <scheme val="minor"/>
      </rPr>
      <t>-1026</t>
    </r>
    <r>
      <rPr>
        <sz val="11"/>
        <color theme="1"/>
        <rFont val="宋体"/>
        <family val="2"/>
        <charset val="134"/>
        <scheme val="minor"/>
      </rPr>
      <t/>
    </r>
  </si>
  <si>
    <r>
      <t>4</t>
    </r>
    <r>
      <rPr>
        <sz val="11"/>
        <color theme="1"/>
        <rFont val="宋体"/>
        <family val="3"/>
        <charset val="134"/>
        <scheme val="minor"/>
      </rPr>
      <t>-1027</t>
    </r>
    <r>
      <rPr>
        <sz val="11"/>
        <color theme="1"/>
        <rFont val="宋体"/>
        <family val="2"/>
        <charset val="134"/>
        <scheme val="minor"/>
      </rPr>
      <t/>
    </r>
  </si>
  <si>
    <r>
      <t>4</t>
    </r>
    <r>
      <rPr>
        <sz val="11"/>
        <color theme="1"/>
        <rFont val="宋体"/>
        <family val="3"/>
        <charset val="134"/>
        <scheme val="minor"/>
      </rPr>
      <t>-1028</t>
    </r>
    <r>
      <rPr>
        <sz val="11"/>
        <color theme="1"/>
        <rFont val="宋体"/>
        <family val="2"/>
        <charset val="134"/>
        <scheme val="minor"/>
      </rPr>
      <t/>
    </r>
  </si>
  <si>
    <r>
      <t>4</t>
    </r>
    <r>
      <rPr>
        <sz val="11"/>
        <color theme="1"/>
        <rFont val="宋体"/>
        <family val="3"/>
        <charset val="134"/>
        <scheme val="minor"/>
      </rPr>
      <t>-1029</t>
    </r>
    <r>
      <rPr>
        <sz val="11"/>
        <color theme="1"/>
        <rFont val="宋体"/>
        <family val="2"/>
        <charset val="134"/>
        <scheme val="minor"/>
      </rPr>
      <t/>
    </r>
  </si>
  <si>
    <r>
      <t>4</t>
    </r>
    <r>
      <rPr>
        <sz val="11"/>
        <color theme="1"/>
        <rFont val="宋体"/>
        <family val="3"/>
        <charset val="134"/>
        <scheme val="minor"/>
      </rPr>
      <t>-1030</t>
    </r>
    <r>
      <rPr>
        <sz val="11"/>
        <color theme="1"/>
        <rFont val="宋体"/>
        <family val="2"/>
        <charset val="134"/>
        <scheme val="minor"/>
      </rPr>
      <t/>
    </r>
  </si>
  <si>
    <r>
      <t>4</t>
    </r>
    <r>
      <rPr>
        <sz val="11"/>
        <color theme="1"/>
        <rFont val="宋体"/>
        <family val="3"/>
        <charset val="134"/>
        <scheme val="minor"/>
      </rPr>
      <t>-1031</t>
    </r>
    <r>
      <rPr>
        <sz val="11"/>
        <color theme="1"/>
        <rFont val="宋体"/>
        <family val="2"/>
        <charset val="134"/>
        <scheme val="minor"/>
      </rPr>
      <t/>
    </r>
  </si>
  <si>
    <r>
      <t>4</t>
    </r>
    <r>
      <rPr>
        <sz val="11"/>
        <color theme="1"/>
        <rFont val="宋体"/>
        <family val="3"/>
        <charset val="134"/>
        <scheme val="minor"/>
      </rPr>
      <t>-1032</t>
    </r>
    <r>
      <rPr>
        <sz val="11"/>
        <color theme="1"/>
        <rFont val="宋体"/>
        <family val="2"/>
        <charset val="134"/>
        <scheme val="minor"/>
      </rPr>
      <t/>
    </r>
  </si>
  <si>
    <r>
      <t>4</t>
    </r>
    <r>
      <rPr>
        <sz val="11"/>
        <color theme="1"/>
        <rFont val="宋体"/>
        <family val="3"/>
        <charset val="134"/>
        <scheme val="minor"/>
      </rPr>
      <t>-1033</t>
    </r>
    <r>
      <rPr>
        <sz val="11"/>
        <color theme="1"/>
        <rFont val="宋体"/>
        <family val="2"/>
        <charset val="134"/>
        <scheme val="minor"/>
      </rPr>
      <t/>
    </r>
  </si>
  <si>
    <r>
      <t>4</t>
    </r>
    <r>
      <rPr>
        <sz val="11"/>
        <color theme="1"/>
        <rFont val="宋体"/>
        <family val="3"/>
        <charset val="134"/>
        <scheme val="minor"/>
      </rPr>
      <t>-1034</t>
    </r>
    <r>
      <rPr>
        <sz val="11"/>
        <color theme="1"/>
        <rFont val="宋体"/>
        <family val="2"/>
        <charset val="134"/>
        <scheme val="minor"/>
      </rPr>
      <t/>
    </r>
  </si>
  <si>
    <r>
      <t>4</t>
    </r>
    <r>
      <rPr>
        <sz val="11"/>
        <color theme="1"/>
        <rFont val="宋体"/>
        <family val="3"/>
        <charset val="134"/>
        <scheme val="minor"/>
      </rPr>
      <t>-1035</t>
    </r>
    <r>
      <rPr>
        <sz val="11"/>
        <color theme="1"/>
        <rFont val="宋体"/>
        <family val="2"/>
        <charset val="134"/>
        <scheme val="minor"/>
      </rPr>
      <t/>
    </r>
  </si>
  <si>
    <r>
      <t>4</t>
    </r>
    <r>
      <rPr>
        <sz val="11"/>
        <color theme="1"/>
        <rFont val="宋体"/>
        <family val="3"/>
        <charset val="134"/>
        <scheme val="minor"/>
      </rPr>
      <t>-1036</t>
    </r>
    <r>
      <rPr>
        <sz val="11"/>
        <color theme="1"/>
        <rFont val="宋体"/>
        <family val="2"/>
        <charset val="134"/>
        <scheme val="minor"/>
      </rPr>
      <t/>
    </r>
  </si>
  <si>
    <r>
      <t>4</t>
    </r>
    <r>
      <rPr>
        <sz val="11"/>
        <color theme="1"/>
        <rFont val="宋体"/>
        <family val="3"/>
        <charset val="134"/>
        <scheme val="minor"/>
      </rPr>
      <t>-1037</t>
    </r>
    <r>
      <rPr>
        <sz val="11"/>
        <color theme="1"/>
        <rFont val="宋体"/>
        <family val="2"/>
        <charset val="134"/>
        <scheme val="minor"/>
      </rPr>
      <t/>
    </r>
  </si>
  <si>
    <r>
      <t>4</t>
    </r>
    <r>
      <rPr>
        <sz val="11"/>
        <color theme="1"/>
        <rFont val="宋体"/>
        <family val="3"/>
        <charset val="134"/>
        <scheme val="minor"/>
      </rPr>
      <t>-1038</t>
    </r>
    <r>
      <rPr>
        <sz val="11"/>
        <color theme="1"/>
        <rFont val="宋体"/>
        <family val="2"/>
        <charset val="134"/>
        <scheme val="minor"/>
      </rPr>
      <t/>
    </r>
  </si>
  <si>
    <r>
      <t>4</t>
    </r>
    <r>
      <rPr>
        <sz val="11"/>
        <color theme="1"/>
        <rFont val="宋体"/>
        <family val="3"/>
        <charset val="134"/>
        <scheme val="minor"/>
      </rPr>
      <t>-1039</t>
    </r>
    <r>
      <rPr>
        <sz val="11"/>
        <color theme="1"/>
        <rFont val="宋体"/>
        <family val="2"/>
        <charset val="134"/>
        <scheme val="minor"/>
      </rPr>
      <t/>
    </r>
  </si>
  <si>
    <r>
      <t>4</t>
    </r>
    <r>
      <rPr>
        <sz val="11"/>
        <color theme="1"/>
        <rFont val="宋体"/>
        <family val="3"/>
        <charset val="134"/>
        <scheme val="minor"/>
      </rPr>
      <t>-1040</t>
    </r>
    <r>
      <rPr>
        <sz val="11"/>
        <color theme="1"/>
        <rFont val="宋体"/>
        <family val="2"/>
        <charset val="134"/>
        <scheme val="minor"/>
      </rPr>
      <t/>
    </r>
  </si>
  <si>
    <r>
      <t>4</t>
    </r>
    <r>
      <rPr>
        <sz val="11"/>
        <color theme="1"/>
        <rFont val="宋体"/>
        <family val="3"/>
        <charset val="134"/>
        <scheme val="minor"/>
      </rPr>
      <t>-1041</t>
    </r>
    <r>
      <rPr>
        <sz val="11"/>
        <color theme="1"/>
        <rFont val="宋体"/>
        <family val="2"/>
        <charset val="134"/>
        <scheme val="minor"/>
      </rPr>
      <t/>
    </r>
  </si>
  <si>
    <r>
      <t>4</t>
    </r>
    <r>
      <rPr>
        <sz val="11"/>
        <color theme="1"/>
        <rFont val="宋体"/>
        <family val="3"/>
        <charset val="134"/>
        <scheme val="minor"/>
      </rPr>
      <t>-1042</t>
    </r>
    <r>
      <rPr>
        <sz val="11"/>
        <color theme="1"/>
        <rFont val="宋体"/>
        <family val="2"/>
        <charset val="134"/>
        <scheme val="minor"/>
      </rPr>
      <t/>
    </r>
  </si>
  <si>
    <r>
      <t>4</t>
    </r>
    <r>
      <rPr>
        <sz val="11"/>
        <color theme="1"/>
        <rFont val="宋体"/>
        <family val="3"/>
        <charset val="134"/>
        <scheme val="minor"/>
      </rPr>
      <t>-1043</t>
    </r>
    <r>
      <rPr>
        <sz val="11"/>
        <color theme="1"/>
        <rFont val="宋体"/>
        <family val="2"/>
        <charset val="134"/>
        <scheme val="minor"/>
      </rPr>
      <t/>
    </r>
  </si>
  <si>
    <r>
      <t>4</t>
    </r>
    <r>
      <rPr>
        <sz val="11"/>
        <color theme="1"/>
        <rFont val="宋体"/>
        <family val="3"/>
        <charset val="134"/>
        <scheme val="minor"/>
      </rPr>
      <t>-1044</t>
    </r>
    <r>
      <rPr>
        <sz val="11"/>
        <color theme="1"/>
        <rFont val="宋体"/>
        <family val="2"/>
        <charset val="134"/>
        <scheme val="minor"/>
      </rPr>
      <t/>
    </r>
  </si>
  <si>
    <r>
      <t>4</t>
    </r>
    <r>
      <rPr>
        <sz val="11"/>
        <color theme="1"/>
        <rFont val="宋体"/>
        <family val="3"/>
        <charset val="134"/>
        <scheme val="minor"/>
      </rPr>
      <t>-1045</t>
    </r>
    <r>
      <rPr>
        <sz val="11"/>
        <color theme="1"/>
        <rFont val="宋体"/>
        <family val="2"/>
        <charset val="134"/>
        <scheme val="minor"/>
      </rPr>
      <t/>
    </r>
  </si>
  <si>
    <r>
      <t>1</t>
    </r>
    <r>
      <rPr>
        <sz val="11"/>
        <color theme="1"/>
        <rFont val="宋体"/>
        <family val="3"/>
        <charset val="134"/>
        <scheme val="minor"/>
      </rPr>
      <t>-1101</t>
    </r>
    <phoneticPr fontId="144" type="noConversion"/>
  </si>
  <si>
    <r>
      <t>1</t>
    </r>
    <r>
      <rPr>
        <sz val="11"/>
        <color theme="1"/>
        <rFont val="宋体"/>
        <family val="3"/>
        <charset val="134"/>
        <scheme val="minor"/>
      </rPr>
      <t>-1102</t>
    </r>
    <r>
      <rPr>
        <sz val="11"/>
        <color theme="1"/>
        <rFont val="宋体"/>
        <family val="2"/>
        <charset val="134"/>
        <scheme val="minor"/>
      </rPr>
      <t/>
    </r>
  </si>
  <si>
    <r>
      <t>1</t>
    </r>
    <r>
      <rPr>
        <sz val="11"/>
        <color theme="1"/>
        <rFont val="宋体"/>
        <family val="3"/>
        <charset val="134"/>
        <scheme val="minor"/>
      </rPr>
      <t>-1103</t>
    </r>
    <r>
      <rPr>
        <sz val="11"/>
        <color theme="1"/>
        <rFont val="宋体"/>
        <family val="2"/>
        <charset val="134"/>
        <scheme val="minor"/>
      </rPr>
      <t/>
    </r>
  </si>
  <si>
    <r>
      <t>1</t>
    </r>
    <r>
      <rPr>
        <sz val="11"/>
        <color theme="1"/>
        <rFont val="宋体"/>
        <family val="3"/>
        <charset val="134"/>
        <scheme val="minor"/>
      </rPr>
      <t>-1104</t>
    </r>
    <r>
      <rPr>
        <sz val="11"/>
        <color theme="1"/>
        <rFont val="宋体"/>
        <family val="2"/>
        <charset val="134"/>
        <scheme val="minor"/>
      </rPr>
      <t/>
    </r>
  </si>
  <si>
    <r>
      <t>1</t>
    </r>
    <r>
      <rPr>
        <sz val="11"/>
        <color theme="1"/>
        <rFont val="宋体"/>
        <family val="3"/>
        <charset val="134"/>
        <scheme val="minor"/>
      </rPr>
      <t>-1105</t>
    </r>
    <r>
      <rPr>
        <sz val="11"/>
        <color theme="1"/>
        <rFont val="宋体"/>
        <family val="2"/>
        <charset val="134"/>
        <scheme val="minor"/>
      </rPr>
      <t/>
    </r>
  </si>
  <si>
    <r>
      <t>1</t>
    </r>
    <r>
      <rPr>
        <sz val="11"/>
        <color theme="1"/>
        <rFont val="宋体"/>
        <family val="3"/>
        <charset val="134"/>
        <scheme val="minor"/>
      </rPr>
      <t>-1106</t>
    </r>
    <r>
      <rPr>
        <sz val="11"/>
        <color theme="1"/>
        <rFont val="宋体"/>
        <family val="2"/>
        <charset val="134"/>
        <scheme val="minor"/>
      </rPr>
      <t/>
    </r>
  </si>
  <si>
    <r>
      <t>1</t>
    </r>
    <r>
      <rPr>
        <sz val="11"/>
        <color theme="1"/>
        <rFont val="宋体"/>
        <family val="3"/>
        <charset val="134"/>
        <scheme val="minor"/>
      </rPr>
      <t>-1107</t>
    </r>
    <r>
      <rPr>
        <sz val="11"/>
        <color theme="1"/>
        <rFont val="宋体"/>
        <family val="2"/>
        <charset val="134"/>
        <scheme val="minor"/>
      </rPr>
      <t/>
    </r>
  </si>
  <si>
    <r>
      <t>1</t>
    </r>
    <r>
      <rPr>
        <sz val="11"/>
        <color theme="1"/>
        <rFont val="宋体"/>
        <family val="3"/>
        <charset val="134"/>
        <scheme val="minor"/>
      </rPr>
      <t>-1108</t>
    </r>
    <r>
      <rPr>
        <sz val="11"/>
        <color theme="1"/>
        <rFont val="宋体"/>
        <family val="2"/>
        <charset val="134"/>
        <scheme val="minor"/>
      </rPr>
      <t/>
    </r>
  </si>
  <si>
    <r>
      <t>1</t>
    </r>
    <r>
      <rPr>
        <sz val="11"/>
        <color theme="1"/>
        <rFont val="宋体"/>
        <family val="3"/>
        <charset val="134"/>
        <scheme val="minor"/>
      </rPr>
      <t>-1109</t>
    </r>
    <r>
      <rPr>
        <sz val="11"/>
        <color theme="1"/>
        <rFont val="宋体"/>
        <family val="2"/>
        <charset val="134"/>
        <scheme val="minor"/>
      </rPr>
      <t/>
    </r>
  </si>
  <si>
    <r>
      <t>1</t>
    </r>
    <r>
      <rPr>
        <sz val="11"/>
        <color theme="1"/>
        <rFont val="宋体"/>
        <family val="3"/>
        <charset val="134"/>
        <scheme val="minor"/>
      </rPr>
      <t>-1110</t>
    </r>
    <r>
      <rPr>
        <sz val="11"/>
        <color theme="1"/>
        <rFont val="宋体"/>
        <family val="2"/>
        <charset val="134"/>
        <scheme val="minor"/>
      </rPr>
      <t/>
    </r>
  </si>
  <si>
    <r>
      <t>1</t>
    </r>
    <r>
      <rPr>
        <sz val="11"/>
        <color theme="1"/>
        <rFont val="宋体"/>
        <family val="3"/>
        <charset val="134"/>
        <scheme val="minor"/>
      </rPr>
      <t>-1111</t>
    </r>
    <r>
      <rPr>
        <sz val="11"/>
        <color theme="1"/>
        <rFont val="宋体"/>
        <family val="2"/>
        <charset val="134"/>
        <scheme val="minor"/>
      </rPr>
      <t/>
    </r>
  </si>
  <si>
    <r>
      <t>1</t>
    </r>
    <r>
      <rPr>
        <sz val="11"/>
        <color theme="1"/>
        <rFont val="宋体"/>
        <family val="3"/>
        <charset val="134"/>
        <scheme val="minor"/>
      </rPr>
      <t>-1112</t>
    </r>
    <r>
      <rPr>
        <sz val="11"/>
        <color theme="1"/>
        <rFont val="宋体"/>
        <family val="2"/>
        <charset val="134"/>
        <scheme val="minor"/>
      </rPr>
      <t/>
    </r>
  </si>
  <si>
    <r>
      <t>1</t>
    </r>
    <r>
      <rPr>
        <sz val="11"/>
        <color theme="1"/>
        <rFont val="宋体"/>
        <family val="3"/>
        <charset val="134"/>
        <scheme val="minor"/>
      </rPr>
      <t>-1113</t>
    </r>
    <r>
      <rPr>
        <sz val="11"/>
        <color theme="1"/>
        <rFont val="宋体"/>
        <family val="2"/>
        <charset val="134"/>
        <scheme val="minor"/>
      </rPr>
      <t/>
    </r>
  </si>
  <si>
    <r>
      <t>1</t>
    </r>
    <r>
      <rPr>
        <sz val="11"/>
        <color theme="1"/>
        <rFont val="宋体"/>
        <family val="3"/>
        <charset val="134"/>
        <scheme val="minor"/>
      </rPr>
      <t>-1114</t>
    </r>
    <r>
      <rPr>
        <sz val="11"/>
        <color theme="1"/>
        <rFont val="宋体"/>
        <family val="2"/>
        <charset val="134"/>
        <scheme val="minor"/>
      </rPr>
      <t/>
    </r>
  </si>
  <si>
    <r>
      <t>1</t>
    </r>
    <r>
      <rPr>
        <sz val="11"/>
        <color theme="1"/>
        <rFont val="宋体"/>
        <family val="3"/>
        <charset val="134"/>
        <scheme val="minor"/>
      </rPr>
      <t>-1115</t>
    </r>
    <r>
      <rPr>
        <sz val="11"/>
        <color theme="1"/>
        <rFont val="宋体"/>
        <family val="2"/>
        <charset val="134"/>
        <scheme val="minor"/>
      </rPr>
      <t/>
    </r>
  </si>
  <si>
    <r>
      <t>1</t>
    </r>
    <r>
      <rPr>
        <sz val="11"/>
        <color theme="1"/>
        <rFont val="宋体"/>
        <family val="3"/>
        <charset val="134"/>
        <scheme val="minor"/>
      </rPr>
      <t>-1116</t>
    </r>
    <r>
      <rPr>
        <sz val="11"/>
        <color theme="1"/>
        <rFont val="宋体"/>
        <family val="2"/>
        <charset val="134"/>
        <scheme val="minor"/>
      </rPr>
      <t/>
    </r>
  </si>
  <si>
    <r>
      <t>1</t>
    </r>
    <r>
      <rPr>
        <sz val="11"/>
        <color theme="1"/>
        <rFont val="宋体"/>
        <family val="3"/>
        <charset val="134"/>
        <scheme val="minor"/>
      </rPr>
      <t>-1117</t>
    </r>
    <r>
      <rPr>
        <sz val="11"/>
        <color theme="1"/>
        <rFont val="宋体"/>
        <family val="2"/>
        <charset val="134"/>
        <scheme val="minor"/>
      </rPr>
      <t/>
    </r>
  </si>
  <si>
    <r>
      <t>1</t>
    </r>
    <r>
      <rPr>
        <sz val="11"/>
        <color theme="1"/>
        <rFont val="宋体"/>
        <family val="3"/>
        <charset val="134"/>
        <scheme val="minor"/>
      </rPr>
      <t>-1118</t>
    </r>
    <r>
      <rPr>
        <sz val="11"/>
        <color theme="1"/>
        <rFont val="宋体"/>
        <family val="2"/>
        <charset val="134"/>
        <scheme val="minor"/>
      </rPr>
      <t/>
    </r>
  </si>
  <si>
    <r>
      <t>1</t>
    </r>
    <r>
      <rPr>
        <sz val="11"/>
        <color theme="1"/>
        <rFont val="宋体"/>
        <family val="3"/>
        <charset val="134"/>
        <scheme val="minor"/>
      </rPr>
      <t>-1119</t>
    </r>
    <r>
      <rPr>
        <sz val="11"/>
        <color theme="1"/>
        <rFont val="宋体"/>
        <family val="2"/>
        <charset val="134"/>
        <scheme val="minor"/>
      </rPr>
      <t/>
    </r>
  </si>
  <si>
    <r>
      <t>1</t>
    </r>
    <r>
      <rPr>
        <sz val="11"/>
        <color theme="1"/>
        <rFont val="宋体"/>
        <family val="3"/>
        <charset val="134"/>
        <scheme val="minor"/>
      </rPr>
      <t>-1120</t>
    </r>
    <r>
      <rPr>
        <sz val="11"/>
        <color theme="1"/>
        <rFont val="宋体"/>
        <family val="2"/>
        <charset val="134"/>
        <scheme val="minor"/>
      </rPr>
      <t/>
    </r>
  </si>
  <si>
    <r>
      <t>2</t>
    </r>
    <r>
      <rPr>
        <sz val="11"/>
        <color theme="1"/>
        <rFont val="宋体"/>
        <family val="3"/>
        <charset val="134"/>
        <scheme val="minor"/>
      </rPr>
      <t>-1101</t>
    </r>
    <phoneticPr fontId="144" type="noConversion"/>
  </si>
  <si>
    <r>
      <t>2</t>
    </r>
    <r>
      <rPr>
        <sz val="11"/>
        <color theme="1"/>
        <rFont val="宋体"/>
        <family val="3"/>
        <charset val="134"/>
        <scheme val="minor"/>
      </rPr>
      <t>-1102</t>
    </r>
    <r>
      <rPr>
        <sz val="11"/>
        <color theme="1"/>
        <rFont val="宋体"/>
        <family val="2"/>
        <charset val="134"/>
        <scheme val="minor"/>
      </rPr>
      <t/>
    </r>
  </si>
  <si>
    <r>
      <t>2</t>
    </r>
    <r>
      <rPr>
        <sz val="11"/>
        <color theme="1"/>
        <rFont val="宋体"/>
        <family val="3"/>
        <charset val="134"/>
        <scheme val="minor"/>
      </rPr>
      <t>-1103</t>
    </r>
    <r>
      <rPr>
        <sz val="11"/>
        <color theme="1"/>
        <rFont val="宋体"/>
        <family val="2"/>
        <charset val="134"/>
        <scheme val="minor"/>
      </rPr>
      <t/>
    </r>
  </si>
  <si>
    <r>
      <t>2</t>
    </r>
    <r>
      <rPr>
        <sz val="11"/>
        <color theme="1"/>
        <rFont val="宋体"/>
        <family val="3"/>
        <charset val="134"/>
        <scheme val="minor"/>
      </rPr>
      <t>-1104</t>
    </r>
    <r>
      <rPr>
        <sz val="11"/>
        <color theme="1"/>
        <rFont val="宋体"/>
        <family val="2"/>
        <charset val="134"/>
        <scheme val="minor"/>
      </rPr>
      <t/>
    </r>
  </si>
  <si>
    <r>
      <t>2</t>
    </r>
    <r>
      <rPr>
        <sz val="11"/>
        <color theme="1"/>
        <rFont val="宋体"/>
        <family val="3"/>
        <charset val="134"/>
        <scheme val="minor"/>
      </rPr>
      <t>-1105</t>
    </r>
    <r>
      <rPr>
        <sz val="11"/>
        <color theme="1"/>
        <rFont val="宋体"/>
        <family val="2"/>
        <charset val="134"/>
        <scheme val="minor"/>
      </rPr>
      <t/>
    </r>
  </si>
  <si>
    <r>
      <t>2</t>
    </r>
    <r>
      <rPr>
        <sz val="11"/>
        <color theme="1"/>
        <rFont val="宋体"/>
        <family val="3"/>
        <charset val="134"/>
        <scheme val="minor"/>
      </rPr>
      <t>-1106</t>
    </r>
    <r>
      <rPr>
        <sz val="11"/>
        <color theme="1"/>
        <rFont val="宋体"/>
        <family val="2"/>
        <charset val="134"/>
        <scheme val="minor"/>
      </rPr>
      <t/>
    </r>
  </si>
  <si>
    <r>
      <t>2</t>
    </r>
    <r>
      <rPr>
        <sz val="11"/>
        <color theme="1"/>
        <rFont val="宋体"/>
        <family val="3"/>
        <charset val="134"/>
        <scheme val="minor"/>
      </rPr>
      <t>-1107</t>
    </r>
    <r>
      <rPr>
        <sz val="11"/>
        <color theme="1"/>
        <rFont val="宋体"/>
        <family val="2"/>
        <charset val="134"/>
        <scheme val="minor"/>
      </rPr>
      <t/>
    </r>
  </si>
  <si>
    <r>
      <t>2</t>
    </r>
    <r>
      <rPr>
        <sz val="11"/>
        <color theme="1"/>
        <rFont val="宋体"/>
        <family val="3"/>
        <charset val="134"/>
        <scheme val="minor"/>
      </rPr>
      <t>-1108</t>
    </r>
    <r>
      <rPr>
        <sz val="11"/>
        <color theme="1"/>
        <rFont val="宋体"/>
        <family val="2"/>
        <charset val="134"/>
        <scheme val="minor"/>
      </rPr>
      <t/>
    </r>
  </si>
  <si>
    <r>
      <t>2</t>
    </r>
    <r>
      <rPr>
        <sz val="11"/>
        <color theme="1"/>
        <rFont val="宋体"/>
        <family val="3"/>
        <charset val="134"/>
        <scheme val="minor"/>
      </rPr>
      <t>-1109</t>
    </r>
    <r>
      <rPr>
        <sz val="11"/>
        <color theme="1"/>
        <rFont val="宋体"/>
        <family val="2"/>
        <charset val="134"/>
        <scheme val="minor"/>
      </rPr>
      <t/>
    </r>
  </si>
  <si>
    <r>
      <t>2</t>
    </r>
    <r>
      <rPr>
        <sz val="11"/>
        <color theme="1"/>
        <rFont val="宋体"/>
        <family val="3"/>
        <charset val="134"/>
        <scheme val="minor"/>
      </rPr>
      <t>-1110</t>
    </r>
    <r>
      <rPr>
        <sz val="11"/>
        <color theme="1"/>
        <rFont val="宋体"/>
        <family val="2"/>
        <charset val="134"/>
        <scheme val="minor"/>
      </rPr>
      <t/>
    </r>
  </si>
  <si>
    <r>
      <t>2</t>
    </r>
    <r>
      <rPr>
        <sz val="11"/>
        <color theme="1"/>
        <rFont val="宋体"/>
        <family val="3"/>
        <charset val="134"/>
        <scheme val="minor"/>
      </rPr>
      <t>-1111</t>
    </r>
    <r>
      <rPr>
        <sz val="11"/>
        <color theme="1"/>
        <rFont val="宋体"/>
        <family val="2"/>
        <charset val="134"/>
        <scheme val="minor"/>
      </rPr>
      <t/>
    </r>
  </si>
  <si>
    <r>
      <t>2</t>
    </r>
    <r>
      <rPr>
        <sz val="11"/>
        <color theme="1"/>
        <rFont val="宋体"/>
        <family val="3"/>
        <charset val="134"/>
        <scheme val="minor"/>
      </rPr>
      <t>-1112</t>
    </r>
    <r>
      <rPr>
        <sz val="11"/>
        <color theme="1"/>
        <rFont val="宋体"/>
        <family val="2"/>
        <charset val="134"/>
        <scheme val="minor"/>
      </rPr>
      <t/>
    </r>
  </si>
  <si>
    <r>
      <t>2</t>
    </r>
    <r>
      <rPr>
        <sz val="11"/>
        <color theme="1"/>
        <rFont val="宋体"/>
        <family val="3"/>
        <charset val="134"/>
        <scheme val="minor"/>
      </rPr>
      <t>-1113</t>
    </r>
    <r>
      <rPr>
        <sz val="11"/>
        <color theme="1"/>
        <rFont val="宋体"/>
        <family val="2"/>
        <charset val="134"/>
        <scheme val="minor"/>
      </rPr>
      <t/>
    </r>
  </si>
  <si>
    <r>
      <t>2</t>
    </r>
    <r>
      <rPr>
        <sz val="11"/>
        <color theme="1"/>
        <rFont val="宋体"/>
        <family val="3"/>
        <charset val="134"/>
        <scheme val="minor"/>
      </rPr>
      <t>-1114</t>
    </r>
    <r>
      <rPr>
        <sz val="11"/>
        <color theme="1"/>
        <rFont val="宋体"/>
        <family val="2"/>
        <charset val="134"/>
        <scheme val="minor"/>
      </rPr>
      <t/>
    </r>
  </si>
  <si>
    <r>
      <t>2</t>
    </r>
    <r>
      <rPr>
        <sz val="11"/>
        <color theme="1"/>
        <rFont val="宋体"/>
        <family val="3"/>
        <charset val="134"/>
        <scheme val="minor"/>
      </rPr>
      <t>-1115</t>
    </r>
    <r>
      <rPr>
        <sz val="11"/>
        <color theme="1"/>
        <rFont val="宋体"/>
        <family val="2"/>
        <charset val="134"/>
        <scheme val="minor"/>
      </rPr>
      <t/>
    </r>
  </si>
  <si>
    <r>
      <t>2</t>
    </r>
    <r>
      <rPr>
        <sz val="11"/>
        <color theme="1"/>
        <rFont val="宋体"/>
        <family val="3"/>
        <charset val="134"/>
        <scheme val="minor"/>
      </rPr>
      <t>-1116</t>
    </r>
    <r>
      <rPr>
        <sz val="11"/>
        <color theme="1"/>
        <rFont val="宋体"/>
        <family val="2"/>
        <charset val="134"/>
        <scheme val="minor"/>
      </rPr>
      <t/>
    </r>
  </si>
  <si>
    <r>
      <t>2</t>
    </r>
    <r>
      <rPr>
        <sz val="11"/>
        <color theme="1"/>
        <rFont val="宋体"/>
        <family val="3"/>
        <charset val="134"/>
        <scheme val="minor"/>
      </rPr>
      <t>-1117</t>
    </r>
    <r>
      <rPr>
        <sz val="11"/>
        <color theme="1"/>
        <rFont val="宋体"/>
        <family val="2"/>
        <charset val="134"/>
        <scheme val="minor"/>
      </rPr>
      <t/>
    </r>
  </si>
  <si>
    <r>
      <t>2</t>
    </r>
    <r>
      <rPr>
        <sz val="11"/>
        <color theme="1"/>
        <rFont val="宋体"/>
        <family val="3"/>
        <charset val="134"/>
        <scheme val="minor"/>
      </rPr>
      <t>-1118</t>
    </r>
    <r>
      <rPr>
        <sz val="11"/>
        <color theme="1"/>
        <rFont val="宋体"/>
        <family val="2"/>
        <charset val="134"/>
        <scheme val="minor"/>
      </rPr>
      <t/>
    </r>
  </si>
  <si>
    <r>
      <t>2</t>
    </r>
    <r>
      <rPr>
        <sz val="11"/>
        <color theme="1"/>
        <rFont val="宋体"/>
        <family val="3"/>
        <charset val="134"/>
        <scheme val="minor"/>
      </rPr>
      <t>-1119</t>
    </r>
    <r>
      <rPr>
        <sz val="11"/>
        <color theme="1"/>
        <rFont val="宋体"/>
        <family val="2"/>
        <charset val="134"/>
        <scheme val="minor"/>
      </rPr>
      <t/>
    </r>
  </si>
  <si>
    <r>
      <t>2</t>
    </r>
    <r>
      <rPr>
        <sz val="11"/>
        <color theme="1"/>
        <rFont val="宋体"/>
        <family val="3"/>
        <charset val="134"/>
        <scheme val="minor"/>
      </rPr>
      <t>-1120</t>
    </r>
    <r>
      <rPr>
        <sz val="11"/>
        <color theme="1"/>
        <rFont val="宋体"/>
        <family val="2"/>
        <charset val="134"/>
        <scheme val="minor"/>
      </rPr>
      <t/>
    </r>
  </si>
  <si>
    <r>
      <t>3</t>
    </r>
    <r>
      <rPr>
        <sz val="11"/>
        <color theme="1"/>
        <rFont val="宋体"/>
        <family val="3"/>
        <charset val="134"/>
        <scheme val="minor"/>
      </rPr>
      <t>-1101</t>
    </r>
    <phoneticPr fontId="144" type="noConversion"/>
  </si>
  <si>
    <r>
      <t>3</t>
    </r>
    <r>
      <rPr>
        <sz val="11"/>
        <color theme="1"/>
        <rFont val="宋体"/>
        <family val="3"/>
        <charset val="134"/>
        <scheme val="minor"/>
      </rPr>
      <t>-1102</t>
    </r>
    <r>
      <rPr>
        <sz val="11"/>
        <color theme="1"/>
        <rFont val="宋体"/>
        <family val="2"/>
        <charset val="134"/>
        <scheme val="minor"/>
      </rPr>
      <t/>
    </r>
  </si>
  <si>
    <r>
      <t>3</t>
    </r>
    <r>
      <rPr>
        <sz val="11"/>
        <color theme="1"/>
        <rFont val="宋体"/>
        <family val="3"/>
        <charset val="134"/>
        <scheme val="minor"/>
      </rPr>
      <t>-1103</t>
    </r>
    <r>
      <rPr>
        <sz val="11"/>
        <color theme="1"/>
        <rFont val="宋体"/>
        <family val="2"/>
        <charset val="134"/>
        <scheme val="minor"/>
      </rPr>
      <t/>
    </r>
  </si>
  <si>
    <r>
      <t>3</t>
    </r>
    <r>
      <rPr>
        <sz val="11"/>
        <color theme="1"/>
        <rFont val="宋体"/>
        <family val="3"/>
        <charset val="134"/>
        <scheme val="minor"/>
      </rPr>
      <t>-1104</t>
    </r>
    <r>
      <rPr>
        <sz val="11"/>
        <color theme="1"/>
        <rFont val="宋体"/>
        <family val="2"/>
        <charset val="134"/>
        <scheme val="minor"/>
      </rPr>
      <t/>
    </r>
  </si>
  <si>
    <r>
      <t>3</t>
    </r>
    <r>
      <rPr>
        <sz val="11"/>
        <color theme="1"/>
        <rFont val="宋体"/>
        <family val="3"/>
        <charset val="134"/>
        <scheme val="minor"/>
      </rPr>
      <t>-1105</t>
    </r>
    <r>
      <rPr>
        <sz val="11"/>
        <color theme="1"/>
        <rFont val="宋体"/>
        <family val="2"/>
        <charset val="134"/>
        <scheme val="minor"/>
      </rPr>
      <t/>
    </r>
  </si>
  <si>
    <r>
      <t>3</t>
    </r>
    <r>
      <rPr>
        <sz val="11"/>
        <color theme="1"/>
        <rFont val="宋体"/>
        <family val="3"/>
        <charset val="134"/>
        <scheme val="minor"/>
      </rPr>
      <t>-1106</t>
    </r>
    <r>
      <rPr>
        <sz val="11"/>
        <color theme="1"/>
        <rFont val="宋体"/>
        <family val="2"/>
        <charset val="134"/>
        <scheme val="minor"/>
      </rPr>
      <t/>
    </r>
  </si>
  <si>
    <r>
      <t>3</t>
    </r>
    <r>
      <rPr>
        <sz val="11"/>
        <color theme="1"/>
        <rFont val="宋体"/>
        <family val="3"/>
        <charset val="134"/>
        <scheme val="minor"/>
      </rPr>
      <t>-1107</t>
    </r>
    <r>
      <rPr>
        <sz val="11"/>
        <color theme="1"/>
        <rFont val="宋体"/>
        <family val="2"/>
        <charset val="134"/>
        <scheme val="minor"/>
      </rPr>
      <t/>
    </r>
  </si>
  <si>
    <r>
      <t>3</t>
    </r>
    <r>
      <rPr>
        <sz val="11"/>
        <color theme="1"/>
        <rFont val="宋体"/>
        <family val="3"/>
        <charset val="134"/>
        <scheme val="minor"/>
      </rPr>
      <t>-1108</t>
    </r>
    <r>
      <rPr>
        <sz val="11"/>
        <color theme="1"/>
        <rFont val="宋体"/>
        <family val="2"/>
        <charset val="134"/>
        <scheme val="minor"/>
      </rPr>
      <t/>
    </r>
  </si>
  <si>
    <r>
      <t>3</t>
    </r>
    <r>
      <rPr>
        <sz val="11"/>
        <color theme="1"/>
        <rFont val="宋体"/>
        <family val="3"/>
        <charset val="134"/>
        <scheme val="minor"/>
      </rPr>
      <t>-1109</t>
    </r>
    <r>
      <rPr>
        <sz val="11"/>
        <color theme="1"/>
        <rFont val="宋体"/>
        <family val="2"/>
        <charset val="134"/>
        <scheme val="minor"/>
      </rPr>
      <t/>
    </r>
  </si>
  <si>
    <r>
      <t>3</t>
    </r>
    <r>
      <rPr>
        <sz val="11"/>
        <color theme="1"/>
        <rFont val="宋体"/>
        <family val="3"/>
        <charset val="134"/>
        <scheme val="minor"/>
      </rPr>
      <t>-1110</t>
    </r>
    <r>
      <rPr>
        <sz val="11"/>
        <color theme="1"/>
        <rFont val="宋体"/>
        <family val="2"/>
        <charset val="134"/>
        <scheme val="minor"/>
      </rPr>
      <t/>
    </r>
  </si>
  <si>
    <r>
      <t>3</t>
    </r>
    <r>
      <rPr>
        <sz val="11"/>
        <color theme="1"/>
        <rFont val="宋体"/>
        <family val="3"/>
        <charset val="134"/>
        <scheme val="minor"/>
      </rPr>
      <t>-1111</t>
    </r>
    <r>
      <rPr>
        <sz val="11"/>
        <color theme="1"/>
        <rFont val="宋体"/>
        <family val="2"/>
        <charset val="134"/>
        <scheme val="minor"/>
      </rPr>
      <t/>
    </r>
  </si>
  <si>
    <r>
      <t>3</t>
    </r>
    <r>
      <rPr>
        <sz val="11"/>
        <color theme="1"/>
        <rFont val="宋体"/>
        <family val="3"/>
        <charset val="134"/>
        <scheme val="minor"/>
      </rPr>
      <t>-1112</t>
    </r>
    <r>
      <rPr>
        <sz val="11"/>
        <color theme="1"/>
        <rFont val="宋体"/>
        <family val="2"/>
        <charset val="134"/>
        <scheme val="minor"/>
      </rPr>
      <t/>
    </r>
  </si>
  <si>
    <r>
      <t>3</t>
    </r>
    <r>
      <rPr>
        <sz val="11"/>
        <color theme="1"/>
        <rFont val="宋体"/>
        <family val="3"/>
        <charset val="134"/>
        <scheme val="minor"/>
      </rPr>
      <t>-1113</t>
    </r>
    <r>
      <rPr>
        <sz val="11"/>
        <color theme="1"/>
        <rFont val="宋体"/>
        <family val="2"/>
        <charset val="134"/>
        <scheme val="minor"/>
      </rPr>
      <t/>
    </r>
  </si>
  <si>
    <r>
      <t>3</t>
    </r>
    <r>
      <rPr>
        <sz val="11"/>
        <color theme="1"/>
        <rFont val="宋体"/>
        <family val="3"/>
        <charset val="134"/>
        <scheme val="minor"/>
      </rPr>
      <t>-1114</t>
    </r>
    <r>
      <rPr>
        <sz val="11"/>
        <color theme="1"/>
        <rFont val="宋体"/>
        <family val="2"/>
        <charset val="134"/>
        <scheme val="minor"/>
      </rPr>
      <t/>
    </r>
  </si>
  <si>
    <r>
      <t>3</t>
    </r>
    <r>
      <rPr>
        <sz val="11"/>
        <color theme="1"/>
        <rFont val="宋体"/>
        <family val="3"/>
        <charset val="134"/>
        <scheme val="minor"/>
      </rPr>
      <t>-1115</t>
    </r>
    <r>
      <rPr>
        <sz val="11"/>
        <color theme="1"/>
        <rFont val="宋体"/>
        <family val="2"/>
        <charset val="134"/>
        <scheme val="minor"/>
      </rPr>
      <t/>
    </r>
  </si>
  <si>
    <r>
      <t>3</t>
    </r>
    <r>
      <rPr>
        <sz val="11"/>
        <color theme="1"/>
        <rFont val="宋体"/>
        <family val="3"/>
        <charset val="134"/>
        <scheme val="minor"/>
      </rPr>
      <t>-1116</t>
    </r>
    <r>
      <rPr>
        <sz val="11"/>
        <color theme="1"/>
        <rFont val="宋体"/>
        <family val="2"/>
        <charset val="134"/>
        <scheme val="minor"/>
      </rPr>
      <t/>
    </r>
  </si>
  <si>
    <r>
      <t>3</t>
    </r>
    <r>
      <rPr>
        <sz val="11"/>
        <color theme="1"/>
        <rFont val="宋体"/>
        <family val="3"/>
        <charset val="134"/>
        <scheme val="minor"/>
      </rPr>
      <t>-1117</t>
    </r>
    <r>
      <rPr>
        <sz val="11"/>
        <color theme="1"/>
        <rFont val="宋体"/>
        <family val="2"/>
        <charset val="134"/>
        <scheme val="minor"/>
      </rPr>
      <t/>
    </r>
  </si>
  <si>
    <r>
      <t>3</t>
    </r>
    <r>
      <rPr>
        <sz val="11"/>
        <color theme="1"/>
        <rFont val="宋体"/>
        <family val="3"/>
        <charset val="134"/>
        <scheme val="minor"/>
      </rPr>
      <t>-1118</t>
    </r>
    <r>
      <rPr>
        <sz val="11"/>
        <color theme="1"/>
        <rFont val="宋体"/>
        <family val="2"/>
        <charset val="134"/>
        <scheme val="minor"/>
      </rPr>
      <t/>
    </r>
  </si>
  <si>
    <r>
      <t>3</t>
    </r>
    <r>
      <rPr>
        <sz val="11"/>
        <color theme="1"/>
        <rFont val="宋体"/>
        <family val="3"/>
        <charset val="134"/>
        <scheme val="minor"/>
      </rPr>
      <t>-1119</t>
    </r>
    <r>
      <rPr>
        <sz val="11"/>
        <color theme="1"/>
        <rFont val="宋体"/>
        <family val="2"/>
        <charset val="134"/>
        <scheme val="minor"/>
      </rPr>
      <t/>
    </r>
  </si>
  <si>
    <r>
      <t>3</t>
    </r>
    <r>
      <rPr>
        <sz val="11"/>
        <color theme="1"/>
        <rFont val="宋体"/>
        <family val="3"/>
        <charset val="134"/>
        <scheme val="minor"/>
      </rPr>
      <t>-1120</t>
    </r>
    <r>
      <rPr>
        <sz val="11"/>
        <color theme="1"/>
        <rFont val="宋体"/>
        <family val="2"/>
        <charset val="134"/>
        <scheme val="minor"/>
      </rPr>
      <t/>
    </r>
  </si>
  <si>
    <r>
      <t>3</t>
    </r>
    <r>
      <rPr>
        <sz val="11"/>
        <color theme="1"/>
        <rFont val="宋体"/>
        <family val="3"/>
        <charset val="134"/>
        <scheme val="minor"/>
      </rPr>
      <t>-1121</t>
    </r>
    <r>
      <rPr>
        <sz val="11"/>
        <color theme="1"/>
        <rFont val="宋体"/>
        <family val="2"/>
        <charset val="134"/>
        <scheme val="minor"/>
      </rPr>
      <t/>
    </r>
  </si>
  <si>
    <r>
      <t>3</t>
    </r>
    <r>
      <rPr>
        <sz val="11"/>
        <color theme="1"/>
        <rFont val="宋体"/>
        <family val="3"/>
        <charset val="134"/>
        <scheme val="minor"/>
      </rPr>
      <t>-1122</t>
    </r>
    <r>
      <rPr>
        <sz val="11"/>
        <color theme="1"/>
        <rFont val="宋体"/>
        <family val="2"/>
        <charset val="134"/>
        <scheme val="minor"/>
      </rPr>
      <t/>
    </r>
  </si>
  <si>
    <r>
      <t>3</t>
    </r>
    <r>
      <rPr>
        <sz val="11"/>
        <color theme="1"/>
        <rFont val="宋体"/>
        <family val="3"/>
        <charset val="134"/>
        <scheme val="minor"/>
      </rPr>
      <t>-1123</t>
    </r>
    <r>
      <rPr>
        <sz val="11"/>
        <color theme="1"/>
        <rFont val="宋体"/>
        <family val="2"/>
        <charset val="134"/>
        <scheme val="minor"/>
      </rPr>
      <t/>
    </r>
  </si>
  <si>
    <r>
      <t>3</t>
    </r>
    <r>
      <rPr>
        <sz val="11"/>
        <color theme="1"/>
        <rFont val="宋体"/>
        <family val="3"/>
        <charset val="134"/>
        <scheme val="minor"/>
      </rPr>
      <t>-1124</t>
    </r>
    <r>
      <rPr>
        <sz val="11"/>
        <color theme="1"/>
        <rFont val="宋体"/>
        <family val="2"/>
        <charset val="134"/>
        <scheme val="minor"/>
      </rPr>
      <t/>
    </r>
  </si>
  <si>
    <r>
      <t>3</t>
    </r>
    <r>
      <rPr>
        <sz val="11"/>
        <color theme="1"/>
        <rFont val="宋体"/>
        <family val="3"/>
        <charset val="134"/>
        <scheme val="minor"/>
      </rPr>
      <t>-1125</t>
    </r>
    <r>
      <rPr>
        <sz val="11"/>
        <color theme="1"/>
        <rFont val="宋体"/>
        <family val="2"/>
        <charset val="134"/>
        <scheme val="minor"/>
      </rPr>
      <t/>
    </r>
  </si>
  <si>
    <r>
      <t>3</t>
    </r>
    <r>
      <rPr>
        <sz val="11"/>
        <color theme="1"/>
        <rFont val="宋体"/>
        <family val="3"/>
        <charset val="134"/>
        <scheme val="minor"/>
      </rPr>
      <t>-1126</t>
    </r>
    <r>
      <rPr>
        <sz val="11"/>
        <color theme="1"/>
        <rFont val="宋体"/>
        <family val="2"/>
        <charset val="134"/>
        <scheme val="minor"/>
      </rPr>
      <t/>
    </r>
  </si>
  <si>
    <r>
      <t>3</t>
    </r>
    <r>
      <rPr>
        <sz val="11"/>
        <color theme="1"/>
        <rFont val="宋体"/>
        <family val="3"/>
        <charset val="134"/>
        <scheme val="minor"/>
      </rPr>
      <t>-1127</t>
    </r>
    <r>
      <rPr>
        <sz val="11"/>
        <color theme="1"/>
        <rFont val="宋体"/>
        <family val="2"/>
        <charset val="134"/>
        <scheme val="minor"/>
      </rPr>
      <t/>
    </r>
  </si>
  <si>
    <r>
      <t>3</t>
    </r>
    <r>
      <rPr>
        <sz val="11"/>
        <color theme="1"/>
        <rFont val="宋体"/>
        <family val="3"/>
        <charset val="134"/>
        <scheme val="minor"/>
      </rPr>
      <t>-1128</t>
    </r>
    <r>
      <rPr>
        <sz val="11"/>
        <color theme="1"/>
        <rFont val="宋体"/>
        <family val="2"/>
        <charset val="134"/>
        <scheme val="minor"/>
      </rPr>
      <t/>
    </r>
  </si>
  <si>
    <r>
      <t>3</t>
    </r>
    <r>
      <rPr>
        <sz val="11"/>
        <color theme="1"/>
        <rFont val="宋体"/>
        <family val="3"/>
        <charset val="134"/>
        <scheme val="minor"/>
      </rPr>
      <t>-1129</t>
    </r>
    <r>
      <rPr>
        <sz val="11"/>
        <color theme="1"/>
        <rFont val="宋体"/>
        <family val="2"/>
        <charset val="134"/>
        <scheme val="minor"/>
      </rPr>
      <t/>
    </r>
  </si>
  <si>
    <r>
      <t>3</t>
    </r>
    <r>
      <rPr>
        <sz val="11"/>
        <color theme="1"/>
        <rFont val="宋体"/>
        <family val="3"/>
        <charset val="134"/>
        <scheme val="minor"/>
      </rPr>
      <t>-1130</t>
    </r>
    <r>
      <rPr>
        <sz val="11"/>
        <color theme="1"/>
        <rFont val="宋体"/>
        <family val="2"/>
        <charset val="134"/>
        <scheme val="minor"/>
      </rPr>
      <t/>
    </r>
  </si>
  <si>
    <r>
      <t>3</t>
    </r>
    <r>
      <rPr>
        <sz val="11"/>
        <color theme="1"/>
        <rFont val="宋体"/>
        <family val="3"/>
        <charset val="134"/>
        <scheme val="minor"/>
      </rPr>
      <t>-1131</t>
    </r>
    <r>
      <rPr>
        <sz val="11"/>
        <color theme="1"/>
        <rFont val="宋体"/>
        <family val="2"/>
        <charset val="134"/>
        <scheme val="minor"/>
      </rPr>
      <t/>
    </r>
  </si>
  <si>
    <r>
      <t>3</t>
    </r>
    <r>
      <rPr>
        <sz val="11"/>
        <color theme="1"/>
        <rFont val="宋体"/>
        <family val="3"/>
        <charset val="134"/>
        <scheme val="minor"/>
      </rPr>
      <t>-1132</t>
    </r>
    <r>
      <rPr>
        <sz val="11"/>
        <color theme="1"/>
        <rFont val="宋体"/>
        <family val="2"/>
        <charset val="134"/>
        <scheme val="minor"/>
      </rPr>
      <t/>
    </r>
  </si>
  <si>
    <r>
      <t>3</t>
    </r>
    <r>
      <rPr>
        <sz val="11"/>
        <color theme="1"/>
        <rFont val="宋体"/>
        <family val="3"/>
        <charset val="134"/>
        <scheme val="minor"/>
      </rPr>
      <t>-1133</t>
    </r>
    <r>
      <rPr>
        <sz val="11"/>
        <color theme="1"/>
        <rFont val="宋体"/>
        <family val="2"/>
        <charset val="134"/>
        <scheme val="minor"/>
      </rPr>
      <t/>
    </r>
  </si>
  <si>
    <r>
      <t>3</t>
    </r>
    <r>
      <rPr>
        <sz val="11"/>
        <color theme="1"/>
        <rFont val="宋体"/>
        <family val="3"/>
        <charset val="134"/>
        <scheme val="minor"/>
      </rPr>
      <t>-1134</t>
    </r>
    <r>
      <rPr>
        <sz val="11"/>
        <color theme="1"/>
        <rFont val="宋体"/>
        <family val="2"/>
        <charset val="134"/>
        <scheme val="minor"/>
      </rPr>
      <t/>
    </r>
  </si>
  <si>
    <r>
      <t>3</t>
    </r>
    <r>
      <rPr>
        <sz val="11"/>
        <color theme="1"/>
        <rFont val="宋体"/>
        <family val="3"/>
        <charset val="134"/>
        <scheme val="minor"/>
      </rPr>
      <t>-1135</t>
    </r>
    <r>
      <rPr>
        <sz val="11"/>
        <color theme="1"/>
        <rFont val="宋体"/>
        <family val="2"/>
        <charset val="134"/>
        <scheme val="minor"/>
      </rPr>
      <t/>
    </r>
  </si>
  <si>
    <r>
      <t>3</t>
    </r>
    <r>
      <rPr>
        <sz val="11"/>
        <color theme="1"/>
        <rFont val="宋体"/>
        <family val="3"/>
        <charset val="134"/>
        <scheme val="minor"/>
      </rPr>
      <t>-1136</t>
    </r>
    <r>
      <rPr>
        <sz val="11"/>
        <color theme="1"/>
        <rFont val="宋体"/>
        <family val="2"/>
        <charset val="134"/>
        <scheme val="minor"/>
      </rPr>
      <t/>
    </r>
  </si>
  <si>
    <r>
      <t>3</t>
    </r>
    <r>
      <rPr>
        <sz val="11"/>
        <color theme="1"/>
        <rFont val="宋体"/>
        <family val="3"/>
        <charset val="134"/>
        <scheme val="minor"/>
      </rPr>
      <t>-1137</t>
    </r>
    <r>
      <rPr>
        <sz val="11"/>
        <color theme="1"/>
        <rFont val="宋体"/>
        <family val="2"/>
        <charset val="134"/>
        <scheme val="minor"/>
      </rPr>
      <t/>
    </r>
  </si>
  <si>
    <r>
      <t>3</t>
    </r>
    <r>
      <rPr>
        <sz val="11"/>
        <color theme="1"/>
        <rFont val="宋体"/>
        <family val="3"/>
        <charset val="134"/>
        <scheme val="minor"/>
      </rPr>
      <t>-1138</t>
    </r>
    <r>
      <rPr>
        <sz val="11"/>
        <color theme="1"/>
        <rFont val="宋体"/>
        <family val="2"/>
        <charset val="134"/>
        <scheme val="minor"/>
      </rPr>
      <t/>
    </r>
  </si>
  <si>
    <r>
      <t>3</t>
    </r>
    <r>
      <rPr>
        <sz val="11"/>
        <color theme="1"/>
        <rFont val="宋体"/>
        <family val="3"/>
        <charset val="134"/>
        <scheme val="minor"/>
      </rPr>
      <t>-1139</t>
    </r>
    <r>
      <rPr>
        <sz val="11"/>
        <color theme="1"/>
        <rFont val="宋体"/>
        <family val="2"/>
        <charset val="134"/>
        <scheme val="minor"/>
      </rPr>
      <t/>
    </r>
  </si>
  <si>
    <r>
      <t>3</t>
    </r>
    <r>
      <rPr>
        <sz val="11"/>
        <color theme="1"/>
        <rFont val="宋体"/>
        <family val="3"/>
        <charset val="134"/>
        <scheme val="minor"/>
      </rPr>
      <t>-1140</t>
    </r>
    <r>
      <rPr>
        <sz val="11"/>
        <color theme="1"/>
        <rFont val="宋体"/>
        <family val="2"/>
        <charset val="134"/>
        <scheme val="minor"/>
      </rPr>
      <t/>
    </r>
  </si>
  <si>
    <r>
      <t>3</t>
    </r>
    <r>
      <rPr>
        <sz val="11"/>
        <color theme="1"/>
        <rFont val="宋体"/>
        <family val="3"/>
        <charset val="134"/>
        <scheme val="minor"/>
      </rPr>
      <t>-1141</t>
    </r>
    <r>
      <rPr>
        <sz val="11"/>
        <color theme="1"/>
        <rFont val="宋体"/>
        <family val="2"/>
        <charset val="134"/>
        <scheme val="minor"/>
      </rPr>
      <t/>
    </r>
  </si>
  <si>
    <r>
      <t>3</t>
    </r>
    <r>
      <rPr>
        <sz val="11"/>
        <color theme="1"/>
        <rFont val="宋体"/>
        <family val="3"/>
        <charset val="134"/>
        <scheme val="minor"/>
      </rPr>
      <t>-1142</t>
    </r>
    <r>
      <rPr>
        <sz val="11"/>
        <color theme="1"/>
        <rFont val="宋体"/>
        <family val="2"/>
        <charset val="134"/>
        <scheme val="minor"/>
      </rPr>
      <t/>
    </r>
  </si>
  <si>
    <r>
      <t>3</t>
    </r>
    <r>
      <rPr>
        <sz val="11"/>
        <color theme="1"/>
        <rFont val="宋体"/>
        <family val="3"/>
        <charset val="134"/>
        <scheme val="minor"/>
      </rPr>
      <t>-1143</t>
    </r>
    <r>
      <rPr>
        <sz val="11"/>
        <color theme="1"/>
        <rFont val="宋体"/>
        <family val="2"/>
        <charset val="134"/>
        <scheme val="minor"/>
      </rPr>
      <t/>
    </r>
  </si>
  <si>
    <r>
      <t>3</t>
    </r>
    <r>
      <rPr>
        <sz val="11"/>
        <color theme="1"/>
        <rFont val="宋体"/>
        <family val="3"/>
        <charset val="134"/>
        <scheme val="minor"/>
      </rPr>
      <t>-1144</t>
    </r>
    <r>
      <rPr>
        <sz val="11"/>
        <color theme="1"/>
        <rFont val="宋体"/>
        <family val="2"/>
        <charset val="134"/>
        <scheme val="minor"/>
      </rPr>
      <t/>
    </r>
  </si>
  <si>
    <r>
      <t>3</t>
    </r>
    <r>
      <rPr>
        <sz val="11"/>
        <color theme="1"/>
        <rFont val="宋体"/>
        <family val="3"/>
        <charset val="134"/>
        <scheme val="minor"/>
      </rPr>
      <t>-1145</t>
    </r>
    <r>
      <rPr>
        <sz val="11"/>
        <color theme="1"/>
        <rFont val="宋体"/>
        <family val="2"/>
        <charset val="134"/>
        <scheme val="minor"/>
      </rPr>
      <t/>
    </r>
  </si>
  <si>
    <r>
      <t>3</t>
    </r>
    <r>
      <rPr>
        <sz val="11"/>
        <color theme="1"/>
        <rFont val="宋体"/>
        <family val="3"/>
        <charset val="134"/>
        <scheme val="minor"/>
      </rPr>
      <t>-1146</t>
    </r>
    <r>
      <rPr>
        <sz val="11"/>
        <color theme="1"/>
        <rFont val="宋体"/>
        <family val="2"/>
        <charset val="134"/>
        <scheme val="minor"/>
      </rPr>
      <t/>
    </r>
  </si>
  <si>
    <r>
      <t>3</t>
    </r>
    <r>
      <rPr>
        <sz val="11"/>
        <color theme="1"/>
        <rFont val="宋体"/>
        <family val="3"/>
        <charset val="134"/>
        <scheme val="minor"/>
      </rPr>
      <t>-1147</t>
    </r>
    <r>
      <rPr>
        <sz val="11"/>
        <color theme="1"/>
        <rFont val="宋体"/>
        <family val="2"/>
        <charset val="134"/>
        <scheme val="minor"/>
      </rPr>
      <t/>
    </r>
  </si>
  <si>
    <r>
      <t>3</t>
    </r>
    <r>
      <rPr>
        <sz val="11"/>
        <color theme="1"/>
        <rFont val="宋体"/>
        <family val="3"/>
        <charset val="134"/>
        <scheme val="minor"/>
      </rPr>
      <t>-1148</t>
    </r>
    <r>
      <rPr>
        <sz val="11"/>
        <color theme="1"/>
        <rFont val="宋体"/>
        <family val="2"/>
        <charset val="134"/>
        <scheme val="minor"/>
      </rPr>
      <t/>
    </r>
  </si>
  <si>
    <r>
      <t>3</t>
    </r>
    <r>
      <rPr>
        <sz val="11"/>
        <color theme="1"/>
        <rFont val="宋体"/>
        <family val="3"/>
        <charset val="134"/>
        <scheme val="minor"/>
      </rPr>
      <t>-1149</t>
    </r>
    <r>
      <rPr>
        <sz val="11"/>
        <color theme="1"/>
        <rFont val="宋体"/>
        <family val="2"/>
        <charset val="134"/>
        <scheme val="minor"/>
      </rPr>
      <t/>
    </r>
  </si>
  <si>
    <r>
      <t>3</t>
    </r>
    <r>
      <rPr>
        <sz val="11"/>
        <color theme="1"/>
        <rFont val="宋体"/>
        <family val="3"/>
        <charset val="134"/>
        <scheme val="minor"/>
      </rPr>
      <t>-1150</t>
    </r>
    <r>
      <rPr>
        <sz val="11"/>
        <color theme="1"/>
        <rFont val="宋体"/>
        <family val="2"/>
        <charset val="134"/>
        <scheme val="minor"/>
      </rPr>
      <t/>
    </r>
  </si>
  <si>
    <r>
      <t>3</t>
    </r>
    <r>
      <rPr>
        <sz val="11"/>
        <color theme="1"/>
        <rFont val="宋体"/>
        <family val="3"/>
        <charset val="134"/>
        <scheme val="minor"/>
      </rPr>
      <t>-1151</t>
    </r>
    <r>
      <rPr>
        <sz val="11"/>
        <color theme="1"/>
        <rFont val="宋体"/>
        <family val="2"/>
        <charset val="134"/>
        <scheme val="minor"/>
      </rPr>
      <t/>
    </r>
  </si>
  <si>
    <r>
      <t>3</t>
    </r>
    <r>
      <rPr>
        <sz val="11"/>
        <color theme="1"/>
        <rFont val="宋体"/>
        <family val="3"/>
        <charset val="134"/>
        <scheme val="minor"/>
      </rPr>
      <t>-1152</t>
    </r>
    <r>
      <rPr>
        <sz val="11"/>
        <color theme="1"/>
        <rFont val="宋体"/>
        <family val="2"/>
        <charset val="134"/>
        <scheme val="minor"/>
      </rPr>
      <t/>
    </r>
  </si>
  <si>
    <t>4-1101</t>
    <phoneticPr fontId="144" type="noConversion"/>
  </si>
  <si>
    <t>4-1102</t>
  </si>
  <si>
    <t>4-1103</t>
  </si>
  <si>
    <t>4-1104</t>
  </si>
  <si>
    <t>4-1105</t>
  </si>
  <si>
    <t>4-1106</t>
  </si>
  <si>
    <t>4-1107</t>
  </si>
  <si>
    <t>4-1108</t>
  </si>
  <si>
    <t>4-1109</t>
  </si>
  <si>
    <t>4-1110</t>
  </si>
  <si>
    <t>4-1111</t>
  </si>
  <si>
    <t>4-1112</t>
  </si>
  <si>
    <t>4-1113</t>
  </si>
  <si>
    <t>4-1114</t>
  </si>
  <si>
    <t>4-1115</t>
  </si>
  <si>
    <t>4-1116</t>
  </si>
  <si>
    <t>4-1117</t>
  </si>
  <si>
    <t>4-1118</t>
  </si>
  <si>
    <t>4-1119</t>
  </si>
  <si>
    <t>4-1120</t>
  </si>
  <si>
    <t>4-1121</t>
  </si>
  <si>
    <t>4-1122</t>
  </si>
  <si>
    <t>4-1123</t>
  </si>
  <si>
    <t>4-1124</t>
  </si>
  <si>
    <t>4-1125</t>
  </si>
  <si>
    <t>4-1126</t>
  </si>
  <si>
    <t>4-1127</t>
  </si>
  <si>
    <t>4-1128</t>
  </si>
  <si>
    <t>4-1129</t>
  </si>
  <si>
    <t>4-1130</t>
  </si>
  <si>
    <t>4-1131</t>
  </si>
  <si>
    <t>4-1132</t>
  </si>
  <si>
    <t>4-1133</t>
  </si>
  <si>
    <t>4-1134</t>
  </si>
  <si>
    <t>4-1135</t>
  </si>
  <si>
    <t>4-1136</t>
  </si>
  <si>
    <t>4-1137</t>
  </si>
  <si>
    <t>4-1138</t>
  </si>
  <si>
    <t>4-1139</t>
  </si>
  <si>
    <t>4-1140</t>
  </si>
  <si>
    <t>4-1141</t>
  </si>
  <si>
    <t>4-1142</t>
  </si>
  <si>
    <t>4-1143</t>
  </si>
  <si>
    <t>4-1144</t>
  </si>
  <si>
    <t>4-1145</t>
  </si>
  <si>
    <r>
      <t>1</t>
    </r>
    <r>
      <rPr>
        <sz val="11"/>
        <color theme="1"/>
        <rFont val="宋体"/>
        <family val="3"/>
        <charset val="134"/>
        <scheme val="minor"/>
      </rPr>
      <t>-1201</t>
    </r>
    <phoneticPr fontId="144" type="noConversion"/>
  </si>
  <si>
    <r>
      <t>1</t>
    </r>
    <r>
      <rPr>
        <sz val="11"/>
        <color theme="1"/>
        <rFont val="宋体"/>
        <family val="3"/>
        <charset val="134"/>
        <scheme val="minor"/>
      </rPr>
      <t>-1202</t>
    </r>
    <r>
      <rPr>
        <sz val="11"/>
        <color theme="1"/>
        <rFont val="宋体"/>
        <family val="2"/>
        <charset val="134"/>
        <scheme val="minor"/>
      </rPr>
      <t/>
    </r>
  </si>
  <si>
    <r>
      <t>1</t>
    </r>
    <r>
      <rPr>
        <sz val="11"/>
        <color theme="1"/>
        <rFont val="宋体"/>
        <family val="3"/>
        <charset val="134"/>
        <scheme val="minor"/>
      </rPr>
      <t>-1203</t>
    </r>
    <r>
      <rPr>
        <sz val="11"/>
        <color theme="1"/>
        <rFont val="宋体"/>
        <family val="2"/>
        <charset val="134"/>
        <scheme val="minor"/>
      </rPr>
      <t/>
    </r>
  </si>
  <si>
    <r>
      <t>1</t>
    </r>
    <r>
      <rPr>
        <sz val="11"/>
        <color theme="1"/>
        <rFont val="宋体"/>
        <family val="3"/>
        <charset val="134"/>
        <scheme val="minor"/>
      </rPr>
      <t>-1204</t>
    </r>
    <r>
      <rPr>
        <sz val="11"/>
        <color theme="1"/>
        <rFont val="宋体"/>
        <family val="2"/>
        <charset val="134"/>
        <scheme val="minor"/>
      </rPr>
      <t/>
    </r>
  </si>
  <si>
    <r>
      <t>1</t>
    </r>
    <r>
      <rPr>
        <sz val="11"/>
        <color theme="1"/>
        <rFont val="宋体"/>
        <family val="3"/>
        <charset val="134"/>
        <scheme val="minor"/>
      </rPr>
      <t>-1205</t>
    </r>
    <r>
      <rPr>
        <sz val="11"/>
        <color theme="1"/>
        <rFont val="宋体"/>
        <family val="2"/>
        <charset val="134"/>
        <scheme val="minor"/>
      </rPr>
      <t/>
    </r>
  </si>
  <si>
    <r>
      <t>1</t>
    </r>
    <r>
      <rPr>
        <sz val="11"/>
        <color theme="1"/>
        <rFont val="宋体"/>
        <family val="3"/>
        <charset val="134"/>
        <scheme val="minor"/>
      </rPr>
      <t>-1206</t>
    </r>
    <r>
      <rPr>
        <sz val="11"/>
        <color theme="1"/>
        <rFont val="宋体"/>
        <family val="2"/>
        <charset val="134"/>
        <scheme val="minor"/>
      </rPr>
      <t/>
    </r>
  </si>
  <si>
    <r>
      <t>1</t>
    </r>
    <r>
      <rPr>
        <sz val="11"/>
        <color theme="1"/>
        <rFont val="宋体"/>
        <family val="3"/>
        <charset val="134"/>
        <scheme val="minor"/>
      </rPr>
      <t>-1207</t>
    </r>
    <r>
      <rPr>
        <sz val="11"/>
        <color theme="1"/>
        <rFont val="宋体"/>
        <family val="2"/>
        <charset val="134"/>
        <scheme val="minor"/>
      </rPr>
      <t/>
    </r>
  </si>
  <si>
    <r>
      <t>1</t>
    </r>
    <r>
      <rPr>
        <sz val="11"/>
        <color theme="1"/>
        <rFont val="宋体"/>
        <family val="3"/>
        <charset val="134"/>
        <scheme val="minor"/>
      </rPr>
      <t>-1208</t>
    </r>
    <r>
      <rPr>
        <sz val="11"/>
        <color theme="1"/>
        <rFont val="宋体"/>
        <family val="2"/>
        <charset val="134"/>
        <scheme val="minor"/>
      </rPr>
      <t/>
    </r>
  </si>
  <si>
    <r>
      <t>1</t>
    </r>
    <r>
      <rPr>
        <sz val="11"/>
        <color theme="1"/>
        <rFont val="宋体"/>
        <family val="3"/>
        <charset val="134"/>
        <scheme val="minor"/>
      </rPr>
      <t>-1209</t>
    </r>
    <r>
      <rPr>
        <sz val="11"/>
        <color theme="1"/>
        <rFont val="宋体"/>
        <family val="2"/>
        <charset val="134"/>
        <scheme val="minor"/>
      </rPr>
      <t/>
    </r>
  </si>
  <si>
    <r>
      <t>1</t>
    </r>
    <r>
      <rPr>
        <sz val="11"/>
        <color theme="1"/>
        <rFont val="宋体"/>
        <family val="3"/>
        <charset val="134"/>
        <scheme val="minor"/>
      </rPr>
      <t>-1210</t>
    </r>
    <r>
      <rPr>
        <sz val="11"/>
        <color theme="1"/>
        <rFont val="宋体"/>
        <family val="2"/>
        <charset val="134"/>
        <scheme val="minor"/>
      </rPr>
      <t/>
    </r>
  </si>
  <si>
    <r>
      <t>1</t>
    </r>
    <r>
      <rPr>
        <sz val="11"/>
        <color theme="1"/>
        <rFont val="宋体"/>
        <family val="3"/>
        <charset val="134"/>
        <scheme val="minor"/>
      </rPr>
      <t>-1211</t>
    </r>
    <r>
      <rPr>
        <sz val="11"/>
        <color theme="1"/>
        <rFont val="宋体"/>
        <family val="2"/>
        <charset val="134"/>
        <scheme val="minor"/>
      </rPr>
      <t/>
    </r>
  </si>
  <si>
    <r>
      <t>1</t>
    </r>
    <r>
      <rPr>
        <sz val="11"/>
        <color theme="1"/>
        <rFont val="宋体"/>
        <family val="3"/>
        <charset val="134"/>
        <scheme val="minor"/>
      </rPr>
      <t>-1212</t>
    </r>
    <r>
      <rPr>
        <sz val="11"/>
        <color theme="1"/>
        <rFont val="宋体"/>
        <family val="2"/>
        <charset val="134"/>
        <scheme val="minor"/>
      </rPr>
      <t/>
    </r>
  </si>
  <si>
    <r>
      <t>1</t>
    </r>
    <r>
      <rPr>
        <sz val="11"/>
        <color theme="1"/>
        <rFont val="宋体"/>
        <family val="3"/>
        <charset val="134"/>
        <scheme val="minor"/>
      </rPr>
      <t>-1213</t>
    </r>
    <r>
      <rPr>
        <sz val="11"/>
        <color theme="1"/>
        <rFont val="宋体"/>
        <family val="2"/>
        <charset val="134"/>
        <scheme val="minor"/>
      </rPr>
      <t/>
    </r>
  </si>
  <si>
    <r>
      <t>1</t>
    </r>
    <r>
      <rPr>
        <sz val="11"/>
        <color theme="1"/>
        <rFont val="宋体"/>
        <family val="3"/>
        <charset val="134"/>
        <scheme val="minor"/>
      </rPr>
      <t>-1214</t>
    </r>
    <r>
      <rPr>
        <sz val="11"/>
        <color theme="1"/>
        <rFont val="宋体"/>
        <family val="2"/>
        <charset val="134"/>
        <scheme val="minor"/>
      </rPr>
      <t/>
    </r>
  </si>
  <si>
    <r>
      <t>1</t>
    </r>
    <r>
      <rPr>
        <sz val="11"/>
        <color theme="1"/>
        <rFont val="宋体"/>
        <family val="3"/>
        <charset val="134"/>
        <scheme val="minor"/>
      </rPr>
      <t>-1215</t>
    </r>
    <r>
      <rPr>
        <sz val="11"/>
        <color theme="1"/>
        <rFont val="宋体"/>
        <family val="2"/>
        <charset val="134"/>
        <scheme val="minor"/>
      </rPr>
      <t/>
    </r>
  </si>
  <si>
    <r>
      <t>1</t>
    </r>
    <r>
      <rPr>
        <sz val="11"/>
        <color theme="1"/>
        <rFont val="宋体"/>
        <family val="3"/>
        <charset val="134"/>
        <scheme val="minor"/>
      </rPr>
      <t>-1216</t>
    </r>
    <r>
      <rPr>
        <sz val="11"/>
        <color theme="1"/>
        <rFont val="宋体"/>
        <family val="2"/>
        <charset val="134"/>
        <scheme val="minor"/>
      </rPr>
      <t/>
    </r>
  </si>
  <si>
    <r>
      <t>1</t>
    </r>
    <r>
      <rPr>
        <sz val="11"/>
        <color theme="1"/>
        <rFont val="宋体"/>
        <family val="3"/>
        <charset val="134"/>
        <scheme val="minor"/>
      </rPr>
      <t>-1217</t>
    </r>
    <r>
      <rPr>
        <sz val="11"/>
        <color theme="1"/>
        <rFont val="宋体"/>
        <family val="2"/>
        <charset val="134"/>
        <scheme val="minor"/>
      </rPr>
      <t/>
    </r>
  </si>
  <si>
    <r>
      <t>1</t>
    </r>
    <r>
      <rPr>
        <sz val="11"/>
        <color theme="1"/>
        <rFont val="宋体"/>
        <family val="3"/>
        <charset val="134"/>
        <scheme val="minor"/>
      </rPr>
      <t>-1218</t>
    </r>
    <r>
      <rPr>
        <sz val="11"/>
        <color theme="1"/>
        <rFont val="宋体"/>
        <family val="2"/>
        <charset val="134"/>
        <scheme val="minor"/>
      </rPr>
      <t/>
    </r>
  </si>
  <si>
    <r>
      <t>1</t>
    </r>
    <r>
      <rPr>
        <sz val="11"/>
        <color theme="1"/>
        <rFont val="宋体"/>
        <family val="3"/>
        <charset val="134"/>
        <scheme val="minor"/>
      </rPr>
      <t>-1219</t>
    </r>
    <r>
      <rPr>
        <sz val="11"/>
        <color theme="1"/>
        <rFont val="宋体"/>
        <family val="2"/>
        <charset val="134"/>
        <scheme val="minor"/>
      </rPr>
      <t/>
    </r>
  </si>
  <si>
    <r>
      <t>1</t>
    </r>
    <r>
      <rPr>
        <sz val="11"/>
        <color theme="1"/>
        <rFont val="宋体"/>
        <family val="3"/>
        <charset val="134"/>
        <scheme val="minor"/>
      </rPr>
      <t>-1220</t>
    </r>
    <r>
      <rPr>
        <sz val="11"/>
        <color theme="1"/>
        <rFont val="宋体"/>
        <family val="2"/>
        <charset val="134"/>
        <scheme val="minor"/>
      </rPr>
      <t/>
    </r>
  </si>
  <si>
    <r>
      <t>2</t>
    </r>
    <r>
      <rPr>
        <sz val="11"/>
        <color theme="1"/>
        <rFont val="宋体"/>
        <family val="3"/>
        <charset val="134"/>
        <scheme val="minor"/>
      </rPr>
      <t>-1201</t>
    </r>
    <phoneticPr fontId="144" type="noConversion"/>
  </si>
  <si>
    <r>
      <t>2</t>
    </r>
    <r>
      <rPr>
        <sz val="11"/>
        <color theme="1"/>
        <rFont val="宋体"/>
        <family val="3"/>
        <charset val="134"/>
        <scheme val="minor"/>
      </rPr>
      <t>-1202</t>
    </r>
    <r>
      <rPr>
        <sz val="11"/>
        <color theme="1"/>
        <rFont val="宋体"/>
        <family val="2"/>
        <charset val="134"/>
        <scheme val="minor"/>
      </rPr>
      <t/>
    </r>
  </si>
  <si>
    <r>
      <t>2</t>
    </r>
    <r>
      <rPr>
        <sz val="11"/>
        <color theme="1"/>
        <rFont val="宋体"/>
        <family val="3"/>
        <charset val="134"/>
        <scheme val="minor"/>
      </rPr>
      <t>-1203</t>
    </r>
    <r>
      <rPr>
        <sz val="11"/>
        <color theme="1"/>
        <rFont val="宋体"/>
        <family val="2"/>
        <charset val="134"/>
        <scheme val="minor"/>
      </rPr>
      <t/>
    </r>
  </si>
  <si>
    <r>
      <t>2</t>
    </r>
    <r>
      <rPr>
        <sz val="11"/>
        <color theme="1"/>
        <rFont val="宋体"/>
        <family val="3"/>
        <charset val="134"/>
        <scheme val="minor"/>
      </rPr>
      <t>-1204</t>
    </r>
    <r>
      <rPr>
        <sz val="11"/>
        <color theme="1"/>
        <rFont val="宋体"/>
        <family val="2"/>
        <charset val="134"/>
        <scheme val="minor"/>
      </rPr>
      <t/>
    </r>
  </si>
  <si>
    <r>
      <t>2</t>
    </r>
    <r>
      <rPr>
        <sz val="11"/>
        <color theme="1"/>
        <rFont val="宋体"/>
        <family val="3"/>
        <charset val="134"/>
        <scheme val="minor"/>
      </rPr>
      <t>-1205</t>
    </r>
    <r>
      <rPr>
        <sz val="11"/>
        <color theme="1"/>
        <rFont val="宋体"/>
        <family val="2"/>
        <charset val="134"/>
        <scheme val="minor"/>
      </rPr>
      <t/>
    </r>
  </si>
  <si>
    <r>
      <t>2</t>
    </r>
    <r>
      <rPr>
        <sz val="11"/>
        <color theme="1"/>
        <rFont val="宋体"/>
        <family val="3"/>
        <charset val="134"/>
        <scheme val="minor"/>
      </rPr>
      <t>-1206</t>
    </r>
    <r>
      <rPr>
        <sz val="11"/>
        <color theme="1"/>
        <rFont val="宋体"/>
        <family val="2"/>
        <charset val="134"/>
        <scheme val="minor"/>
      </rPr>
      <t/>
    </r>
  </si>
  <si>
    <r>
      <t>2</t>
    </r>
    <r>
      <rPr>
        <sz val="11"/>
        <color theme="1"/>
        <rFont val="宋体"/>
        <family val="3"/>
        <charset val="134"/>
        <scheme val="minor"/>
      </rPr>
      <t>-1207</t>
    </r>
    <r>
      <rPr>
        <sz val="11"/>
        <color theme="1"/>
        <rFont val="宋体"/>
        <family val="2"/>
        <charset val="134"/>
        <scheme val="minor"/>
      </rPr>
      <t/>
    </r>
  </si>
  <si>
    <r>
      <t>2</t>
    </r>
    <r>
      <rPr>
        <sz val="11"/>
        <color theme="1"/>
        <rFont val="宋体"/>
        <family val="3"/>
        <charset val="134"/>
        <scheme val="minor"/>
      </rPr>
      <t>-1208</t>
    </r>
    <r>
      <rPr>
        <sz val="11"/>
        <color theme="1"/>
        <rFont val="宋体"/>
        <family val="2"/>
        <charset val="134"/>
        <scheme val="minor"/>
      </rPr>
      <t/>
    </r>
  </si>
  <si>
    <r>
      <t>2</t>
    </r>
    <r>
      <rPr>
        <sz val="11"/>
        <color theme="1"/>
        <rFont val="宋体"/>
        <family val="3"/>
        <charset val="134"/>
        <scheme val="minor"/>
      </rPr>
      <t>-1209</t>
    </r>
    <r>
      <rPr>
        <sz val="11"/>
        <color theme="1"/>
        <rFont val="宋体"/>
        <family val="2"/>
        <charset val="134"/>
        <scheme val="minor"/>
      </rPr>
      <t/>
    </r>
  </si>
  <si>
    <r>
      <t>2</t>
    </r>
    <r>
      <rPr>
        <sz val="11"/>
        <color theme="1"/>
        <rFont val="宋体"/>
        <family val="3"/>
        <charset val="134"/>
        <scheme val="minor"/>
      </rPr>
      <t>-1210</t>
    </r>
    <r>
      <rPr>
        <sz val="11"/>
        <color theme="1"/>
        <rFont val="宋体"/>
        <family val="2"/>
        <charset val="134"/>
        <scheme val="minor"/>
      </rPr>
      <t/>
    </r>
  </si>
  <si>
    <r>
      <t>2</t>
    </r>
    <r>
      <rPr>
        <sz val="11"/>
        <color theme="1"/>
        <rFont val="宋体"/>
        <family val="3"/>
        <charset val="134"/>
        <scheme val="minor"/>
      </rPr>
      <t>-1211</t>
    </r>
    <r>
      <rPr>
        <sz val="11"/>
        <color theme="1"/>
        <rFont val="宋体"/>
        <family val="2"/>
        <charset val="134"/>
        <scheme val="minor"/>
      </rPr>
      <t/>
    </r>
  </si>
  <si>
    <r>
      <t>2</t>
    </r>
    <r>
      <rPr>
        <sz val="11"/>
        <color theme="1"/>
        <rFont val="宋体"/>
        <family val="3"/>
        <charset val="134"/>
        <scheme val="minor"/>
      </rPr>
      <t>-1212</t>
    </r>
    <r>
      <rPr>
        <sz val="11"/>
        <color theme="1"/>
        <rFont val="宋体"/>
        <family val="2"/>
        <charset val="134"/>
        <scheme val="minor"/>
      </rPr>
      <t/>
    </r>
  </si>
  <si>
    <r>
      <t>2</t>
    </r>
    <r>
      <rPr>
        <sz val="11"/>
        <color theme="1"/>
        <rFont val="宋体"/>
        <family val="3"/>
        <charset val="134"/>
        <scheme val="minor"/>
      </rPr>
      <t>-1213</t>
    </r>
    <r>
      <rPr>
        <sz val="11"/>
        <color theme="1"/>
        <rFont val="宋体"/>
        <family val="2"/>
        <charset val="134"/>
        <scheme val="minor"/>
      </rPr>
      <t/>
    </r>
  </si>
  <si>
    <r>
      <t>2</t>
    </r>
    <r>
      <rPr>
        <sz val="11"/>
        <color theme="1"/>
        <rFont val="宋体"/>
        <family val="3"/>
        <charset val="134"/>
        <scheme val="minor"/>
      </rPr>
      <t>-1214</t>
    </r>
    <r>
      <rPr>
        <sz val="11"/>
        <color theme="1"/>
        <rFont val="宋体"/>
        <family val="2"/>
        <charset val="134"/>
        <scheme val="minor"/>
      </rPr>
      <t/>
    </r>
  </si>
  <si>
    <r>
      <t>2</t>
    </r>
    <r>
      <rPr>
        <sz val="11"/>
        <color theme="1"/>
        <rFont val="宋体"/>
        <family val="3"/>
        <charset val="134"/>
        <scheme val="minor"/>
      </rPr>
      <t>-1215</t>
    </r>
    <r>
      <rPr>
        <sz val="11"/>
        <color theme="1"/>
        <rFont val="宋体"/>
        <family val="2"/>
        <charset val="134"/>
        <scheme val="minor"/>
      </rPr>
      <t/>
    </r>
  </si>
  <si>
    <r>
      <t>2</t>
    </r>
    <r>
      <rPr>
        <sz val="11"/>
        <color theme="1"/>
        <rFont val="宋体"/>
        <family val="3"/>
        <charset val="134"/>
        <scheme val="minor"/>
      </rPr>
      <t>-1216</t>
    </r>
    <r>
      <rPr>
        <sz val="11"/>
        <color theme="1"/>
        <rFont val="宋体"/>
        <family val="2"/>
        <charset val="134"/>
        <scheme val="minor"/>
      </rPr>
      <t/>
    </r>
  </si>
  <si>
    <r>
      <t>2</t>
    </r>
    <r>
      <rPr>
        <sz val="11"/>
        <color theme="1"/>
        <rFont val="宋体"/>
        <family val="3"/>
        <charset val="134"/>
        <scheme val="minor"/>
      </rPr>
      <t>-1217</t>
    </r>
    <r>
      <rPr>
        <sz val="11"/>
        <color theme="1"/>
        <rFont val="宋体"/>
        <family val="2"/>
        <charset val="134"/>
        <scheme val="minor"/>
      </rPr>
      <t/>
    </r>
  </si>
  <si>
    <r>
      <t>2</t>
    </r>
    <r>
      <rPr>
        <sz val="11"/>
        <color theme="1"/>
        <rFont val="宋体"/>
        <family val="3"/>
        <charset val="134"/>
        <scheme val="minor"/>
      </rPr>
      <t>-1218</t>
    </r>
    <r>
      <rPr>
        <sz val="11"/>
        <color theme="1"/>
        <rFont val="宋体"/>
        <family val="2"/>
        <charset val="134"/>
        <scheme val="minor"/>
      </rPr>
      <t/>
    </r>
  </si>
  <si>
    <r>
      <t>2</t>
    </r>
    <r>
      <rPr>
        <sz val="11"/>
        <color theme="1"/>
        <rFont val="宋体"/>
        <family val="3"/>
        <charset val="134"/>
        <scheme val="minor"/>
      </rPr>
      <t>-1219</t>
    </r>
    <r>
      <rPr>
        <sz val="11"/>
        <color theme="1"/>
        <rFont val="宋体"/>
        <family val="2"/>
        <charset val="134"/>
        <scheme val="minor"/>
      </rPr>
      <t/>
    </r>
  </si>
  <si>
    <r>
      <t>2</t>
    </r>
    <r>
      <rPr>
        <sz val="11"/>
        <color theme="1"/>
        <rFont val="宋体"/>
        <family val="3"/>
        <charset val="134"/>
        <scheme val="minor"/>
      </rPr>
      <t>-1220</t>
    </r>
    <r>
      <rPr>
        <sz val="11"/>
        <color theme="1"/>
        <rFont val="宋体"/>
        <family val="2"/>
        <charset val="134"/>
        <scheme val="minor"/>
      </rPr>
      <t/>
    </r>
  </si>
  <si>
    <r>
      <t>3</t>
    </r>
    <r>
      <rPr>
        <sz val="11"/>
        <color theme="1"/>
        <rFont val="宋体"/>
        <family val="3"/>
        <charset val="134"/>
        <scheme val="minor"/>
      </rPr>
      <t>-1201</t>
    </r>
    <phoneticPr fontId="144" type="noConversion"/>
  </si>
  <si>
    <r>
      <t>3</t>
    </r>
    <r>
      <rPr>
        <sz val="11"/>
        <color theme="1"/>
        <rFont val="宋体"/>
        <family val="3"/>
        <charset val="134"/>
        <scheme val="minor"/>
      </rPr>
      <t>-1202</t>
    </r>
    <r>
      <rPr>
        <sz val="11"/>
        <color theme="1"/>
        <rFont val="宋体"/>
        <family val="2"/>
        <charset val="134"/>
        <scheme val="minor"/>
      </rPr>
      <t/>
    </r>
  </si>
  <si>
    <r>
      <t>3</t>
    </r>
    <r>
      <rPr>
        <sz val="11"/>
        <color theme="1"/>
        <rFont val="宋体"/>
        <family val="3"/>
        <charset val="134"/>
        <scheme val="minor"/>
      </rPr>
      <t>-1203</t>
    </r>
    <r>
      <rPr>
        <sz val="11"/>
        <color theme="1"/>
        <rFont val="宋体"/>
        <family val="2"/>
        <charset val="134"/>
        <scheme val="minor"/>
      </rPr>
      <t/>
    </r>
  </si>
  <si>
    <r>
      <t>3</t>
    </r>
    <r>
      <rPr>
        <sz val="11"/>
        <color theme="1"/>
        <rFont val="宋体"/>
        <family val="3"/>
        <charset val="134"/>
        <scheme val="minor"/>
      </rPr>
      <t>-1204</t>
    </r>
    <r>
      <rPr>
        <sz val="11"/>
        <color theme="1"/>
        <rFont val="宋体"/>
        <family val="2"/>
        <charset val="134"/>
        <scheme val="minor"/>
      </rPr>
      <t/>
    </r>
  </si>
  <si>
    <r>
      <t>3</t>
    </r>
    <r>
      <rPr>
        <sz val="11"/>
        <color theme="1"/>
        <rFont val="宋体"/>
        <family val="3"/>
        <charset val="134"/>
        <scheme val="minor"/>
      </rPr>
      <t>-1205</t>
    </r>
    <r>
      <rPr>
        <sz val="11"/>
        <color theme="1"/>
        <rFont val="宋体"/>
        <family val="2"/>
        <charset val="134"/>
        <scheme val="minor"/>
      </rPr>
      <t/>
    </r>
  </si>
  <si>
    <r>
      <t>3</t>
    </r>
    <r>
      <rPr>
        <sz val="11"/>
        <color theme="1"/>
        <rFont val="宋体"/>
        <family val="3"/>
        <charset val="134"/>
        <scheme val="minor"/>
      </rPr>
      <t>-1206</t>
    </r>
    <r>
      <rPr>
        <sz val="11"/>
        <color theme="1"/>
        <rFont val="宋体"/>
        <family val="2"/>
        <charset val="134"/>
        <scheme val="minor"/>
      </rPr>
      <t/>
    </r>
  </si>
  <si>
    <r>
      <t>3</t>
    </r>
    <r>
      <rPr>
        <sz val="11"/>
        <color theme="1"/>
        <rFont val="宋体"/>
        <family val="3"/>
        <charset val="134"/>
        <scheme val="minor"/>
      </rPr>
      <t>-1207</t>
    </r>
    <r>
      <rPr>
        <sz val="11"/>
        <color theme="1"/>
        <rFont val="宋体"/>
        <family val="2"/>
        <charset val="134"/>
        <scheme val="minor"/>
      </rPr>
      <t/>
    </r>
  </si>
  <si>
    <r>
      <t>3</t>
    </r>
    <r>
      <rPr>
        <sz val="11"/>
        <color theme="1"/>
        <rFont val="宋体"/>
        <family val="3"/>
        <charset val="134"/>
        <scheme val="minor"/>
      </rPr>
      <t>-1208</t>
    </r>
    <r>
      <rPr>
        <sz val="11"/>
        <color theme="1"/>
        <rFont val="宋体"/>
        <family val="2"/>
        <charset val="134"/>
        <scheme val="minor"/>
      </rPr>
      <t/>
    </r>
  </si>
  <si>
    <r>
      <t>3</t>
    </r>
    <r>
      <rPr>
        <sz val="11"/>
        <color theme="1"/>
        <rFont val="宋体"/>
        <family val="3"/>
        <charset val="134"/>
        <scheme val="minor"/>
      </rPr>
      <t>-1209</t>
    </r>
    <r>
      <rPr>
        <sz val="11"/>
        <color theme="1"/>
        <rFont val="宋体"/>
        <family val="2"/>
        <charset val="134"/>
        <scheme val="minor"/>
      </rPr>
      <t/>
    </r>
  </si>
  <si>
    <r>
      <t>3</t>
    </r>
    <r>
      <rPr>
        <sz val="11"/>
        <color theme="1"/>
        <rFont val="宋体"/>
        <family val="3"/>
        <charset val="134"/>
        <scheme val="minor"/>
      </rPr>
      <t>-1210</t>
    </r>
    <r>
      <rPr>
        <sz val="11"/>
        <color theme="1"/>
        <rFont val="宋体"/>
        <family val="2"/>
        <charset val="134"/>
        <scheme val="minor"/>
      </rPr>
      <t/>
    </r>
  </si>
  <si>
    <r>
      <t>3</t>
    </r>
    <r>
      <rPr>
        <sz val="11"/>
        <color theme="1"/>
        <rFont val="宋体"/>
        <family val="3"/>
        <charset val="134"/>
        <scheme val="minor"/>
      </rPr>
      <t>-1211</t>
    </r>
    <r>
      <rPr>
        <sz val="11"/>
        <color theme="1"/>
        <rFont val="宋体"/>
        <family val="2"/>
        <charset val="134"/>
        <scheme val="minor"/>
      </rPr>
      <t/>
    </r>
  </si>
  <si>
    <r>
      <t>3</t>
    </r>
    <r>
      <rPr>
        <sz val="11"/>
        <color theme="1"/>
        <rFont val="宋体"/>
        <family val="3"/>
        <charset val="134"/>
        <scheme val="minor"/>
      </rPr>
      <t>-1212</t>
    </r>
    <r>
      <rPr>
        <sz val="11"/>
        <color theme="1"/>
        <rFont val="宋体"/>
        <family val="2"/>
        <charset val="134"/>
        <scheme val="minor"/>
      </rPr>
      <t/>
    </r>
  </si>
  <si>
    <r>
      <t>3</t>
    </r>
    <r>
      <rPr>
        <sz val="11"/>
        <color theme="1"/>
        <rFont val="宋体"/>
        <family val="3"/>
        <charset val="134"/>
        <scheme val="minor"/>
      </rPr>
      <t>-1213</t>
    </r>
    <r>
      <rPr>
        <sz val="11"/>
        <color theme="1"/>
        <rFont val="宋体"/>
        <family val="2"/>
        <charset val="134"/>
        <scheme val="minor"/>
      </rPr>
      <t/>
    </r>
  </si>
  <si>
    <r>
      <t>3</t>
    </r>
    <r>
      <rPr>
        <sz val="11"/>
        <color theme="1"/>
        <rFont val="宋体"/>
        <family val="3"/>
        <charset val="134"/>
        <scheme val="minor"/>
      </rPr>
      <t>-1214</t>
    </r>
    <r>
      <rPr>
        <sz val="11"/>
        <color theme="1"/>
        <rFont val="宋体"/>
        <family val="2"/>
        <charset val="134"/>
        <scheme val="minor"/>
      </rPr>
      <t/>
    </r>
  </si>
  <si>
    <r>
      <t>3</t>
    </r>
    <r>
      <rPr>
        <sz val="11"/>
        <color theme="1"/>
        <rFont val="宋体"/>
        <family val="3"/>
        <charset val="134"/>
        <scheme val="minor"/>
      </rPr>
      <t>-1215</t>
    </r>
    <r>
      <rPr>
        <sz val="11"/>
        <color theme="1"/>
        <rFont val="宋体"/>
        <family val="2"/>
        <charset val="134"/>
        <scheme val="minor"/>
      </rPr>
      <t/>
    </r>
  </si>
  <si>
    <r>
      <t>3</t>
    </r>
    <r>
      <rPr>
        <sz val="11"/>
        <color theme="1"/>
        <rFont val="宋体"/>
        <family val="3"/>
        <charset val="134"/>
        <scheme val="minor"/>
      </rPr>
      <t>-1216</t>
    </r>
    <r>
      <rPr>
        <sz val="11"/>
        <color theme="1"/>
        <rFont val="宋体"/>
        <family val="2"/>
        <charset val="134"/>
        <scheme val="minor"/>
      </rPr>
      <t/>
    </r>
  </si>
  <si>
    <r>
      <t>3</t>
    </r>
    <r>
      <rPr>
        <sz val="11"/>
        <color theme="1"/>
        <rFont val="宋体"/>
        <family val="3"/>
        <charset val="134"/>
        <scheme val="minor"/>
      </rPr>
      <t>-1217</t>
    </r>
    <r>
      <rPr>
        <sz val="11"/>
        <color theme="1"/>
        <rFont val="宋体"/>
        <family val="2"/>
        <charset val="134"/>
        <scheme val="minor"/>
      </rPr>
      <t/>
    </r>
  </si>
  <si>
    <r>
      <t>3</t>
    </r>
    <r>
      <rPr>
        <sz val="11"/>
        <color theme="1"/>
        <rFont val="宋体"/>
        <family val="3"/>
        <charset val="134"/>
        <scheme val="minor"/>
      </rPr>
      <t>-1218</t>
    </r>
    <r>
      <rPr>
        <sz val="11"/>
        <color theme="1"/>
        <rFont val="宋体"/>
        <family val="2"/>
        <charset val="134"/>
        <scheme val="minor"/>
      </rPr>
      <t/>
    </r>
  </si>
  <si>
    <r>
      <t>3</t>
    </r>
    <r>
      <rPr>
        <sz val="11"/>
        <color theme="1"/>
        <rFont val="宋体"/>
        <family val="3"/>
        <charset val="134"/>
        <scheme val="minor"/>
      </rPr>
      <t>-1219</t>
    </r>
    <r>
      <rPr>
        <sz val="11"/>
        <color theme="1"/>
        <rFont val="宋体"/>
        <family val="2"/>
        <charset val="134"/>
        <scheme val="minor"/>
      </rPr>
      <t/>
    </r>
  </si>
  <si>
    <r>
      <t>3</t>
    </r>
    <r>
      <rPr>
        <sz val="11"/>
        <color theme="1"/>
        <rFont val="宋体"/>
        <family val="3"/>
        <charset val="134"/>
        <scheme val="minor"/>
      </rPr>
      <t>-1220</t>
    </r>
    <r>
      <rPr>
        <sz val="11"/>
        <color theme="1"/>
        <rFont val="宋体"/>
        <family val="2"/>
        <charset val="134"/>
        <scheme val="minor"/>
      </rPr>
      <t/>
    </r>
  </si>
  <si>
    <r>
      <t>3</t>
    </r>
    <r>
      <rPr>
        <sz val="11"/>
        <color theme="1"/>
        <rFont val="宋体"/>
        <family val="3"/>
        <charset val="134"/>
        <scheme val="minor"/>
      </rPr>
      <t>-1221</t>
    </r>
    <r>
      <rPr>
        <sz val="11"/>
        <color theme="1"/>
        <rFont val="宋体"/>
        <family val="2"/>
        <charset val="134"/>
        <scheme val="minor"/>
      </rPr>
      <t/>
    </r>
  </si>
  <si>
    <r>
      <t>3</t>
    </r>
    <r>
      <rPr>
        <sz val="11"/>
        <color theme="1"/>
        <rFont val="宋体"/>
        <family val="3"/>
        <charset val="134"/>
        <scheme val="minor"/>
      </rPr>
      <t>-1222</t>
    </r>
    <r>
      <rPr>
        <sz val="11"/>
        <color theme="1"/>
        <rFont val="宋体"/>
        <family val="2"/>
        <charset val="134"/>
        <scheme val="minor"/>
      </rPr>
      <t/>
    </r>
  </si>
  <si>
    <r>
      <t>3</t>
    </r>
    <r>
      <rPr>
        <sz val="11"/>
        <color theme="1"/>
        <rFont val="宋体"/>
        <family val="3"/>
        <charset val="134"/>
        <scheme val="minor"/>
      </rPr>
      <t>-1223</t>
    </r>
    <r>
      <rPr>
        <sz val="11"/>
        <color theme="1"/>
        <rFont val="宋体"/>
        <family val="2"/>
        <charset val="134"/>
        <scheme val="minor"/>
      </rPr>
      <t/>
    </r>
  </si>
  <si>
    <r>
      <t>3</t>
    </r>
    <r>
      <rPr>
        <sz val="11"/>
        <color theme="1"/>
        <rFont val="宋体"/>
        <family val="3"/>
        <charset val="134"/>
        <scheme val="minor"/>
      </rPr>
      <t>-1224</t>
    </r>
    <r>
      <rPr>
        <sz val="11"/>
        <color theme="1"/>
        <rFont val="宋体"/>
        <family val="2"/>
        <charset val="134"/>
        <scheme val="minor"/>
      </rPr>
      <t/>
    </r>
  </si>
  <si>
    <r>
      <t>3</t>
    </r>
    <r>
      <rPr>
        <sz val="11"/>
        <color theme="1"/>
        <rFont val="宋体"/>
        <family val="3"/>
        <charset val="134"/>
        <scheme val="minor"/>
      </rPr>
      <t>-1225</t>
    </r>
    <r>
      <rPr>
        <sz val="11"/>
        <color theme="1"/>
        <rFont val="宋体"/>
        <family val="2"/>
        <charset val="134"/>
        <scheme val="minor"/>
      </rPr>
      <t/>
    </r>
  </si>
  <si>
    <r>
      <t>3</t>
    </r>
    <r>
      <rPr>
        <sz val="11"/>
        <color theme="1"/>
        <rFont val="宋体"/>
        <family val="3"/>
        <charset val="134"/>
        <scheme val="minor"/>
      </rPr>
      <t>-1226</t>
    </r>
    <r>
      <rPr>
        <sz val="11"/>
        <color theme="1"/>
        <rFont val="宋体"/>
        <family val="2"/>
        <charset val="134"/>
        <scheme val="minor"/>
      </rPr>
      <t/>
    </r>
  </si>
  <si>
    <r>
      <t>3</t>
    </r>
    <r>
      <rPr>
        <sz val="11"/>
        <color theme="1"/>
        <rFont val="宋体"/>
        <family val="3"/>
        <charset val="134"/>
        <scheme val="minor"/>
      </rPr>
      <t>-1227</t>
    </r>
    <r>
      <rPr>
        <sz val="11"/>
        <color theme="1"/>
        <rFont val="宋体"/>
        <family val="2"/>
        <charset val="134"/>
        <scheme val="minor"/>
      </rPr>
      <t/>
    </r>
  </si>
  <si>
    <r>
      <t>3</t>
    </r>
    <r>
      <rPr>
        <sz val="11"/>
        <color theme="1"/>
        <rFont val="宋体"/>
        <family val="3"/>
        <charset val="134"/>
        <scheme val="minor"/>
      </rPr>
      <t>-1228</t>
    </r>
    <r>
      <rPr>
        <sz val="11"/>
        <color theme="1"/>
        <rFont val="宋体"/>
        <family val="2"/>
        <charset val="134"/>
        <scheme val="minor"/>
      </rPr>
      <t/>
    </r>
  </si>
  <si>
    <r>
      <t>3</t>
    </r>
    <r>
      <rPr>
        <sz val="11"/>
        <color theme="1"/>
        <rFont val="宋体"/>
        <family val="3"/>
        <charset val="134"/>
        <scheme val="minor"/>
      </rPr>
      <t>-1229</t>
    </r>
    <r>
      <rPr>
        <sz val="11"/>
        <color theme="1"/>
        <rFont val="宋体"/>
        <family val="2"/>
        <charset val="134"/>
        <scheme val="minor"/>
      </rPr>
      <t/>
    </r>
  </si>
  <si>
    <r>
      <t>3</t>
    </r>
    <r>
      <rPr>
        <sz val="11"/>
        <color theme="1"/>
        <rFont val="宋体"/>
        <family val="3"/>
        <charset val="134"/>
        <scheme val="minor"/>
      </rPr>
      <t>-1230</t>
    </r>
    <r>
      <rPr>
        <sz val="11"/>
        <color theme="1"/>
        <rFont val="宋体"/>
        <family val="2"/>
        <charset val="134"/>
        <scheme val="minor"/>
      </rPr>
      <t/>
    </r>
  </si>
  <si>
    <r>
      <t>3</t>
    </r>
    <r>
      <rPr>
        <sz val="11"/>
        <color theme="1"/>
        <rFont val="宋体"/>
        <family val="3"/>
        <charset val="134"/>
        <scheme val="minor"/>
      </rPr>
      <t>-1231</t>
    </r>
    <r>
      <rPr>
        <sz val="11"/>
        <color theme="1"/>
        <rFont val="宋体"/>
        <family val="2"/>
        <charset val="134"/>
        <scheme val="minor"/>
      </rPr>
      <t/>
    </r>
  </si>
  <si>
    <r>
      <t>3</t>
    </r>
    <r>
      <rPr>
        <sz val="11"/>
        <color theme="1"/>
        <rFont val="宋体"/>
        <family val="3"/>
        <charset val="134"/>
        <scheme val="minor"/>
      </rPr>
      <t>-1232</t>
    </r>
    <r>
      <rPr>
        <sz val="11"/>
        <color theme="1"/>
        <rFont val="宋体"/>
        <family val="2"/>
        <charset val="134"/>
        <scheme val="minor"/>
      </rPr>
      <t/>
    </r>
  </si>
  <si>
    <r>
      <t>3</t>
    </r>
    <r>
      <rPr>
        <sz val="11"/>
        <color theme="1"/>
        <rFont val="宋体"/>
        <family val="3"/>
        <charset val="134"/>
        <scheme val="minor"/>
      </rPr>
      <t>-1233</t>
    </r>
    <r>
      <rPr>
        <sz val="11"/>
        <color theme="1"/>
        <rFont val="宋体"/>
        <family val="2"/>
        <charset val="134"/>
        <scheme val="minor"/>
      </rPr>
      <t/>
    </r>
  </si>
  <si>
    <r>
      <t>3</t>
    </r>
    <r>
      <rPr>
        <sz val="11"/>
        <color theme="1"/>
        <rFont val="宋体"/>
        <family val="3"/>
        <charset val="134"/>
        <scheme val="minor"/>
      </rPr>
      <t>-1234</t>
    </r>
    <r>
      <rPr>
        <sz val="11"/>
        <color theme="1"/>
        <rFont val="宋体"/>
        <family val="2"/>
        <charset val="134"/>
        <scheme val="minor"/>
      </rPr>
      <t/>
    </r>
  </si>
  <si>
    <r>
      <t>3</t>
    </r>
    <r>
      <rPr>
        <sz val="11"/>
        <color theme="1"/>
        <rFont val="宋体"/>
        <family val="3"/>
        <charset val="134"/>
        <scheme val="minor"/>
      </rPr>
      <t>-1235</t>
    </r>
    <r>
      <rPr>
        <sz val="11"/>
        <color theme="1"/>
        <rFont val="宋体"/>
        <family val="2"/>
        <charset val="134"/>
        <scheme val="minor"/>
      </rPr>
      <t/>
    </r>
  </si>
  <si>
    <r>
      <t>3</t>
    </r>
    <r>
      <rPr>
        <sz val="11"/>
        <color theme="1"/>
        <rFont val="宋体"/>
        <family val="3"/>
        <charset val="134"/>
        <scheme val="minor"/>
      </rPr>
      <t>-1236</t>
    </r>
    <r>
      <rPr>
        <sz val="11"/>
        <color theme="1"/>
        <rFont val="宋体"/>
        <family val="2"/>
        <charset val="134"/>
        <scheme val="minor"/>
      </rPr>
      <t/>
    </r>
  </si>
  <si>
    <r>
      <t>3</t>
    </r>
    <r>
      <rPr>
        <sz val="11"/>
        <color theme="1"/>
        <rFont val="宋体"/>
        <family val="3"/>
        <charset val="134"/>
        <scheme val="minor"/>
      </rPr>
      <t>-1237</t>
    </r>
    <r>
      <rPr>
        <sz val="11"/>
        <color theme="1"/>
        <rFont val="宋体"/>
        <family val="2"/>
        <charset val="134"/>
        <scheme val="minor"/>
      </rPr>
      <t/>
    </r>
  </si>
  <si>
    <r>
      <t>3</t>
    </r>
    <r>
      <rPr>
        <sz val="11"/>
        <color theme="1"/>
        <rFont val="宋体"/>
        <family val="3"/>
        <charset val="134"/>
        <scheme val="minor"/>
      </rPr>
      <t>-1238</t>
    </r>
    <r>
      <rPr>
        <sz val="11"/>
        <color theme="1"/>
        <rFont val="宋体"/>
        <family val="2"/>
        <charset val="134"/>
        <scheme val="minor"/>
      </rPr>
      <t/>
    </r>
  </si>
  <si>
    <r>
      <t>3</t>
    </r>
    <r>
      <rPr>
        <sz val="11"/>
        <color theme="1"/>
        <rFont val="宋体"/>
        <family val="3"/>
        <charset val="134"/>
        <scheme val="minor"/>
      </rPr>
      <t>-1239</t>
    </r>
    <r>
      <rPr>
        <sz val="11"/>
        <color theme="1"/>
        <rFont val="宋体"/>
        <family val="2"/>
        <charset val="134"/>
        <scheme val="minor"/>
      </rPr>
      <t/>
    </r>
  </si>
  <si>
    <r>
      <t>3</t>
    </r>
    <r>
      <rPr>
        <sz val="11"/>
        <color theme="1"/>
        <rFont val="宋体"/>
        <family val="3"/>
        <charset val="134"/>
        <scheme val="minor"/>
      </rPr>
      <t>-1240</t>
    </r>
    <r>
      <rPr>
        <sz val="11"/>
        <color theme="1"/>
        <rFont val="宋体"/>
        <family val="2"/>
        <charset val="134"/>
        <scheme val="minor"/>
      </rPr>
      <t/>
    </r>
  </si>
  <si>
    <r>
      <t>3</t>
    </r>
    <r>
      <rPr>
        <sz val="11"/>
        <color theme="1"/>
        <rFont val="宋体"/>
        <family val="3"/>
        <charset val="134"/>
        <scheme val="minor"/>
      </rPr>
      <t>-1241</t>
    </r>
    <r>
      <rPr>
        <sz val="11"/>
        <color theme="1"/>
        <rFont val="宋体"/>
        <family val="2"/>
        <charset val="134"/>
        <scheme val="minor"/>
      </rPr>
      <t/>
    </r>
  </si>
  <si>
    <r>
      <t>3</t>
    </r>
    <r>
      <rPr>
        <sz val="11"/>
        <color theme="1"/>
        <rFont val="宋体"/>
        <family val="3"/>
        <charset val="134"/>
        <scheme val="minor"/>
      </rPr>
      <t>-1242</t>
    </r>
    <r>
      <rPr>
        <sz val="11"/>
        <color theme="1"/>
        <rFont val="宋体"/>
        <family val="2"/>
        <charset val="134"/>
        <scheme val="minor"/>
      </rPr>
      <t/>
    </r>
  </si>
  <si>
    <r>
      <t>3</t>
    </r>
    <r>
      <rPr>
        <sz val="11"/>
        <color theme="1"/>
        <rFont val="宋体"/>
        <family val="3"/>
        <charset val="134"/>
        <scheme val="minor"/>
      </rPr>
      <t>-1243</t>
    </r>
    <r>
      <rPr>
        <sz val="11"/>
        <color theme="1"/>
        <rFont val="宋体"/>
        <family val="2"/>
        <charset val="134"/>
        <scheme val="minor"/>
      </rPr>
      <t/>
    </r>
  </si>
  <si>
    <r>
      <t>3</t>
    </r>
    <r>
      <rPr>
        <sz val="11"/>
        <color theme="1"/>
        <rFont val="宋体"/>
        <family val="3"/>
        <charset val="134"/>
        <scheme val="minor"/>
      </rPr>
      <t>-1244</t>
    </r>
    <r>
      <rPr>
        <sz val="11"/>
        <color theme="1"/>
        <rFont val="宋体"/>
        <family val="2"/>
        <charset val="134"/>
        <scheme val="minor"/>
      </rPr>
      <t/>
    </r>
  </si>
  <si>
    <r>
      <t>3</t>
    </r>
    <r>
      <rPr>
        <sz val="11"/>
        <color theme="1"/>
        <rFont val="宋体"/>
        <family val="3"/>
        <charset val="134"/>
        <scheme val="minor"/>
      </rPr>
      <t>-1245</t>
    </r>
    <r>
      <rPr>
        <sz val="11"/>
        <color theme="1"/>
        <rFont val="宋体"/>
        <family val="2"/>
        <charset val="134"/>
        <scheme val="minor"/>
      </rPr>
      <t/>
    </r>
  </si>
  <si>
    <r>
      <t>3</t>
    </r>
    <r>
      <rPr>
        <sz val="11"/>
        <color theme="1"/>
        <rFont val="宋体"/>
        <family val="3"/>
        <charset val="134"/>
        <scheme val="minor"/>
      </rPr>
      <t>-1246</t>
    </r>
    <r>
      <rPr>
        <sz val="11"/>
        <color theme="1"/>
        <rFont val="宋体"/>
        <family val="2"/>
        <charset val="134"/>
        <scheme val="minor"/>
      </rPr>
      <t/>
    </r>
  </si>
  <si>
    <r>
      <t>3</t>
    </r>
    <r>
      <rPr>
        <sz val="11"/>
        <color theme="1"/>
        <rFont val="宋体"/>
        <family val="3"/>
        <charset val="134"/>
        <scheme val="minor"/>
      </rPr>
      <t>-1247</t>
    </r>
    <r>
      <rPr>
        <sz val="11"/>
        <color theme="1"/>
        <rFont val="宋体"/>
        <family val="2"/>
        <charset val="134"/>
        <scheme val="minor"/>
      </rPr>
      <t/>
    </r>
  </si>
  <si>
    <r>
      <t>3</t>
    </r>
    <r>
      <rPr>
        <sz val="11"/>
        <color theme="1"/>
        <rFont val="宋体"/>
        <family val="3"/>
        <charset val="134"/>
        <scheme val="minor"/>
      </rPr>
      <t>-1248</t>
    </r>
    <r>
      <rPr>
        <sz val="11"/>
        <color theme="1"/>
        <rFont val="宋体"/>
        <family val="2"/>
        <charset val="134"/>
        <scheme val="minor"/>
      </rPr>
      <t/>
    </r>
  </si>
  <si>
    <r>
      <t>3</t>
    </r>
    <r>
      <rPr>
        <sz val="11"/>
        <color theme="1"/>
        <rFont val="宋体"/>
        <family val="3"/>
        <charset val="134"/>
        <scheme val="minor"/>
      </rPr>
      <t>-1249</t>
    </r>
    <r>
      <rPr>
        <sz val="11"/>
        <color theme="1"/>
        <rFont val="宋体"/>
        <family val="2"/>
        <charset val="134"/>
        <scheme val="minor"/>
      </rPr>
      <t/>
    </r>
  </si>
  <si>
    <r>
      <t>3</t>
    </r>
    <r>
      <rPr>
        <sz val="11"/>
        <color theme="1"/>
        <rFont val="宋体"/>
        <family val="3"/>
        <charset val="134"/>
        <scheme val="minor"/>
      </rPr>
      <t>-1250</t>
    </r>
    <r>
      <rPr>
        <sz val="11"/>
        <color theme="1"/>
        <rFont val="宋体"/>
        <family val="2"/>
        <charset val="134"/>
        <scheme val="minor"/>
      </rPr>
      <t/>
    </r>
  </si>
  <si>
    <r>
      <t>3</t>
    </r>
    <r>
      <rPr>
        <sz val="11"/>
        <color theme="1"/>
        <rFont val="宋体"/>
        <family val="3"/>
        <charset val="134"/>
        <scheme val="minor"/>
      </rPr>
      <t>-1251</t>
    </r>
    <r>
      <rPr>
        <sz val="11"/>
        <color theme="1"/>
        <rFont val="宋体"/>
        <family val="2"/>
        <charset val="134"/>
        <scheme val="minor"/>
      </rPr>
      <t/>
    </r>
  </si>
  <si>
    <r>
      <t>3</t>
    </r>
    <r>
      <rPr>
        <sz val="11"/>
        <color theme="1"/>
        <rFont val="宋体"/>
        <family val="3"/>
        <charset val="134"/>
        <scheme val="minor"/>
      </rPr>
      <t>-1252</t>
    </r>
    <r>
      <rPr>
        <sz val="11"/>
        <color theme="1"/>
        <rFont val="宋体"/>
        <family val="2"/>
        <charset val="134"/>
        <scheme val="minor"/>
      </rPr>
      <t/>
    </r>
  </si>
  <si>
    <r>
      <t>4</t>
    </r>
    <r>
      <rPr>
        <sz val="11"/>
        <color theme="1"/>
        <rFont val="宋体"/>
        <family val="3"/>
        <charset val="134"/>
        <scheme val="minor"/>
      </rPr>
      <t>-1201</t>
    </r>
    <phoneticPr fontId="144" type="noConversion"/>
  </si>
  <si>
    <r>
      <t>4</t>
    </r>
    <r>
      <rPr>
        <sz val="11"/>
        <color theme="1"/>
        <rFont val="宋体"/>
        <family val="3"/>
        <charset val="134"/>
        <scheme val="minor"/>
      </rPr>
      <t>-1202</t>
    </r>
    <r>
      <rPr>
        <sz val="11"/>
        <color theme="1"/>
        <rFont val="宋体"/>
        <family val="2"/>
        <charset val="134"/>
        <scheme val="minor"/>
      </rPr>
      <t/>
    </r>
  </si>
  <si>
    <r>
      <t>4</t>
    </r>
    <r>
      <rPr>
        <sz val="11"/>
        <color theme="1"/>
        <rFont val="宋体"/>
        <family val="3"/>
        <charset val="134"/>
        <scheme val="minor"/>
      </rPr>
      <t>-1203</t>
    </r>
    <r>
      <rPr>
        <sz val="11"/>
        <color theme="1"/>
        <rFont val="宋体"/>
        <family val="2"/>
        <charset val="134"/>
        <scheme val="minor"/>
      </rPr>
      <t/>
    </r>
  </si>
  <si>
    <r>
      <t>4</t>
    </r>
    <r>
      <rPr>
        <sz val="11"/>
        <color theme="1"/>
        <rFont val="宋体"/>
        <family val="3"/>
        <charset val="134"/>
        <scheme val="minor"/>
      </rPr>
      <t>-1204</t>
    </r>
    <r>
      <rPr>
        <sz val="11"/>
        <color theme="1"/>
        <rFont val="宋体"/>
        <family val="2"/>
        <charset val="134"/>
        <scheme val="minor"/>
      </rPr>
      <t/>
    </r>
  </si>
  <si>
    <r>
      <t>4</t>
    </r>
    <r>
      <rPr>
        <sz val="11"/>
        <color theme="1"/>
        <rFont val="宋体"/>
        <family val="3"/>
        <charset val="134"/>
        <scheme val="minor"/>
      </rPr>
      <t>-1205</t>
    </r>
    <r>
      <rPr>
        <sz val="11"/>
        <color theme="1"/>
        <rFont val="宋体"/>
        <family val="2"/>
        <charset val="134"/>
        <scheme val="minor"/>
      </rPr>
      <t/>
    </r>
  </si>
  <si>
    <r>
      <t>4</t>
    </r>
    <r>
      <rPr>
        <sz val="11"/>
        <color theme="1"/>
        <rFont val="宋体"/>
        <family val="3"/>
        <charset val="134"/>
        <scheme val="minor"/>
      </rPr>
      <t>-1206</t>
    </r>
    <r>
      <rPr>
        <sz val="11"/>
        <color theme="1"/>
        <rFont val="宋体"/>
        <family val="2"/>
        <charset val="134"/>
        <scheme val="minor"/>
      </rPr>
      <t/>
    </r>
  </si>
  <si>
    <r>
      <t>4</t>
    </r>
    <r>
      <rPr>
        <sz val="11"/>
        <color theme="1"/>
        <rFont val="宋体"/>
        <family val="3"/>
        <charset val="134"/>
        <scheme val="minor"/>
      </rPr>
      <t>-1207</t>
    </r>
    <r>
      <rPr>
        <sz val="11"/>
        <color theme="1"/>
        <rFont val="宋体"/>
        <family val="2"/>
        <charset val="134"/>
        <scheme val="minor"/>
      </rPr>
      <t/>
    </r>
  </si>
  <si>
    <r>
      <t>4</t>
    </r>
    <r>
      <rPr>
        <sz val="11"/>
        <color theme="1"/>
        <rFont val="宋体"/>
        <family val="3"/>
        <charset val="134"/>
        <scheme val="minor"/>
      </rPr>
      <t>-1208</t>
    </r>
    <r>
      <rPr>
        <sz val="11"/>
        <color theme="1"/>
        <rFont val="宋体"/>
        <family val="2"/>
        <charset val="134"/>
        <scheme val="minor"/>
      </rPr>
      <t/>
    </r>
  </si>
  <si>
    <r>
      <t>4</t>
    </r>
    <r>
      <rPr>
        <sz val="11"/>
        <color theme="1"/>
        <rFont val="宋体"/>
        <family val="3"/>
        <charset val="134"/>
        <scheme val="minor"/>
      </rPr>
      <t>-1209</t>
    </r>
    <r>
      <rPr>
        <sz val="11"/>
        <color theme="1"/>
        <rFont val="宋体"/>
        <family val="2"/>
        <charset val="134"/>
        <scheme val="minor"/>
      </rPr>
      <t/>
    </r>
  </si>
  <si>
    <r>
      <t>4</t>
    </r>
    <r>
      <rPr>
        <sz val="11"/>
        <color theme="1"/>
        <rFont val="宋体"/>
        <family val="3"/>
        <charset val="134"/>
        <scheme val="minor"/>
      </rPr>
      <t>-1210</t>
    </r>
    <r>
      <rPr>
        <sz val="11"/>
        <color theme="1"/>
        <rFont val="宋体"/>
        <family val="2"/>
        <charset val="134"/>
        <scheme val="minor"/>
      </rPr>
      <t/>
    </r>
  </si>
  <si>
    <r>
      <t>4</t>
    </r>
    <r>
      <rPr>
        <sz val="11"/>
        <color theme="1"/>
        <rFont val="宋体"/>
        <family val="3"/>
        <charset val="134"/>
        <scheme val="minor"/>
      </rPr>
      <t>-1211</t>
    </r>
    <r>
      <rPr>
        <sz val="11"/>
        <color theme="1"/>
        <rFont val="宋体"/>
        <family val="2"/>
        <charset val="134"/>
        <scheme val="minor"/>
      </rPr>
      <t/>
    </r>
  </si>
  <si>
    <r>
      <t>4</t>
    </r>
    <r>
      <rPr>
        <sz val="11"/>
        <color theme="1"/>
        <rFont val="宋体"/>
        <family val="3"/>
        <charset val="134"/>
        <scheme val="minor"/>
      </rPr>
      <t>-1212</t>
    </r>
    <r>
      <rPr>
        <sz val="11"/>
        <color theme="1"/>
        <rFont val="宋体"/>
        <family val="2"/>
        <charset val="134"/>
        <scheme val="minor"/>
      </rPr>
      <t/>
    </r>
  </si>
  <si>
    <r>
      <t>4</t>
    </r>
    <r>
      <rPr>
        <sz val="11"/>
        <color theme="1"/>
        <rFont val="宋体"/>
        <family val="3"/>
        <charset val="134"/>
        <scheme val="minor"/>
      </rPr>
      <t>-1213</t>
    </r>
    <r>
      <rPr>
        <sz val="11"/>
        <color theme="1"/>
        <rFont val="宋体"/>
        <family val="2"/>
        <charset val="134"/>
        <scheme val="minor"/>
      </rPr>
      <t/>
    </r>
  </si>
  <si>
    <r>
      <t>4</t>
    </r>
    <r>
      <rPr>
        <sz val="11"/>
        <color theme="1"/>
        <rFont val="宋体"/>
        <family val="3"/>
        <charset val="134"/>
        <scheme val="minor"/>
      </rPr>
      <t>-1214</t>
    </r>
    <r>
      <rPr>
        <sz val="11"/>
        <color theme="1"/>
        <rFont val="宋体"/>
        <family val="2"/>
        <charset val="134"/>
        <scheme val="minor"/>
      </rPr>
      <t/>
    </r>
  </si>
  <si>
    <r>
      <t>4</t>
    </r>
    <r>
      <rPr>
        <sz val="11"/>
        <color theme="1"/>
        <rFont val="宋体"/>
        <family val="3"/>
        <charset val="134"/>
        <scheme val="minor"/>
      </rPr>
      <t>-1215</t>
    </r>
    <r>
      <rPr>
        <sz val="11"/>
        <color theme="1"/>
        <rFont val="宋体"/>
        <family val="2"/>
        <charset val="134"/>
        <scheme val="minor"/>
      </rPr>
      <t/>
    </r>
  </si>
  <si>
    <r>
      <t>4</t>
    </r>
    <r>
      <rPr>
        <sz val="11"/>
        <color theme="1"/>
        <rFont val="宋体"/>
        <family val="3"/>
        <charset val="134"/>
        <scheme val="minor"/>
      </rPr>
      <t>-1216</t>
    </r>
    <r>
      <rPr>
        <sz val="11"/>
        <color theme="1"/>
        <rFont val="宋体"/>
        <family val="2"/>
        <charset val="134"/>
        <scheme val="minor"/>
      </rPr>
      <t/>
    </r>
  </si>
  <si>
    <r>
      <t>4</t>
    </r>
    <r>
      <rPr>
        <sz val="11"/>
        <color theme="1"/>
        <rFont val="宋体"/>
        <family val="3"/>
        <charset val="134"/>
        <scheme val="minor"/>
      </rPr>
      <t>-1217</t>
    </r>
    <r>
      <rPr>
        <sz val="11"/>
        <color theme="1"/>
        <rFont val="宋体"/>
        <family val="2"/>
        <charset val="134"/>
        <scheme val="minor"/>
      </rPr>
      <t/>
    </r>
  </si>
  <si>
    <r>
      <t>4</t>
    </r>
    <r>
      <rPr>
        <sz val="11"/>
        <color theme="1"/>
        <rFont val="宋体"/>
        <family val="3"/>
        <charset val="134"/>
        <scheme val="minor"/>
      </rPr>
      <t>-1218</t>
    </r>
    <r>
      <rPr>
        <sz val="11"/>
        <color theme="1"/>
        <rFont val="宋体"/>
        <family val="2"/>
        <charset val="134"/>
        <scheme val="minor"/>
      </rPr>
      <t/>
    </r>
  </si>
  <si>
    <r>
      <t>4</t>
    </r>
    <r>
      <rPr>
        <sz val="11"/>
        <color theme="1"/>
        <rFont val="宋体"/>
        <family val="3"/>
        <charset val="134"/>
        <scheme val="minor"/>
      </rPr>
      <t>-1219</t>
    </r>
    <r>
      <rPr>
        <sz val="11"/>
        <color theme="1"/>
        <rFont val="宋体"/>
        <family val="2"/>
        <charset val="134"/>
        <scheme val="minor"/>
      </rPr>
      <t/>
    </r>
  </si>
  <si>
    <r>
      <t>4</t>
    </r>
    <r>
      <rPr>
        <sz val="11"/>
        <color theme="1"/>
        <rFont val="宋体"/>
        <family val="3"/>
        <charset val="134"/>
        <scheme val="minor"/>
      </rPr>
      <t>-1220</t>
    </r>
    <r>
      <rPr>
        <sz val="11"/>
        <color theme="1"/>
        <rFont val="宋体"/>
        <family val="2"/>
        <charset val="134"/>
        <scheme val="minor"/>
      </rPr>
      <t/>
    </r>
  </si>
  <si>
    <r>
      <t>4</t>
    </r>
    <r>
      <rPr>
        <sz val="11"/>
        <color theme="1"/>
        <rFont val="宋体"/>
        <family val="3"/>
        <charset val="134"/>
        <scheme val="minor"/>
      </rPr>
      <t>-1221</t>
    </r>
    <r>
      <rPr>
        <sz val="11"/>
        <color theme="1"/>
        <rFont val="宋体"/>
        <family val="2"/>
        <charset val="134"/>
        <scheme val="minor"/>
      </rPr>
      <t/>
    </r>
  </si>
  <si>
    <r>
      <t>4</t>
    </r>
    <r>
      <rPr>
        <sz val="11"/>
        <color theme="1"/>
        <rFont val="宋体"/>
        <family val="3"/>
        <charset val="134"/>
        <scheme val="minor"/>
      </rPr>
      <t>-1222</t>
    </r>
    <r>
      <rPr>
        <sz val="11"/>
        <color theme="1"/>
        <rFont val="宋体"/>
        <family val="2"/>
        <charset val="134"/>
        <scheme val="minor"/>
      </rPr>
      <t/>
    </r>
  </si>
  <si>
    <r>
      <t>4</t>
    </r>
    <r>
      <rPr>
        <sz val="11"/>
        <color theme="1"/>
        <rFont val="宋体"/>
        <family val="3"/>
        <charset val="134"/>
        <scheme val="minor"/>
      </rPr>
      <t>-1223</t>
    </r>
    <r>
      <rPr>
        <sz val="11"/>
        <color theme="1"/>
        <rFont val="宋体"/>
        <family val="2"/>
        <charset val="134"/>
        <scheme val="minor"/>
      </rPr>
      <t/>
    </r>
  </si>
  <si>
    <r>
      <t>4</t>
    </r>
    <r>
      <rPr>
        <sz val="11"/>
        <color theme="1"/>
        <rFont val="宋体"/>
        <family val="3"/>
        <charset val="134"/>
        <scheme val="minor"/>
      </rPr>
      <t>-1224</t>
    </r>
    <r>
      <rPr>
        <sz val="11"/>
        <color theme="1"/>
        <rFont val="宋体"/>
        <family val="2"/>
        <charset val="134"/>
        <scheme val="minor"/>
      </rPr>
      <t/>
    </r>
  </si>
  <si>
    <r>
      <t>4</t>
    </r>
    <r>
      <rPr>
        <sz val="11"/>
        <color theme="1"/>
        <rFont val="宋体"/>
        <family val="3"/>
        <charset val="134"/>
        <scheme val="minor"/>
      </rPr>
      <t>-1225</t>
    </r>
    <r>
      <rPr>
        <sz val="11"/>
        <color theme="1"/>
        <rFont val="宋体"/>
        <family val="2"/>
        <charset val="134"/>
        <scheme val="minor"/>
      </rPr>
      <t/>
    </r>
  </si>
  <si>
    <r>
      <t>4</t>
    </r>
    <r>
      <rPr>
        <sz val="11"/>
        <color theme="1"/>
        <rFont val="宋体"/>
        <family val="3"/>
        <charset val="134"/>
        <scheme val="minor"/>
      </rPr>
      <t>-1226</t>
    </r>
    <r>
      <rPr>
        <sz val="11"/>
        <color theme="1"/>
        <rFont val="宋体"/>
        <family val="2"/>
        <charset val="134"/>
        <scheme val="minor"/>
      </rPr>
      <t/>
    </r>
  </si>
  <si>
    <r>
      <t>4</t>
    </r>
    <r>
      <rPr>
        <sz val="11"/>
        <color theme="1"/>
        <rFont val="宋体"/>
        <family val="3"/>
        <charset val="134"/>
        <scheme val="minor"/>
      </rPr>
      <t>-1227</t>
    </r>
    <r>
      <rPr>
        <sz val="11"/>
        <color theme="1"/>
        <rFont val="宋体"/>
        <family val="2"/>
        <charset val="134"/>
        <scheme val="minor"/>
      </rPr>
      <t/>
    </r>
  </si>
  <si>
    <r>
      <t>4</t>
    </r>
    <r>
      <rPr>
        <sz val="11"/>
        <color theme="1"/>
        <rFont val="宋体"/>
        <family val="3"/>
        <charset val="134"/>
        <scheme val="minor"/>
      </rPr>
      <t>-1228</t>
    </r>
    <r>
      <rPr>
        <sz val="11"/>
        <color theme="1"/>
        <rFont val="宋体"/>
        <family val="2"/>
        <charset val="134"/>
        <scheme val="minor"/>
      </rPr>
      <t/>
    </r>
  </si>
  <si>
    <r>
      <t>4</t>
    </r>
    <r>
      <rPr>
        <sz val="11"/>
        <color theme="1"/>
        <rFont val="宋体"/>
        <family val="3"/>
        <charset val="134"/>
        <scheme val="minor"/>
      </rPr>
      <t>-1229</t>
    </r>
    <r>
      <rPr>
        <sz val="11"/>
        <color theme="1"/>
        <rFont val="宋体"/>
        <family val="2"/>
        <charset val="134"/>
        <scheme val="minor"/>
      </rPr>
      <t/>
    </r>
  </si>
  <si>
    <r>
      <t>4</t>
    </r>
    <r>
      <rPr>
        <sz val="11"/>
        <color theme="1"/>
        <rFont val="宋体"/>
        <family val="3"/>
        <charset val="134"/>
        <scheme val="minor"/>
      </rPr>
      <t>-1230</t>
    </r>
    <r>
      <rPr>
        <sz val="11"/>
        <color theme="1"/>
        <rFont val="宋体"/>
        <family val="2"/>
        <charset val="134"/>
        <scheme val="minor"/>
      </rPr>
      <t/>
    </r>
  </si>
  <si>
    <r>
      <t>4</t>
    </r>
    <r>
      <rPr>
        <sz val="11"/>
        <color theme="1"/>
        <rFont val="宋体"/>
        <family val="3"/>
        <charset val="134"/>
        <scheme val="minor"/>
      </rPr>
      <t>-1231</t>
    </r>
    <r>
      <rPr>
        <sz val="11"/>
        <color theme="1"/>
        <rFont val="宋体"/>
        <family val="2"/>
        <charset val="134"/>
        <scheme val="minor"/>
      </rPr>
      <t/>
    </r>
  </si>
  <si>
    <r>
      <t>4</t>
    </r>
    <r>
      <rPr>
        <sz val="11"/>
        <color theme="1"/>
        <rFont val="宋体"/>
        <family val="3"/>
        <charset val="134"/>
        <scheme val="minor"/>
      </rPr>
      <t>-1232</t>
    </r>
    <r>
      <rPr>
        <sz val="11"/>
        <color theme="1"/>
        <rFont val="宋体"/>
        <family val="2"/>
        <charset val="134"/>
        <scheme val="minor"/>
      </rPr>
      <t/>
    </r>
  </si>
  <si>
    <r>
      <t>4</t>
    </r>
    <r>
      <rPr>
        <sz val="11"/>
        <color theme="1"/>
        <rFont val="宋体"/>
        <family val="3"/>
        <charset val="134"/>
        <scheme val="minor"/>
      </rPr>
      <t>-1233</t>
    </r>
    <r>
      <rPr>
        <sz val="11"/>
        <color theme="1"/>
        <rFont val="宋体"/>
        <family val="2"/>
        <charset val="134"/>
        <scheme val="minor"/>
      </rPr>
      <t/>
    </r>
  </si>
  <si>
    <r>
      <t>4</t>
    </r>
    <r>
      <rPr>
        <sz val="11"/>
        <color theme="1"/>
        <rFont val="宋体"/>
        <family val="3"/>
        <charset val="134"/>
        <scheme val="minor"/>
      </rPr>
      <t>-1234</t>
    </r>
    <r>
      <rPr>
        <sz val="11"/>
        <color theme="1"/>
        <rFont val="宋体"/>
        <family val="2"/>
        <charset val="134"/>
        <scheme val="minor"/>
      </rPr>
      <t/>
    </r>
  </si>
  <si>
    <r>
      <t>4</t>
    </r>
    <r>
      <rPr>
        <sz val="11"/>
        <color theme="1"/>
        <rFont val="宋体"/>
        <family val="3"/>
        <charset val="134"/>
        <scheme val="minor"/>
      </rPr>
      <t>-1235</t>
    </r>
    <r>
      <rPr>
        <sz val="11"/>
        <color theme="1"/>
        <rFont val="宋体"/>
        <family val="2"/>
        <charset val="134"/>
        <scheme val="minor"/>
      </rPr>
      <t/>
    </r>
  </si>
  <si>
    <r>
      <t>4</t>
    </r>
    <r>
      <rPr>
        <sz val="11"/>
        <color theme="1"/>
        <rFont val="宋体"/>
        <family val="3"/>
        <charset val="134"/>
        <scheme val="minor"/>
      </rPr>
      <t>-1236</t>
    </r>
    <r>
      <rPr>
        <sz val="11"/>
        <color theme="1"/>
        <rFont val="宋体"/>
        <family val="2"/>
        <charset val="134"/>
        <scheme val="minor"/>
      </rPr>
      <t/>
    </r>
  </si>
  <si>
    <r>
      <t>4</t>
    </r>
    <r>
      <rPr>
        <sz val="11"/>
        <color theme="1"/>
        <rFont val="宋体"/>
        <family val="3"/>
        <charset val="134"/>
        <scheme val="minor"/>
      </rPr>
      <t>-1237</t>
    </r>
    <r>
      <rPr>
        <sz val="11"/>
        <color theme="1"/>
        <rFont val="宋体"/>
        <family val="2"/>
        <charset val="134"/>
        <scheme val="minor"/>
      </rPr>
      <t/>
    </r>
  </si>
  <si>
    <r>
      <t>4</t>
    </r>
    <r>
      <rPr>
        <sz val="11"/>
        <color theme="1"/>
        <rFont val="宋体"/>
        <family val="3"/>
        <charset val="134"/>
        <scheme val="minor"/>
      </rPr>
      <t>-1238</t>
    </r>
    <r>
      <rPr>
        <sz val="11"/>
        <color theme="1"/>
        <rFont val="宋体"/>
        <family val="2"/>
        <charset val="134"/>
        <scheme val="minor"/>
      </rPr>
      <t/>
    </r>
  </si>
  <si>
    <r>
      <t>4</t>
    </r>
    <r>
      <rPr>
        <sz val="11"/>
        <color theme="1"/>
        <rFont val="宋体"/>
        <family val="3"/>
        <charset val="134"/>
        <scheme val="minor"/>
      </rPr>
      <t>-1239</t>
    </r>
    <r>
      <rPr>
        <sz val="11"/>
        <color theme="1"/>
        <rFont val="宋体"/>
        <family val="2"/>
        <charset val="134"/>
        <scheme val="minor"/>
      </rPr>
      <t/>
    </r>
  </si>
  <si>
    <r>
      <t>4</t>
    </r>
    <r>
      <rPr>
        <sz val="11"/>
        <color theme="1"/>
        <rFont val="宋体"/>
        <family val="3"/>
        <charset val="134"/>
        <scheme val="minor"/>
      </rPr>
      <t>-1240</t>
    </r>
    <r>
      <rPr>
        <sz val="11"/>
        <color theme="1"/>
        <rFont val="宋体"/>
        <family val="2"/>
        <charset val="134"/>
        <scheme val="minor"/>
      </rPr>
      <t/>
    </r>
  </si>
  <si>
    <r>
      <t>4</t>
    </r>
    <r>
      <rPr>
        <sz val="11"/>
        <color theme="1"/>
        <rFont val="宋体"/>
        <family val="3"/>
        <charset val="134"/>
        <scheme val="minor"/>
      </rPr>
      <t>-1241</t>
    </r>
    <r>
      <rPr>
        <sz val="11"/>
        <color theme="1"/>
        <rFont val="宋体"/>
        <family val="2"/>
        <charset val="134"/>
        <scheme val="minor"/>
      </rPr>
      <t/>
    </r>
  </si>
  <si>
    <r>
      <t>4</t>
    </r>
    <r>
      <rPr>
        <sz val="11"/>
        <color theme="1"/>
        <rFont val="宋体"/>
        <family val="3"/>
        <charset val="134"/>
        <scheme val="minor"/>
      </rPr>
      <t>-1242</t>
    </r>
    <r>
      <rPr>
        <sz val="11"/>
        <color theme="1"/>
        <rFont val="宋体"/>
        <family val="2"/>
        <charset val="134"/>
        <scheme val="minor"/>
      </rPr>
      <t/>
    </r>
  </si>
  <si>
    <r>
      <t>4</t>
    </r>
    <r>
      <rPr>
        <sz val="11"/>
        <color theme="1"/>
        <rFont val="宋体"/>
        <family val="3"/>
        <charset val="134"/>
        <scheme val="minor"/>
      </rPr>
      <t>-1243</t>
    </r>
    <r>
      <rPr>
        <sz val="11"/>
        <color theme="1"/>
        <rFont val="宋体"/>
        <family val="2"/>
        <charset val="134"/>
        <scheme val="minor"/>
      </rPr>
      <t/>
    </r>
  </si>
  <si>
    <r>
      <t>4</t>
    </r>
    <r>
      <rPr>
        <sz val="11"/>
        <color theme="1"/>
        <rFont val="宋体"/>
        <family val="3"/>
        <charset val="134"/>
        <scheme val="minor"/>
      </rPr>
      <t>-1244</t>
    </r>
    <r>
      <rPr>
        <sz val="11"/>
        <color theme="1"/>
        <rFont val="宋体"/>
        <family val="2"/>
        <charset val="134"/>
        <scheme val="minor"/>
      </rPr>
      <t/>
    </r>
  </si>
  <si>
    <r>
      <t>4</t>
    </r>
    <r>
      <rPr>
        <sz val="11"/>
        <color theme="1"/>
        <rFont val="宋体"/>
        <family val="3"/>
        <charset val="134"/>
        <scheme val="minor"/>
      </rPr>
      <t>-1245</t>
    </r>
    <r>
      <rPr>
        <sz val="11"/>
        <color theme="1"/>
        <rFont val="宋体"/>
        <family val="2"/>
        <charset val="134"/>
        <scheme val="minor"/>
      </rPr>
      <t/>
    </r>
  </si>
  <si>
    <r>
      <t>1</t>
    </r>
    <r>
      <rPr>
        <sz val="11"/>
        <color theme="1"/>
        <rFont val="宋体"/>
        <family val="3"/>
        <charset val="134"/>
        <scheme val="minor"/>
      </rPr>
      <t>-1301</t>
    </r>
    <phoneticPr fontId="144" type="noConversion"/>
  </si>
  <si>
    <r>
      <t>1</t>
    </r>
    <r>
      <rPr>
        <sz val="11"/>
        <color theme="1"/>
        <rFont val="宋体"/>
        <family val="3"/>
        <charset val="134"/>
        <scheme val="minor"/>
      </rPr>
      <t>-1302</t>
    </r>
    <r>
      <rPr>
        <sz val="11"/>
        <color theme="1"/>
        <rFont val="宋体"/>
        <family val="2"/>
        <charset val="134"/>
        <scheme val="minor"/>
      </rPr>
      <t/>
    </r>
  </si>
  <si>
    <r>
      <t>1</t>
    </r>
    <r>
      <rPr>
        <sz val="11"/>
        <color theme="1"/>
        <rFont val="宋体"/>
        <family val="3"/>
        <charset val="134"/>
        <scheme val="minor"/>
      </rPr>
      <t>-1303</t>
    </r>
    <r>
      <rPr>
        <sz val="11"/>
        <color theme="1"/>
        <rFont val="宋体"/>
        <family val="2"/>
        <charset val="134"/>
        <scheme val="minor"/>
      </rPr>
      <t/>
    </r>
  </si>
  <si>
    <r>
      <t>1</t>
    </r>
    <r>
      <rPr>
        <sz val="11"/>
        <color theme="1"/>
        <rFont val="宋体"/>
        <family val="3"/>
        <charset val="134"/>
        <scheme val="minor"/>
      </rPr>
      <t>-1304</t>
    </r>
    <r>
      <rPr>
        <sz val="11"/>
        <color theme="1"/>
        <rFont val="宋体"/>
        <family val="2"/>
        <charset val="134"/>
        <scheme val="minor"/>
      </rPr>
      <t/>
    </r>
  </si>
  <si>
    <r>
      <t>1</t>
    </r>
    <r>
      <rPr>
        <sz val="11"/>
        <color theme="1"/>
        <rFont val="宋体"/>
        <family val="3"/>
        <charset val="134"/>
        <scheme val="minor"/>
      </rPr>
      <t>-1305</t>
    </r>
    <r>
      <rPr>
        <sz val="11"/>
        <color theme="1"/>
        <rFont val="宋体"/>
        <family val="2"/>
        <charset val="134"/>
        <scheme val="minor"/>
      </rPr>
      <t/>
    </r>
  </si>
  <si>
    <r>
      <t>1</t>
    </r>
    <r>
      <rPr>
        <sz val="11"/>
        <color theme="1"/>
        <rFont val="宋体"/>
        <family val="3"/>
        <charset val="134"/>
        <scheme val="minor"/>
      </rPr>
      <t>-1306</t>
    </r>
    <r>
      <rPr>
        <sz val="11"/>
        <color theme="1"/>
        <rFont val="宋体"/>
        <family val="2"/>
        <charset val="134"/>
        <scheme val="minor"/>
      </rPr>
      <t/>
    </r>
  </si>
  <si>
    <r>
      <t>1</t>
    </r>
    <r>
      <rPr>
        <sz val="11"/>
        <color theme="1"/>
        <rFont val="宋体"/>
        <family val="3"/>
        <charset val="134"/>
        <scheme val="minor"/>
      </rPr>
      <t>-1307</t>
    </r>
    <r>
      <rPr>
        <sz val="11"/>
        <color theme="1"/>
        <rFont val="宋体"/>
        <family val="2"/>
        <charset val="134"/>
        <scheme val="minor"/>
      </rPr>
      <t/>
    </r>
  </si>
  <si>
    <r>
      <t>1</t>
    </r>
    <r>
      <rPr>
        <sz val="11"/>
        <color theme="1"/>
        <rFont val="宋体"/>
        <family val="3"/>
        <charset val="134"/>
        <scheme val="minor"/>
      </rPr>
      <t>-1308</t>
    </r>
    <r>
      <rPr>
        <sz val="11"/>
        <color theme="1"/>
        <rFont val="宋体"/>
        <family val="2"/>
        <charset val="134"/>
        <scheme val="minor"/>
      </rPr>
      <t/>
    </r>
  </si>
  <si>
    <r>
      <t>1</t>
    </r>
    <r>
      <rPr>
        <sz val="11"/>
        <color theme="1"/>
        <rFont val="宋体"/>
        <family val="3"/>
        <charset val="134"/>
        <scheme val="minor"/>
      </rPr>
      <t>-1309</t>
    </r>
    <r>
      <rPr>
        <sz val="11"/>
        <color theme="1"/>
        <rFont val="宋体"/>
        <family val="2"/>
        <charset val="134"/>
        <scheme val="minor"/>
      </rPr>
      <t/>
    </r>
  </si>
  <si>
    <r>
      <t>1</t>
    </r>
    <r>
      <rPr>
        <sz val="11"/>
        <color theme="1"/>
        <rFont val="宋体"/>
        <family val="3"/>
        <charset val="134"/>
        <scheme val="minor"/>
      </rPr>
      <t>-1310</t>
    </r>
    <r>
      <rPr>
        <sz val="11"/>
        <color theme="1"/>
        <rFont val="宋体"/>
        <family val="2"/>
        <charset val="134"/>
        <scheme val="minor"/>
      </rPr>
      <t/>
    </r>
  </si>
  <si>
    <r>
      <t>1</t>
    </r>
    <r>
      <rPr>
        <sz val="11"/>
        <color theme="1"/>
        <rFont val="宋体"/>
        <family val="3"/>
        <charset val="134"/>
        <scheme val="minor"/>
      </rPr>
      <t>-1311</t>
    </r>
    <r>
      <rPr>
        <sz val="11"/>
        <color theme="1"/>
        <rFont val="宋体"/>
        <family val="2"/>
        <charset val="134"/>
        <scheme val="minor"/>
      </rPr>
      <t/>
    </r>
  </si>
  <si>
    <r>
      <t>1</t>
    </r>
    <r>
      <rPr>
        <sz val="11"/>
        <color theme="1"/>
        <rFont val="宋体"/>
        <family val="3"/>
        <charset val="134"/>
        <scheme val="minor"/>
      </rPr>
      <t>-1312</t>
    </r>
    <r>
      <rPr>
        <sz val="11"/>
        <color theme="1"/>
        <rFont val="宋体"/>
        <family val="2"/>
        <charset val="134"/>
        <scheme val="minor"/>
      </rPr>
      <t/>
    </r>
  </si>
  <si>
    <r>
      <t>1</t>
    </r>
    <r>
      <rPr>
        <sz val="11"/>
        <color theme="1"/>
        <rFont val="宋体"/>
        <family val="3"/>
        <charset val="134"/>
        <scheme val="minor"/>
      </rPr>
      <t>-1313</t>
    </r>
    <r>
      <rPr>
        <sz val="11"/>
        <color theme="1"/>
        <rFont val="宋体"/>
        <family val="2"/>
        <charset val="134"/>
        <scheme val="minor"/>
      </rPr>
      <t/>
    </r>
  </si>
  <si>
    <r>
      <t>1</t>
    </r>
    <r>
      <rPr>
        <sz val="11"/>
        <color theme="1"/>
        <rFont val="宋体"/>
        <family val="3"/>
        <charset val="134"/>
        <scheme val="minor"/>
      </rPr>
      <t>-1314</t>
    </r>
    <r>
      <rPr>
        <sz val="11"/>
        <color theme="1"/>
        <rFont val="宋体"/>
        <family val="2"/>
        <charset val="134"/>
        <scheme val="minor"/>
      </rPr>
      <t/>
    </r>
  </si>
  <si>
    <r>
      <t>1</t>
    </r>
    <r>
      <rPr>
        <sz val="11"/>
        <color theme="1"/>
        <rFont val="宋体"/>
        <family val="3"/>
        <charset val="134"/>
        <scheme val="minor"/>
      </rPr>
      <t>-1315</t>
    </r>
    <r>
      <rPr>
        <sz val="11"/>
        <color theme="1"/>
        <rFont val="宋体"/>
        <family val="2"/>
        <charset val="134"/>
        <scheme val="minor"/>
      </rPr>
      <t/>
    </r>
  </si>
  <si>
    <r>
      <t>1</t>
    </r>
    <r>
      <rPr>
        <sz val="11"/>
        <color theme="1"/>
        <rFont val="宋体"/>
        <family val="3"/>
        <charset val="134"/>
        <scheme val="minor"/>
      </rPr>
      <t>-1316</t>
    </r>
    <r>
      <rPr>
        <sz val="11"/>
        <color theme="1"/>
        <rFont val="宋体"/>
        <family val="2"/>
        <charset val="134"/>
        <scheme val="minor"/>
      </rPr>
      <t/>
    </r>
  </si>
  <si>
    <r>
      <t>1</t>
    </r>
    <r>
      <rPr>
        <sz val="11"/>
        <color theme="1"/>
        <rFont val="宋体"/>
        <family val="3"/>
        <charset val="134"/>
        <scheme val="minor"/>
      </rPr>
      <t>-1317</t>
    </r>
    <r>
      <rPr>
        <sz val="11"/>
        <color theme="1"/>
        <rFont val="宋体"/>
        <family val="2"/>
        <charset val="134"/>
        <scheme val="minor"/>
      </rPr>
      <t/>
    </r>
  </si>
  <si>
    <r>
      <t>1</t>
    </r>
    <r>
      <rPr>
        <sz val="11"/>
        <color theme="1"/>
        <rFont val="宋体"/>
        <family val="3"/>
        <charset val="134"/>
        <scheme val="minor"/>
      </rPr>
      <t>-1318</t>
    </r>
    <r>
      <rPr>
        <sz val="11"/>
        <color theme="1"/>
        <rFont val="宋体"/>
        <family val="2"/>
        <charset val="134"/>
        <scheme val="minor"/>
      </rPr>
      <t/>
    </r>
  </si>
  <si>
    <r>
      <t>1</t>
    </r>
    <r>
      <rPr>
        <sz val="11"/>
        <color theme="1"/>
        <rFont val="宋体"/>
        <family val="3"/>
        <charset val="134"/>
        <scheme val="minor"/>
      </rPr>
      <t>-1319</t>
    </r>
    <r>
      <rPr>
        <sz val="11"/>
        <color theme="1"/>
        <rFont val="宋体"/>
        <family val="2"/>
        <charset val="134"/>
        <scheme val="minor"/>
      </rPr>
      <t/>
    </r>
  </si>
  <si>
    <r>
      <t>1</t>
    </r>
    <r>
      <rPr>
        <sz val="11"/>
        <color theme="1"/>
        <rFont val="宋体"/>
        <family val="3"/>
        <charset val="134"/>
        <scheme val="minor"/>
      </rPr>
      <t>-1320</t>
    </r>
    <r>
      <rPr>
        <sz val="11"/>
        <color theme="1"/>
        <rFont val="宋体"/>
        <family val="2"/>
        <charset val="134"/>
        <scheme val="minor"/>
      </rPr>
      <t/>
    </r>
  </si>
  <si>
    <r>
      <t>2</t>
    </r>
    <r>
      <rPr>
        <sz val="11"/>
        <color theme="1"/>
        <rFont val="宋体"/>
        <family val="3"/>
        <charset val="134"/>
        <scheme val="minor"/>
      </rPr>
      <t>-1301</t>
    </r>
    <phoneticPr fontId="144" type="noConversion"/>
  </si>
  <si>
    <r>
      <t>2</t>
    </r>
    <r>
      <rPr>
        <sz val="11"/>
        <color theme="1"/>
        <rFont val="宋体"/>
        <family val="3"/>
        <charset val="134"/>
        <scheme val="minor"/>
      </rPr>
      <t>-1302</t>
    </r>
    <r>
      <rPr>
        <sz val="11"/>
        <color theme="1"/>
        <rFont val="宋体"/>
        <family val="2"/>
        <charset val="134"/>
        <scheme val="minor"/>
      </rPr>
      <t/>
    </r>
  </si>
  <si>
    <r>
      <t>2</t>
    </r>
    <r>
      <rPr>
        <sz val="11"/>
        <color theme="1"/>
        <rFont val="宋体"/>
        <family val="3"/>
        <charset val="134"/>
        <scheme val="minor"/>
      </rPr>
      <t>-1303</t>
    </r>
    <r>
      <rPr>
        <sz val="11"/>
        <color theme="1"/>
        <rFont val="宋体"/>
        <family val="2"/>
        <charset val="134"/>
        <scheme val="minor"/>
      </rPr>
      <t/>
    </r>
  </si>
  <si>
    <r>
      <t>2</t>
    </r>
    <r>
      <rPr>
        <sz val="11"/>
        <color theme="1"/>
        <rFont val="宋体"/>
        <family val="3"/>
        <charset val="134"/>
        <scheme val="minor"/>
      </rPr>
      <t>-1304</t>
    </r>
    <r>
      <rPr>
        <sz val="11"/>
        <color theme="1"/>
        <rFont val="宋体"/>
        <family val="2"/>
        <charset val="134"/>
        <scheme val="minor"/>
      </rPr>
      <t/>
    </r>
  </si>
  <si>
    <r>
      <t>2</t>
    </r>
    <r>
      <rPr>
        <sz val="11"/>
        <color theme="1"/>
        <rFont val="宋体"/>
        <family val="3"/>
        <charset val="134"/>
        <scheme val="minor"/>
      </rPr>
      <t>-1305</t>
    </r>
    <r>
      <rPr>
        <sz val="11"/>
        <color theme="1"/>
        <rFont val="宋体"/>
        <family val="2"/>
        <charset val="134"/>
        <scheme val="minor"/>
      </rPr>
      <t/>
    </r>
  </si>
  <si>
    <r>
      <t>2</t>
    </r>
    <r>
      <rPr>
        <sz val="11"/>
        <color theme="1"/>
        <rFont val="宋体"/>
        <family val="3"/>
        <charset val="134"/>
        <scheme val="minor"/>
      </rPr>
      <t>-1306</t>
    </r>
    <r>
      <rPr>
        <sz val="11"/>
        <color theme="1"/>
        <rFont val="宋体"/>
        <family val="2"/>
        <charset val="134"/>
        <scheme val="minor"/>
      </rPr>
      <t/>
    </r>
  </si>
  <si>
    <r>
      <t>2</t>
    </r>
    <r>
      <rPr>
        <sz val="11"/>
        <color theme="1"/>
        <rFont val="宋体"/>
        <family val="3"/>
        <charset val="134"/>
        <scheme val="minor"/>
      </rPr>
      <t>-1307</t>
    </r>
    <r>
      <rPr>
        <sz val="11"/>
        <color theme="1"/>
        <rFont val="宋体"/>
        <family val="2"/>
        <charset val="134"/>
        <scheme val="minor"/>
      </rPr>
      <t/>
    </r>
  </si>
  <si>
    <r>
      <t>2</t>
    </r>
    <r>
      <rPr>
        <sz val="11"/>
        <color theme="1"/>
        <rFont val="宋体"/>
        <family val="3"/>
        <charset val="134"/>
        <scheme val="minor"/>
      </rPr>
      <t>-1308</t>
    </r>
    <r>
      <rPr>
        <sz val="11"/>
        <color theme="1"/>
        <rFont val="宋体"/>
        <family val="2"/>
        <charset val="134"/>
        <scheme val="minor"/>
      </rPr>
      <t/>
    </r>
  </si>
  <si>
    <r>
      <t>2</t>
    </r>
    <r>
      <rPr>
        <sz val="11"/>
        <color theme="1"/>
        <rFont val="宋体"/>
        <family val="3"/>
        <charset val="134"/>
        <scheme val="minor"/>
      </rPr>
      <t>-1309</t>
    </r>
    <r>
      <rPr>
        <sz val="11"/>
        <color theme="1"/>
        <rFont val="宋体"/>
        <family val="2"/>
        <charset val="134"/>
        <scheme val="minor"/>
      </rPr>
      <t/>
    </r>
  </si>
  <si>
    <r>
      <t>2</t>
    </r>
    <r>
      <rPr>
        <sz val="11"/>
        <color theme="1"/>
        <rFont val="宋体"/>
        <family val="3"/>
        <charset val="134"/>
        <scheme val="minor"/>
      </rPr>
      <t>-1310</t>
    </r>
    <r>
      <rPr>
        <sz val="11"/>
        <color theme="1"/>
        <rFont val="宋体"/>
        <family val="2"/>
        <charset val="134"/>
        <scheme val="minor"/>
      </rPr>
      <t/>
    </r>
  </si>
  <si>
    <r>
      <t>2</t>
    </r>
    <r>
      <rPr>
        <sz val="11"/>
        <color theme="1"/>
        <rFont val="宋体"/>
        <family val="3"/>
        <charset val="134"/>
        <scheme val="minor"/>
      </rPr>
      <t>-1311</t>
    </r>
    <r>
      <rPr>
        <sz val="11"/>
        <color theme="1"/>
        <rFont val="宋体"/>
        <family val="2"/>
        <charset val="134"/>
        <scheme val="minor"/>
      </rPr>
      <t/>
    </r>
  </si>
  <si>
    <r>
      <t>2</t>
    </r>
    <r>
      <rPr>
        <sz val="11"/>
        <color theme="1"/>
        <rFont val="宋体"/>
        <family val="3"/>
        <charset val="134"/>
        <scheme val="minor"/>
      </rPr>
      <t>-1312</t>
    </r>
    <r>
      <rPr>
        <sz val="11"/>
        <color theme="1"/>
        <rFont val="宋体"/>
        <family val="2"/>
        <charset val="134"/>
        <scheme val="minor"/>
      </rPr>
      <t/>
    </r>
  </si>
  <si>
    <r>
      <t>2</t>
    </r>
    <r>
      <rPr>
        <sz val="11"/>
        <color theme="1"/>
        <rFont val="宋体"/>
        <family val="3"/>
        <charset val="134"/>
        <scheme val="minor"/>
      </rPr>
      <t>-1313</t>
    </r>
    <r>
      <rPr>
        <sz val="11"/>
        <color theme="1"/>
        <rFont val="宋体"/>
        <family val="2"/>
        <charset val="134"/>
        <scheme val="minor"/>
      </rPr>
      <t/>
    </r>
  </si>
  <si>
    <r>
      <t>2</t>
    </r>
    <r>
      <rPr>
        <sz val="11"/>
        <color theme="1"/>
        <rFont val="宋体"/>
        <family val="3"/>
        <charset val="134"/>
        <scheme val="minor"/>
      </rPr>
      <t>-1314</t>
    </r>
    <r>
      <rPr>
        <sz val="11"/>
        <color theme="1"/>
        <rFont val="宋体"/>
        <family val="2"/>
        <charset val="134"/>
        <scheme val="minor"/>
      </rPr>
      <t/>
    </r>
  </si>
  <si>
    <r>
      <t>2</t>
    </r>
    <r>
      <rPr>
        <sz val="11"/>
        <color theme="1"/>
        <rFont val="宋体"/>
        <family val="3"/>
        <charset val="134"/>
        <scheme val="minor"/>
      </rPr>
      <t>-1315</t>
    </r>
    <r>
      <rPr>
        <sz val="11"/>
        <color theme="1"/>
        <rFont val="宋体"/>
        <family val="2"/>
        <charset val="134"/>
        <scheme val="minor"/>
      </rPr>
      <t/>
    </r>
  </si>
  <si>
    <r>
      <t>2</t>
    </r>
    <r>
      <rPr>
        <sz val="11"/>
        <color theme="1"/>
        <rFont val="宋体"/>
        <family val="3"/>
        <charset val="134"/>
        <scheme val="minor"/>
      </rPr>
      <t>-1316</t>
    </r>
    <r>
      <rPr>
        <sz val="11"/>
        <color theme="1"/>
        <rFont val="宋体"/>
        <family val="2"/>
        <charset val="134"/>
        <scheme val="minor"/>
      </rPr>
      <t/>
    </r>
  </si>
  <si>
    <r>
      <t>2</t>
    </r>
    <r>
      <rPr>
        <sz val="11"/>
        <color theme="1"/>
        <rFont val="宋体"/>
        <family val="3"/>
        <charset val="134"/>
        <scheme val="minor"/>
      </rPr>
      <t>-1317</t>
    </r>
    <r>
      <rPr>
        <sz val="11"/>
        <color theme="1"/>
        <rFont val="宋体"/>
        <family val="2"/>
        <charset val="134"/>
        <scheme val="minor"/>
      </rPr>
      <t/>
    </r>
  </si>
  <si>
    <r>
      <t>2</t>
    </r>
    <r>
      <rPr>
        <sz val="11"/>
        <color theme="1"/>
        <rFont val="宋体"/>
        <family val="3"/>
        <charset val="134"/>
        <scheme val="minor"/>
      </rPr>
      <t>-1318</t>
    </r>
    <r>
      <rPr>
        <sz val="11"/>
        <color theme="1"/>
        <rFont val="宋体"/>
        <family val="2"/>
        <charset val="134"/>
        <scheme val="minor"/>
      </rPr>
      <t/>
    </r>
  </si>
  <si>
    <r>
      <t>2</t>
    </r>
    <r>
      <rPr>
        <sz val="11"/>
        <color theme="1"/>
        <rFont val="宋体"/>
        <family val="3"/>
        <charset val="134"/>
        <scheme val="minor"/>
      </rPr>
      <t>-1319</t>
    </r>
    <r>
      <rPr>
        <sz val="11"/>
        <color theme="1"/>
        <rFont val="宋体"/>
        <family val="2"/>
        <charset val="134"/>
        <scheme val="minor"/>
      </rPr>
      <t/>
    </r>
  </si>
  <si>
    <r>
      <t>2</t>
    </r>
    <r>
      <rPr>
        <sz val="11"/>
        <color theme="1"/>
        <rFont val="宋体"/>
        <family val="3"/>
        <charset val="134"/>
        <scheme val="minor"/>
      </rPr>
      <t>-1320</t>
    </r>
    <r>
      <rPr>
        <sz val="11"/>
        <color theme="1"/>
        <rFont val="宋体"/>
        <family val="2"/>
        <charset val="134"/>
        <scheme val="minor"/>
      </rPr>
      <t/>
    </r>
  </si>
  <si>
    <r>
      <t>3</t>
    </r>
    <r>
      <rPr>
        <sz val="11"/>
        <color theme="1"/>
        <rFont val="宋体"/>
        <family val="3"/>
        <charset val="134"/>
        <scheme val="minor"/>
      </rPr>
      <t>-1301</t>
    </r>
    <phoneticPr fontId="144" type="noConversion"/>
  </si>
  <si>
    <r>
      <t>3</t>
    </r>
    <r>
      <rPr>
        <sz val="11"/>
        <color theme="1"/>
        <rFont val="宋体"/>
        <family val="3"/>
        <charset val="134"/>
        <scheme val="minor"/>
      </rPr>
      <t>-1302</t>
    </r>
    <r>
      <rPr>
        <sz val="11"/>
        <color theme="1"/>
        <rFont val="宋体"/>
        <family val="2"/>
        <charset val="134"/>
        <scheme val="minor"/>
      </rPr>
      <t/>
    </r>
  </si>
  <si>
    <r>
      <t>3</t>
    </r>
    <r>
      <rPr>
        <sz val="11"/>
        <color theme="1"/>
        <rFont val="宋体"/>
        <family val="3"/>
        <charset val="134"/>
        <scheme val="minor"/>
      </rPr>
      <t>-1303</t>
    </r>
    <r>
      <rPr>
        <sz val="11"/>
        <color theme="1"/>
        <rFont val="宋体"/>
        <family val="2"/>
        <charset val="134"/>
        <scheme val="minor"/>
      </rPr>
      <t/>
    </r>
  </si>
  <si>
    <r>
      <t>3</t>
    </r>
    <r>
      <rPr>
        <sz val="11"/>
        <color theme="1"/>
        <rFont val="宋体"/>
        <family val="3"/>
        <charset val="134"/>
        <scheme val="minor"/>
      </rPr>
      <t>-1304</t>
    </r>
    <r>
      <rPr>
        <sz val="11"/>
        <color theme="1"/>
        <rFont val="宋体"/>
        <family val="2"/>
        <charset val="134"/>
        <scheme val="minor"/>
      </rPr>
      <t/>
    </r>
  </si>
  <si>
    <r>
      <t>3</t>
    </r>
    <r>
      <rPr>
        <sz val="11"/>
        <color theme="1"/>
        <rFont val="宋体"/>
        <family val="3"/>
        <charset val="134"/>
        <scheme val="minor"/>
      </rPr>
      <t>-1305</t>
    </r>
    <r>
      <rPr>
        <sz val="11"/>
        <color theme="1"/>
        <rFont val="宋体"/>
        <family val="2"/>
        <charset val="134"/>
        <scheme val="minor"/>
      </rPr>
      <t/>
    </r>
  </si>
  <si>
    <r>
      <t>3</t>
    </r>
    <r>
      <rPr>
        <sz val="11"/>
        <color theme="1"/>
        <rFont val="宋体"/>
        <family val="3"/>
        <charset val="134"/>
        <scheme val="minor"/>
      </rPr>
      <t>-1306</t>
    </r>
    <r>
      <rPr>
        <sz val="11"/>
        <color theme="1"/>
        <rFont val="宋体"/>
        <family val="2"/>
        <charset val="134"/>
        <scheme val="minor"/>
      </rPr>
      <t/>
    </r>
  </si>
  <si>
    <r>
      <t>3</t>
    </r>
    <r>
      <rPr>
        <sz val="11"/>
        <color theme="1"/>
        <rFont val="宋体"/>
        <family val="3"/>
        <charset val="134"/>
        <scheme val="minor"/>
      </rPr>
      <t>-1307</t>
    </r>
    <r>
      <rPr>
        <sz val="11"/>
        <color theme="1"/>
        <rFont val="宋体"/>
        <family val="2"/>
        <charset val="134"/>
        <scheme val="minor"/>
      </rPr>
      <t/>
    </r>
  </si>
  <si>
    <r>
      <t>3</t>
    </r>
    <r>
      <rPr>
        <sz val="11"/>
        <color theme="1"/>
        <rFont val="宋体"/>
        <family val="3"/>
        <charset val="134"/>
        <scheme val="minor"/>
      </rPr>
      <t>-1308</t>
    </r>
    <r>
      <rPr>
        <sz val="11"/>
        <color theme="1"/>
        <rFont val="宋体"/>
        <family val="2"/>
        <charset val="134"/>
        <scheme val="minor"/>
      </rPr>
      <t/>
    </r>
  </si>
  <si>
    <r>
      <t>3</t>
    </r>
    <r>
      <rPr>
        <sz val="11"/>
        <color theme="1"/>
        <rFont val="宋体"/>
        <family val="3"/>
        <charset val="134"/>
        <scheme val="minor"/>
      </rPr>
      <t>-1309</t>
    </r>
    <r>
      <rPr>
        <sz val="11"/>
        <color theme="1"/>
        <rFont val="宋体"/>
        <family val="2"/>
        <charset val="134"/>
        <scheme val="minor"/>
      </rPr>
      <t/>
    </r>
  </si>
  <si>
    <r>
      <t>3</t>
    </r>
    <r>
      <rPr>
        <sz val="11"/>
        <color theme="1"/>
        <rFont val="宋体"/>
        <family val="3"/>
        <charset val="134"/>
        <scheme val="minor"/>
      </rPr>
      <t>-1310</t>
    </r>
    <r>
      <rPr>
        <sz val="11"/>
        <color theme="1"/>
        <rFont val="宋体"/>
        <family val="2"/>
        <charset val="134"/>
        <scheme val="minor"/>
      </rPr>
      <t/>
    </r>
  </si>
  <si>
    <r>
      <t>3</t>
    </r>
    <r>
      <rPr>
        <sz val="11"/>
        <color theme="1"/>
        <rFont val="宋体"/>
        <family val="3"/>
        <charset val="134"/>
        <scheme val="minor"/>
      </rPr>
      <t>-1311</t>
    </r>
    <r>
      <rPr>
        <sz val="11"/>
        <color theme="1"/>
        <rFont val="宋体"/>
        <family val="2"/>
        <charset val="134"/>
        <scheme val="minor"/>
      </rPr>
      <t/>
    </r>
  </si>
  <si>
    <r>
      <t>3</t>
    </r>
    <r>
      <rPr>
        <sz val="11"/>
        <color theme="1"/>
        <rFont val="宋体"/>
        <family val="3"/>
        <charset val="134"/>
        <scheme val="minor"/>
      </rPr>
      <t>-1312</t>
    </r>
    <r>
      <rPr>
        <sz val="11"/>
        <color theme="1"/>
        <rFont val="宋体"/>
        <family val="2"/>
        <charset val="134"/>
        <scheme val="minor"/>
      </rPr>
      <t/>
    </r>
  </si>
  <si>
    <r>
      <t>3</t>
    </r>
    <r>
      <rPr>
        <sz val="11"/>
        <color theme="1"/>
        <rFont val="宋体"/>
        <family val="3"/>
        <charset val="134"/>
        <scheme val="minor"/>
      </rPr>
      <t>-1313</t>
    </r>
    <r>
      <rPr>
        <sz val="11"/>
        <color theme="1"/>
        <rFont val="宋体"/>
        <family val="2"/>
        <charset val="134"/>
        <scheme val="minor"/>
      </rPr>
      <t/>
    </r>
  </si>
  <si>
    <r>
      <t>3</t>
    </r>
    <r>
      <rPr>
        <sz val="11"/>
        <color theme="1"/>
        <rFont val="宋体"/>
        <family val="3"/>
        <charset val="134"/>
        <scheme val="minor"/>
      </rPr>
      <t>-1314</t>
    </r>
    <r>
      <rPr>
        <sz val="11"/>
        <color theme="1"/>
        <rFont val="宋体"/>
        <family val="2"/>
        <charset val="134"/>
        <scheme val="minor"/>
      </rPr>
      <t/>
    </r>
  </si>
  <si>
    <r>
      <t>3</t>
    </r>
    <r>
      <rPr>
        <sz val="11"/>
        <color theme="1"/>
        <rFont val="宋体"/>
        <family val="3"/>
        <charset val="134"/>
        <scheme val="minor"/>
      </rPr>
      <t>-1315</t>
    </r>
    <r>
      <rPr>
        <sz val="11"/>
        <color theme="1"/>
        <rFont val="宋体"/>
        <family val="2"/>
        <charset val="134"/>
        <scheme val="minor"/>
      </rPr>
      <t/>
    </r>
  </si>
  <si>
    <r>
      <t>3</t>
    </r>
    <r>
      <rPr>
        <sz val="11"/>
        <color theme="1"/>
        <rFont val="宋体"/>
        <family val="3"/>
        <charset val="134"/>
        <scheme val="minor"/>
      </rPr>
      <t>-1316</t>
    </r>
    <r>
      <rPr>
        <sz val="11"/>
        <color theme="1"/>
        <rFont val="宋体"/>
        <family val="2"/>
        <charset val="134"/>
        <scheme val="minor"/>
      </rPr>
      <t/>
    </r>
  </si>
  <si>
    <r>
      <t>3</t>
    </r>
    <r>
      <rPr>
        <sz val="11"/>
        <color theme="1"/>
        <rFont val="宋体"/>
        <family val="3"/>
        <charset val="134"/>
        <scheme val="minor"/>
      </rPr>
      <t>-1317</t>
    </r>
    <r>
      <rPr>
        <sz val="11"/>
        <color theme="1"/>
        <rFont val="宋体"/>
        <family val="2"/>
        <charset val="134"/>
        <scheme val="minor"/>
      </rPr>
      <t/>
    </r>
  </si>
  <si>
    <r>
      <t>3</t>
    </r>
    <r>
      <rPr>
        <sz val="11"/>
        <color theme="1"/>
        <rFont val="宋体"/>
        <family val="3"/>
        <charset val="134"/>
        <scheme val="minor"/>
      </rPr>
      <t>-1318</t>
    </r>
    <r>
      <rPr>
        <sz val="11"/>
        <color theme="1"/>
        <rFont val="宋体"/>
        <family val="2"/>
        <charset val="134"/>
        <scheme val="minor"/>
      </rPr>
      <t/>
    </r>
  </si>
  <si>
    <r>
      <t>3</t>
    </r>
    <r>
      <rPr>
        <sz val="11"/>
        <color theme="1"/>
        <rFont val="宋体"/>
        <family val="3"/>
        <charset val="134"/>
        <scheme val="minor"/>
      </rPr>
      <t>-1319</t>
    </r>
    <r>
      <rPr>
        <sz val="11"/>
        <color theme="1"/>
        <rFont val="宋体"/>
        <family val="2"/>
        <charset val="134"/>
        <scheme val="minor"/>
      </rPr>
      <t/>
    </r>
  </si>
  <si>
    <r>
      <t>3</t>
    </r>
    <r>
      <rPr>
        <sz val="11"/>
        <color theme="1"/>
        <rFont val="宋体"/>
        <family val="3"/>
        <charset val="134"/>
        <scheme val="minor"/>
      </rPr>
      <t>-1320</t>
    </r>
    <r>
      <rPr>
        <sz val="11"/>
        <color theme="1"/>
        <rFont val="宋体"/>
        <family val="2"/>
        <charset val="134"/>
        <scheme val="minor"/>
      </rPr>
      <t/>
    </r>
  </si>
  <si>
    <r>
      <t>3</t>
    </r>
    <r>
      <rPr>
        <sz val="11"/>
        <color theme="1"/>
        <rFont val="宋体"/>
        <family val="3"/>
        <charset val="134"/>
        <scheme val="minor"/>
      </rPr>
      <t>-1321</t>
    </r>
    <r>
      <rPr>
        <sz val="11"/>
        <color theme="1"/>
        <rFont val="宋体"/>
        <family val="2"/>
        <charset val="134"/>
        <scheme val="minor"/>
      </rPr>
      <t/>
    </r>
  </si>
  <si>
    <r>
      <t>3</t>
    </r>
    <r>
      <rPr>
        <sz val="11"/>
        <color theme="1"/>
        <rFont val="宋体"/>
        <family val="3"/>
        <charset val="134"/>
        <scheme val="minor"/>
      </rPr>
      <t>-1322</t>
    </r>
    <r>
      <rPr>
        <sz val="11"/>
        <color theme="1"/>
        <rFont val="宋体"/>
        <family val="2"/>
        <charset val="134"/>
        <scheme val="minor"/>
      </rPr>
      <t/>
    </r>
  </si>
  <si>
    <r>
      <t>3</t>
    </r>
    <r>
      <rPr>
        <sz val="11"/>
        <color theme="1"/>
        <rFont val="宋体"/>
        <family val="3"/>
        <charset val="134"/>
        <scheme val="minor"/>
      </rPr>
      <t>-1323</t>
    </r>
    <r>
      <rPr>
        <sz val="11"/>
        <color theme="1"/>
        <rFont val="宋体"/>
        <family val="2"/>
        <charset val="134"/>
        <scheme val="minor"/>
      </rPr>
      <t/>
    </r>
  </si>
  <si>
    <r>
      <t>3</t>
    </r>
    <r>
      <rPr>
        <sz val="11"/>
        <color theme="1"/>
        <rFont val="宋体"/>
        <family val="3"/>
        <charset val="134"/>
        <scheme val="minor"/>
      </rPr>
      <t>-1324</t>
    </r>
    <r>
      <rPr>
        <sz val="11"/>
        <color theme="1"/>
        <rFont val="宋体"/>
        <family val="2"/>
        <charset val="134"/>
        <scheme val="minor"/>
      </rPr>
      <t/>
    </r>
  </si>
  <si>
    <r>
      <t>3</t>
    </r>
    <r>
      <rPr>
        <sz val="11"/>
        <color theme="1"/>
        <rFont val="宋体"/>
        <family val="3"/>
        <charset val="134"/>
        <scheme val="minor"/>
      </rPr>
      <t>-1325</t>
    </r>
    <r>
      <rPr>
        <sz val="11"/>
        <color theme="1"/>
        <rFont val="宋体"/>
        <family val="2"/>
        <charset val="134"/>
        <scheme val="minor"/>
      </rPr>
      <t/>
    </r>
  </si>
  <si>
    <r>
      <t>3</t>
    </r>
    <r>
      <rPr>
        <sz val="11"/>
        <color theme="1"/>
        <rFont val="宋体"/>
        <family val="3"/>
        <charset val="134"/>
        <scheme val="minor"/>
      </rPr>
      <t>-1326</t>
    </r>
    <r>
      <rPr>
        <sz val="11"/>
        <color theme="1"/>
        <rFont val="宋体"/>
        <family val="2"/>
        <charset val="134"/>
        <scheme val="minor"/>
      </rPr>
      <t/>
    </r>
  </si>
  <si>
    <r>
      <t>3</t>
    </r>
    <r>
      <rPr>
        <sz val="11"/>
        <color theme="1"/>
        <rFont val="宋体"/>
        <family val="3"/>
        <charset val="134"/>
        <scheme val="minor"/>
      </rPr>
      <t>-1327</t>
    </r>
    <r>
      <rPr>
        <sz val="11"/>
        <color theme="1"/>
        <rFont val="宋体"/>
        <family val="2"/>
        <charset val="134"/>
        <scheme val="minor"/>
      </rPr>
      <t/>
    </r>
  </si>
  <si>
    <r>
      <t>3</t>
    </r>
    <r>
      <rPr>
        <sz val="11"/>
        <color theme="1"/>
        <rFont val="宋体"/>
        <family val="3"/>
        <charset val="134"/>
        <scheme val="minor"/>
      </rPr>
      <t>-1328</t>
    </r>
    <r>
      <rPr>
        <sz val="11"/>
        <color theme="1"/>
        <rFont val="宋体"/>
        <family val="2"/>
        <charset val="134"/>
        <scheme val="minor"/>
      </rPr>
      <t/>
    </r>
  </si>
  <si>
    <r>
      <t>3</t>
    </r>
    <r>
      <rPr>
        <sz val="11"/>
        <color theme="1"/>
        <rFont val="宋体"/>
        <family val="3"/>
        <charset val="134"/>
        <scheme val="minor"/>
      </rPr>
      <t>-1329</t>
    </r>
    <r>
      <rPr>
        <sz val="11"/>
        <color theme="1"/>
        <rFont val="宋体"/>
        <family val="2"/>
        <charset val="134"/>
        <scheme val="minor"/>
      </rPr>
      <t/>
    </r>
  </si>
  <si>
    <r>
      <t>3</t>
    </r>
    <r>
      <rPr>
        <sz val="11"/>
        <color theme="1"/>
        <rFont val="宋体"/>
        <family val="3"/>
        <charset val="134"/>
        <scheme val="minor"/>
      </rPr>
      <t>-1330</t>
    </r>
    <r>
      <rPr>
        <sz val="11"/>
        <color theme="1"/>
        <rFont val="宋体"/>
        <family val="2"/>
        <charset val="134"/>
        <scheme val="minor"/>
      </rPr>
      <t/>
    </r>
  </si>
  <si>
    <r>
      <t>3</t>
    </r>
    <r>
      <rPr>
        <sz val="11"/>
        <color theme="1"/>
        <rFont val="宋体"/>
        <family val="3"/>
        <charset val="134"/>
        <scheme val="minor"/>
      </rPr>
      <t>-1331</t>
    </r>
    <r>
      <rPr>
        <sz val="11"/>
        <color theme="1"/>
        <rFont val="宋体"/>
        <family val="2"/>
        <charset val="134"/>
        <scheme val="minor"/>
      </rPr>
      <t/>
    </r>
  </si>
  <si>
    <r>
      <t>3</t>
    </r>
    <r>
      <rPr>
        <sz val="11"/>
        <color theme="1"/>
        <rFont val="宋体"/>
        <family val="3"/>
        <charset val="134"/>
        <scheme val="minor"/>
      </rPr>
      <t>-1332</t>
    </r>
    <r>
      <rPr>
        <sz val="11"/>
        <color theme="1"/>
        <rFont val="宋体"/>
        <family val="2"/>
        <charset val="134"/>
        <scheme val="minor"/>
      </rPr>
      <t/>
    </r>
  </si>
  <si>
    <r>
      <t>3</t>
    </r>
    <r>
      <rPr>
        <sz val="11"/>
        <color theme="1"/>
        <rFont val="宋体"/>
        <family val="3"/>
        <charset val="134"/>
        <scheme val="minor"/>
      </rPr>
      <t>-1333</t>
    </r>
    <r>
      <rPr>
        <sz val="11"/>
        <color theme="1"/>
        <rFont val="宋体"/>
        <family val="2"/>
        <charset val="134"/>
        <scheme val="minor"/>
      </rPr>
      <t/>
    </r>
  </si>
  <si>
    <r>
      <t>3</t>
    </r>
    <r>
      <rPr>
        <sz val="11"/>
        <color theme="1"/>
        <rFont val="宋体"/>
        <family val="3"/>
        <charset val="134"/>
        <scheme val="minor"/>
      </rPr>
      <t>-1334</t>
    </r>
    <r>
      <rPr>
        <sz val="11"/>
        <color theme="1"/>
        <rFont val="宋体"/>
        <family val="2"/>
        <charset val="134"/>
        <scheme val="minor"/>
      </rPr>
      <t/>
    </r>
  </si>
  <si>
    <r>
      <t>3</t>
    </r>
    <r>
      <rPr>
        <sz val="11"/>
        <color theme="1"/>
        <rFont val="宋体"/>
        <family val="3"/>
        <charset val="134"/>
        <scheme val="minor"/>
      </rPr>
      <t>-1335</t>
    </r>
    <r>
      <rPr>
        <sz val="11"/>
        <color theme="1"/>
        <rFont val="宋体"/>
        <family val="2"/>
        <charset val="134"/>
        <scheme val="minor"/>
      </rPr>
      <t/>
    </r>
  </si>
  <si>
    <r>
      <t>3</t>
    </r>
    <r>
      <rPr>
        <sz val="11"/>
        <color theme="1"/>
        <rFont val="宋体"/>
        <family val="3"/>
        <charset val="134"/>
        <scheme val="minor"/>
      </rPr>
      <t>-1336</t>
    </r>
    <r>
      <rPr>
        <sz val="11"/>
        <color theme="1"/>
        <rFont val="宋体"/>
        <family val="2"/>
        <charset val="134"/>
        <scheme val="minor"/>
      </rPr>
      <t/>
    </r>
  </si>
  <si>
    <r>
      <t>3</t>
    </r>
    <r>
      <rPr>
        <sz val="11"/>
        <color theme="1"/>
        <rFont val="宋体"/>
        <family val="3"/>
        <charset val="134"/>
        <scheme val="minor"/>
      </rPr>
      <t>-1337</t>
    </r>
    <r>
      <rPr>
        <sz val="11"/>
        <color theme="1"/>
        <rFont val="宋体"/>
        <family val="2"/>
        <charset val="134"/>
        <scheme val="minor"/>
      </rPr>
      <t/>
    </r>
  </si>
  <si>
    <r>
      <t>3</t>
    </r>
    <r>
      <rPr>
        <sz val="11"/>
        <color theme="1"/>
        <rFont val="宋体"/>
        <family val="3"/>
        <charset val="134"/>
        <scheme val="minor"/>
      </rPr>
      <t>-1338</t>
    </r>
    <r>
      <rPr>
        <sz val="11"/>
        <color theme="1"/>
        <rFont val="宋体"/>
        <family val="2"/>
        <charset val="134"/>
        <scheme val="minor"/>
      </rPr>
      <t/>
    </r>
  </si>
  <si>
    <r>
      <t>3</t>
    </r>
    <r>
      <rPr>
        <sz val="11"/>
        <color theme="1"/>
        <rFont val="宋体"/>
        <family val="3"/>
        <charset val="134"/>
        <scheme val="minor"/>
      </rPr>
      <t>-1339</t>
    </r>
    <r>
      <rPr>
        <sz val="11"/>
        <color theme="1"/>
        <rFont val="宋体"/>
        <family val="2"/>
        <charset val="134"/>
        <scheme val="minor"/>
      </rPr>
      <t/>
    </r>
  </si>
  <si>
    <r>
      <t>3</t>
    </r>
    <r>
      <rPr>
        <sz val="11"/>
        <color theme="1"/>
        <rFont val="宋体"/>
        <family val="3"/>
        <charset val="134"/>
        <scheme val="minor"/>
      </rPr>
      <t>-1340</t>
    </r>
    <r>
      <rPr>
        <sz val="11"/>
        <color theme="1"/>
        <rFont val="宋体"/>
        <family val="2"/>
        <charset val="134"/>
        <scheme val="minor"/>
      </rPr>
      <t/>
    </r>
  </si>
  <si>
    <r>
      <t>3</t>
    </r>
    <r>
      <rPr>
        <sz val="11"/>
        <color theme="1"/>
        <rFont val="宋体"/>
        <family val="3"/>
        <charset val="134"/>
        <scheme val="minor"/>
      </rPr>
      <t>-1341</t>
    </r>
    <r>
      <rPr>
        <sz val="11"/>
        <color theme="1"/>
        <rFont val="宋体"/>
        <family val="2"/>
        <charset val="134"/>
        <scheme val="minor"/>
      </rPr>
      <t/>
    </r>
  </si>
  <si>
    <r>
      <t>3</t>
    </r>
    <r>
      <rPr>
        <sz val="11"/>
        <color theme="1"/>
        <rFont val="宋体"/>
        <family val="3"/>
        <charset val="134"/>
        <scheme val="minor"/>
      </rPr>
      <t>-1342</t>
    </r>
    <r>
      <rPr>
        <sz val="11"/>
        <color theme="1"/>
        <rFont val="宋体"/>
        <family val="2"/>
        <charset val="134"/>
        <scheme val="minor"/>
      </rPr>
      <t/>
    </r>
  </si>
  <si>
    <r>
      <t>3</t>
    </r>
    <r>
      <rPr>
        <sz val="11"/>
        <color theme="1"/>
        <rFont val="宋体"/>
        <family val="3"/>
        <charset val="134"/>
        <scheme val="minor"/>
      </rPr>
      <t>-1343</t>
    </r>
    <r>
      <rPr>
        <sz val="11"/>
        <color theme="1"/>
        <rFont val="宋体"/>
        <family val="2"/>
        <charset val="134"/>
        <scheme val="minor"/>
      </rPr>
      <t/>
    </r>
  </si>
  <si>
    <r>
      <t>3</t>
    </r>
    <r>
      <rPr>
        <sz val="11"/>
        <color theme="1"/>
        <rFont val="宋体"/>
        <family val="3"/>
        <charset val="134"/>
        <scheme val="minor"/>
      </rPr>
      <t>-1344</t>
    </r>
    <r>
      <rPr>
        <sz val="11"/>
        <color theme="1"/>
        <rFont val="宋体"/>
        <family val="2"/>
        <charset val="134"/>
        <scheme val="minor"/>
      </rPr>
      <t/>
    </r>
  </si>
  <si>
    <r>
      <t>3</t>
    </r>
    <r>
      <rPr>
        <sz val="11"/>
        <color theme="1"/>
        <rFont val="宋体"/>
        <family val="3"/>
        <charset val="134"/>
        <scheme val="minor"/>
      </rPr>
      <t>-1345</t>
    </r>
    <r>
      <rPr>
        <sz val="11"/>
        <color theme="1"/>
        <rFont val="宋体"/>
        <family val="2"/>
        <charset val="134"/>
        <scheme val="minor"/>
      </rPr>
      <t/>
    </r>
  </si>
  <si>
    <r>
      <t>3</t>
    </r>
    <r>
      <rPr>
        <sz val="11"/>
        <color theme="1"/>
        <rFont val="宋体"/>
        <family val="3"/>
        <charset val="134"/>
        <scheme val="minor"/>
      </rPr>
      <t>-1346</t>
    </r>
    <r>
      <rPr>
        <sz val="11"/>
        <color theme="1"/>
        <rFont val="宋体"/>
        <family val="2"/>
        <charset val="134"/>
        <scheme val="minor"/>
      </rPr>
      <t/>
    </r>
  </si>
  <si>
    <r>
      <t>3</t>
    </r>
    <r>
      <rPr>
        <sz val="11"/>
        <color theme="1"/>
        <rFont val="宋体"/>
        <family val="3"/>
        <charset val="134"/>
        <scheme val="minor"/>
      </rPr>
      <t>-1347</t>
    </r>
    <r>
      <rPr>
        <sz val="11"/>
        <color theme="1"/>
        <rFont val="宋体"/>
        <family val="2"/>
        <charset val="134"/>
        <scheme val="minor"/>
      </rPr>
      <t/>
    </r>
  </si>
  <si>
    <r>
      <t>3</t>
    </r>
    <r>
      <rPr>
        <sz val="11"/>
        <color theme="1"/>
        <rFont val="宋体"/>
        <family val="3"/>
        <charset val="134"/>
        <scheme val="minor"/>
      </rPr>
      <t>-1348</t>
    </r>
    <r>
      <rPr>
        <sz val="11"/>
        <color theme="1"/>
        <rFont val="宋体"/>
        <family val="2"/>
        <charset val="134"/>
        <scheme val="minor"/>
      </rPr>
      <t/>
    </r>
  </si>
  <si>
    <r>
      <t>3</t>
    </r>
    <r>
      <rPr>
        <sz val="11"/>
        <color theme="1"/>
        <rFont val="宋体"/>
        <family val="3"/>
        <charset val="134"/>
        <scheme val="minor"/>
      </rPr>
      <t>-1349</t>
    </r>
    <r>
      <rPr>
        <sz val="11"/>
        <color theme="1"/>
        <rFont val="宋体"/>
        <family val="2"/>
        <charset val="134"/>
        <scheme val="minor"/>
      </rPr>
      <t/>
    </r>
  </si>
  <si>
    <r>
      <t>3</t>
    </r>
    <r>
      <rPr>
        <sz val="11"/>
        <color theme="1"/>
        <rFont val="宋体"/>
        <family val="3"/>
        <charset val="134"/>
        <scheme val="minor"/>
      </rPr>
      <t>-1350</t>
    </r>
    <r>
      <rPr>
        <sz val="11"/>
        <color theme="1"/>
        <rFont val="宋体"/>
        <family val="2"/>
        <charset val="134"/>
        <scheme val="minor"/>
      </rPr>
      <t/>
    </r>
  </si>
  <si>
    <r>
      <t>3</t>
    </r>
    <r>
      <rPr>
        <sz val="11"/>
        <color theme="1"/>
        <rFont val="宋体"/>
        <family val="3"/>
        <charset val="134"/>
        <scheme val="minor"/>
      </rPr>
      <t>-1351</t>
    </r>
    <r>
      <rPr>
        <sz val="11"/>
        <color theme="1"/>
        <rFont val="宋体"/>
        <family val="2"/>
        <charset val="134"/>
        <scheme val="minor"/>
      </rPr>
      <t/>
    </r>
  </si>
  <si>
    <r>
      <t>3</t>
    </r>
    <r>
      <rPr>
        <sz val="11"/>
        <color theme="1"/>
        <rFont val="宋体"/>
        <family val="3"/>
        <charset val="134"/>
        <scheme val="minor"/>
      </rPr>
      <t>-1352</t>
    </r>
    <r>
      <rPr>
        <sz val="11"/>
        <color theme="1"/>
        <rFont val="宋体"/>
        <family val="2"/>
        <charset val="134"/>
        <scheme val="minor"/>
      </rPr>
      <t/>
    </r>
  </si>
  <si>
    <r>
      <t>4</t>
    </r>
    <r>
      <rPr>
        <sz val="11"/>
        <color theme="1"/>
        <rFont val="宋体"/>
        <family val="3"/>
        <charset val="134"/>
        <scheme val="minor"/>
      </rPr>
      <t>-1301</t>
    </r>
    <phoneticPr fontId="144" type="noConversion"/>
  </si>
  <si>
    <r>
      <t>4</t>
    </r>
    <r>
      <rPr>
        <sz val="11"/>
        <color theme="1"/>
        <rFont val="宋体"/>
        <family val="3"/>
        <charset val="134"/>
        <scheme val="minor"/>
      </rPr>
      <t>-1302</t>
    </r>
    <r>
      <rPr>
        <sz val="11"/>
        <color theme="1"/>
        <rFont val="宋体"/>
        <family val="2"/>
        <charset val="134"/>
        <scheme val="minor"/>
      </rPr>
      <t/>
    </r>
  </si>
  <si>
    <r>
      <t>4</t>
    </r>
    <r>
      <rPr>
        <sz val="11"/>
        <color theme="1"/>
        <rFont val="宋体"/>
        <family val="3"/>
        <charset val="134"/>
        <scheme val="minor"/>
      </rPr>
      <t>-1303</t>
    </r>
    <r>
      <rPr>
        <sz val="11"/>
        <color theme="1"/>
        <rFont val="宋体"/>
        <family val="2"/>
        <charset val="134"/>
        <scheme val="minor"/>
      </rPr>
      <t/>
    </r>
  </si>
  <si>
    <r>
      <t>4</t>
    </r>
    <r>
      <rPr>
        <sz val="11"/>
        <color theme="1"/>
        <rFont val="宋体"/>
        <family val="3"/>
        <charset val="134"/>
        <scheme val="minor"/>
      </rPr>
      <t>-1304</t>
    </r>
    <r>
      <rPr>
        <sz val="11"/>
        <color theme="1"/>
        <rFont val="宋体"/>
        <family val="2"/>
        <charset val="134"/>
        <scheme val="minor"/>
      </rPr>
      <t/>
    </r>
  </si>
  <si>
    <r>
      <t>4</t>
    </r>
    <r>
      <rPr>
        <sz val="11"/>
        <color theme="1"/>
        <rFont val="宋体"/>
        <family val="3"/>
        <charset val="134"/>
        <scheme val="minor"/>
      </rPr>
      <t>-1305</t>
    </r>
    <r>
      <rPr>
        <sz val="11"/>
        <color theme="1"/>
        <rFont val="宋体"/>
        <family val="2"/>
        <charset val="134"/>
        <scheme val="minor"/>
      </rPr>
      <t/>
    </r>
  </si>
  <si>
    <r>
      <t>4</t>
    </r>
    <r>
      <rPr>
        <sz val="11"/>
        <color theme="1"/>
        <rFont val="宋体"/>
        <family val="3"/>
        <charset val="134"/>
        <scheme val="minor"/>
      </rPr>
      <t>-1306</t>
    </r>
    <r>
      <rPr>
        <sz val="11"/>
        <color theme="1"/>
        <rFont val="宋体"/>
        <family val="2"/>
        <charset val="134"/>
        <scheme val="minor"/>
      </rPr>
      <t/>
    </r>
  </si>
  <si>
    <r>
      <t>4</t>
    </r>
    <r>
      <rPr>
        <sz val="11"/>
        <color theme="1"/>
        <rFont val="宋体"/>
        <family val="3"/>
        <charset val="134"/>
        <scheme val="minor"/>
      </rPr>
      <t>-1307</t>
    </r>
    <r>
      <rPr>
        <sz val="11"/>
        <color theme="1"/>
        <rFont val="宋体"/>
        <family val="2"/>
        <charset val="134"/>
        <scheme val="minor"/>
      </rPr>
      <t/>
    </r>
  </si>
  <si>
    <r>
      <t>4</t>
    </r>
    <r>
      <rPr>
        <sz val="11"/>
        <color theme="1"/>
        <rFont val="宋体"/>
        <family val="3"/>
        <charset val="134"/>
        <scheme val="minor"/>
      </rPr>
      <t>-1308</t>
    </r>
    <r>
      <rPr>
        <sz val="11"/>
        <color theme="1"/>
        <rFont val="宋体"/>
        <family val="2"/>
        <charset val="134"/>
        <scheme val="minor"/>
      </rPr>
      <t/>
    </r>
  </si>
  <si>
    <r>
      <t>4</t>
    </r>
    <r>
      <rPr>
        <sz val="11"/>
        <color theme="1"/>
        <rFont val="宋体"/>
        <family val="3"/>
        <charset val="134"/>
        <scheme val="minor"/>
      </rPr>
      <t>-1309</t>
    </r>
    <r>
      <rPr>
        <sz val="11"/>
        <color theme="1"/>
        <rFont val="宋体"/>
        <family val="2"/>
        <charset val="134"/>
        <scheme val="minor"/>
      </rPr>
      <t/>
    </r>
  </si>
  <si>
    <r>
      <t>4</t>
    </r>
    <r>
      <rPr>
        <sz val="11"/>
        <color theme="1"/>
        <rFont val="宋体"/>
        <family val="3"/>
        <charset val="134"/>
        <scheme val="minor"/>
      </rPr>
      <t>-1310</t>
    </r>
    <r>
      <rPr>
        <sz val="11"/>
        <color theme="1"/>
        <rFont val="宋体"/>
        <family val="2"/>
        <charset val="134"/>
        <scheme val="minor"/>
      </rPr>
      <t/>
    </r>
  </si>
  <si>
    <r>
      <t>4</t>
    </r>
    <r>
      <rPr>
        <sz val="11"/>
        <color theme="1"/>
        <rFont val="宋体"/>
        <family val="3"/>
        <charset val="134"/>
        <scheme val="minor"/>
      </rPr>
      <t>-1311</t>
    </r>
    <r>
      <rPr>
        <sz val="11"/>
        <color theme="1"/>
        <rFont val="宋体"/>
        <family val="2"/>
        <charset val="134"/>
        <scheme val="minor"/>
      </rPr>
      <t/>
    </r>
  </si>
  <si>
    <r>
      <t>4</t>
    </r>
    <r>
      <rPr>
        <sz val="11"/>
        <color theme="1"/>
        <rFont val="宋体"/>
        <family val="3"/>
        <charset val="134"/>
        <scheme val="minor"/>
      </rPr>
      <t>-1312</t>
    </r>
    <r>
      <rPr>
        <sz val="11"/>
        <color theme="1"/>
        <rFont val="宋体"/>
        <family val="2"/>
        <charset val="134"/>
        <scheme val="minor"/>
      </rPr>
      <t/>
    </r>
  </si>
  <si>
    <r>
      <t>4</t>
    </r>
    <r>
      <rPr>
        <sz val="11"/>
        <color theme="1"/>
        <rFont val="宋体"/>
        <family val="3"/>
        <charset val="134"/>
        <scheme val="minor"/>
      </rPr>
      <t>-1313</t>
    </r>
    <r>
      <rPr>
        <sz val="11"/>
        <color theme="1"/>
        <rFont val="宋体"/>
        <family val="2"/>
        <charset val="134"/>
        <scheme val="minor"/>
      </rPr>
      <t/>
    </r>
  </si>
  <si>
    <r>
      <t>4</t>
    </r>
    <r>
      <rPr>
        <sz val="11"/>
        <color theme="1"/>
        <rFont val="宋体"/>
        <family val="3"/>
        <charset val="134"/>
        <scheme val="minor"/>
      </rPr>
      <t>-1314</t>
    </r>
    <r>
      <rPr>
        <sz val="11"/>
        <color theme="1"/>
        <rFont val="宋体"/>
        <family val="2"/>
        <charset val="134"/>
        <scheme val="minor"/>
      </rPr>
      <t/>
    </r>
  </si>
  <si>
    <r>
      <t>4</t>
    </r>
    <r>
      <rPr>
        <sz val="11"/>
        <color theme="1"/>
        <rFont val="宋体"/>
        <family val="3"/>
        <charset val="134"/>
        <scheme val="minor"/>
      </rPr>
      <t>-1315</t>
    </r>
    <r>
      <rPr>
        <sz val="11"/>
        <color theme="1"/>
        <rFont val="宋体"/>
        <family val="2"/>
        <charset val="134"/>
        <scheme val="minor"/>
      </rPr>
      <t/>
    </r>
  </si>
  <si>
    <r>
      <t>4</t>
    </r>
    <r>
      <rPr>
        <sz val="11"/>
        <color theme="1"/>
        <rFont val="宋体"/>
        <family val="3"/>
        <charset val="134"/>
        <scheme val="minor"/>
      </rPr>
      <t>-1316</t>
    </r>
    <r>
      <rPr>
        <sz val="11"/>
        <color theme="1"/>
        <rFont val="宋体"/>
        <family val="2"/>
        <charset val="134"/>
        <scheme val="minor"/>
      </rPr>
      <t/>
    </r>
  </si>
  <si>
    <r>
      <t>4</t>
    </r>
    <r>
      <rPr>
        <sz val="11"/>
        <color theme="1"/>
        <rFont val="宋体"/>
        <family val="3"/>
        <charset val="134"/>
        <scheme val="minor"/>
      </rPr>
      <t>-1317</t>
    </r>
    <r>
      <rPr>
        <sz val="11"/>
        <color theme="1"/>
        <rFont val="宋体"/>
        <family val="2"/>
        <charset val="134"/>
        <scheme val="minor"/>
      </rPr>
      <t/>
    </r>
  </si>
  <si>
    <r>
      <t>4</t>
    </r>
    <r>
      <rPr>
        <sz val="11"/>
        <color theme="1"/>
        <rFont val="宋体"/>
        <family val="3"/>
        <charset val="134"/>
        <scheme val="minor"/>
      </rPr>
      <t>-1318</t>
    </r>
    <r>
      <rPr>
        <sz val="11"/>
        <color theme="1"/>
        <rFont val="宋体"/>
        <family val="2"/>
        <charset val="134"/>
        <scheme val="minor"/>
      </rPr>
      <t/>
    </r>
  </si>
  <si>
    <r>
      <t>4</t>
    </r>
    <r>
      <rPr>
        <sz val="11"/>
        <color theme="1"/>
        <rFont val="宋体"/>
        <family val="3"/>
        <charset val="134"/>
        <scheme val="minor"/>
      </rPr>
      <t>-1319</t>
    </r>
    <r>
      <rPr>
        <sz val="11"/>
        <color theme="1"/>
        <rFont val="宋体"/>
        <family val="2"/>
        <charset val="134"/>
        <scheme val="minor"/>
      </rPr>
      <t/>
    </r>
  </si>
  <si>
    <r>
      <t>4</t>
    </r>
    <r>
      <rPr>
        <sz val="11"/>
        <color theme="1"/>
        <rFont val="宋体"/>
        <family val="3"/>
        <charset val="134"/>
        <scheme val="minor"/>
      </rPr>
      <t>-1320</t>
    </r>
    <r>
      <rPr>
        <sz val="11"/>
        <color theme="1"/>
        <rFont val="宋体"/>
        <family val="2"/>
        <charset val="134"/>
        <scheme val="minor"/>
      </rPr>
      <t/>
    </r>
  </si>
  <si>
    <r>
      <t>4</t>
    </r>
    <r>
      <rPr>
        <sz val="11"/>
        <color theme="1"/>
        <rFont val="宋体"/>
        <family val="3"/>
        <charset val="134"/>
        <scheme val="minor"/>
      </rPr>
      <t>-1321</t>
    </r>
    <r>
      <rPr>
        <sz val="11"/>
        <color theme="1"/>
        <rFont val="宋体"/>
        <family val="2"/>
        <charset val="134"/>
        <scheme val="minor"/>
      </rPr>
      <t/>
    </r>
  </si>
  <si>
    <r>
      <t>4</t>
    </r>
    <r>
      <rPr>
        <sz val="11"/>
        <color theme="1"/>
        <rFont val="宋体"/>
        <family val="3"/>
        <charset val="134"/>
        <scheme val="minor"/>
      </rPr>
      <t>-1322</t>
    </r>
    <r>
      <rPr>
        <sz val="11"/>
        <color theme="1"/>
        <rFont val="宋体"/>
        <family val="2"/>
        <charset val="134"/>
        <scheme val="minor"/>
      </rPr>
      <t/>
    </r>
  </si>
  <si>
    <r>
      <t>4</t>
    </r>
    <r>
      <rPr>
        <sz val="11"/>
        <color theme="1"/>
        <rFont val="宋体"/>
        <family val="3"/>
        <charset val="134"/>
        <scheme val="minor"/>
      </rPr>
      <t>-1323</t>
    </r>
    <r>
      <rPr>
        <sz val="11"/>
        <color theme="1"/>
        <rFont val="宋体"/>
        <family val="2"/>
        <charset val="134"/>
        <scheme val="minor"/>
      </rPr>
      <t/>
    </r>
  </si>
  <si>
    <r>
      <t>4</t>
    </r>
    <r>
      <rPr>
        <sz val="11"/>
        <color theme="1"/>
        <rFont val="宋体"/>
        <family val="3"/>
        <charset val="134"/>
        <scheme val="minor"/>
      </rPr>
      <t>-1324</t>
    </r>
    <r>
      <rPr>
        <sz val="11"/>
        <color theme="1"/>
        <rFont val="宋体"/>
        <family val="2"/>
        <charset val="134"/>
        <scheme val="minor"/>
      </rPr>
      <t/>
    </r>
  </si>
  <si>
    <r>
      <t>4</t>
    </r>
    <r>
      <rPr>
        <sz val="11"/>
        <color theme="1"/>
        <rFont val="宋体"/>
        <family val="3"/>
        <charset val="134"/>
        <scheme val="minor"/>
      </rPr>
      <t>-1325</t>
    </r>
    <r>
      <rPr>
        <sz val="11"/>
        <color theme="1"/>
        <rFont val="宋体"/>
        <family val="2"/>
        <charset val="134"/>
        <scheme val="minor"/>
      </rPr>
      <t/>
    </r>
  </si>
  <si>
    <r>
      <t>4</t>
    </r>
    <r>
      <rPr>
        <sz val="11"/>
        <color theme="1"/>
        <rFont val="宋体"/>
        <family val="3"/>
        <charset val="134"/>
        <scheme val="minor"/>
      </rPr>
      <t>-1326</t>
    </r>
    <r>
      <rPr>
        <sz val="11"/>
        <color theme="1"/>
        <rFont val="宋体"/>
        <family val="2"/>
        <charset val="134"/>
        <scheme val="minor"/>
      </rPr>
      <t/>
    </r>
  </si>
  <si>
    <r>
      <t>4</t>
    </r>
    <r>
      <rPr>
        <sz val="11"/>
        <color theme="1"/>
        <rFont val="宋体"/>
        <family val="3"/>
        <charset val="134"/>
        <scheme val="minor"/>
      </rPr>
      <t>-1327</t>
    </r>
    <r>
      <rPr>
        <sz val="11"/>
        <color theme="1"/>
        <rFont val="宋体"/>
        <family val="2"/>
        <charset val="134"/>
        <scheme val="minor"/>
      </rPr>
      <t/>
    </r>
  </si>
  <si>
    <r>
      <t>4</t>
    </r>
    <r>
      <rPr>
        <sz val="11"/>
        <color theme="1"/>
        <rFont val="宋体"/>
        <family val="3"/>
        <charset val="134"/>
        <scheme val="minor"/>
      </rPr>
      <t>-1328</t>
    </r>
    <r>
      <rPr>
        <sz val="11"/>
        <color theme="1"/>
        <rFont val="宋体"/>
        <family val="2"/>
        <charset val="134"/>
        <scheme val="minor"/>
      </rPr>
      <t/>
    </r>
  </si>
  <si>
    <r>
      <t>4</t>
    </r>
    <r>
      <rPr>
        <sz val="11"/>
        <color theme="1"/>
        <rFont val="宋体"/>
        <family val="3"/>
        <charset val="134"/>
        <scheme val="minor"/>
      </rPr>
      <t>-1329</t>
    </r>
    <r>
      <rPr>
        <sz val="11"/>
        <color theme="1"/>
        <rFont val="宋体"/>
        <family val="2"/>
        <charset val="134"/>
        <scheme val="minor"/>
      </rPr>
      <t/>
    </r>
  </si>
  <si>
    <r>
      <t>4</t>
    </r>
    <r>
      <rPr>
        <sz val="11"/>
        <color theme="1"/>
        <rFont val="宋体"/>
        <family val="3"/>
        <charset val="134"/>
        <scheme val="minor"/>
      </rPr>
      <t>-1330</t>
    </r>
    <r>
      <rPr>
        <sz val="11"/>
        <color theme="1"/>
        <rFont val="宋体"/>
        <family val="2"/>
        <charset val="134"/>
        <scheme val="minor"/>
      </rPr>
      <t/>
    </r>
  </si>
  <si>
    <r>
      <t>4</t>
    </r>
    <r>
      <rPr>
        <sz val="11"/>
        <color theme="1"/>
        <rFont val="宋体"/>
        <family val="3"/>
        <charset val="134"/>
        <scheme val="minor"/>
      </rPr>
      <t>-1331</t>
    </r>
    <r>
      <rPr>
        <sz val="11"/>
        <color theme="1"/>
        <rFont val="宋体"/>
        <family val="2"/>
        <charset val="134"/>
        <scheme val="minor"/>
      </rPr>
      <t/>
    </r>
  </si>
  <si>
    <r>
      <t>4</t>
    </r>
    <r>
      <rPr>
        <sz val="11"/>
        <color theme="1"/>
        <rFont val="宋体"/>
        <family val="3"/>
        <charset val="134"/>
        <scheme val="minor"/>
      </rPr>
      <t>-1332</t>
    </r>
    <r>
      <rPr>
        <sz val="11"/>
        <color theme="1"/>
        <rFont val="宋体"/>
        <family val="2"/>
        <charset val="134"/>
        <scheme val="minor"/>
      </rPr>
      <t/>
    </r>
  </si>
  <si>
    <r>
      <t>4</t>
    </r>
    <r>
      <rPr>
        <sz val="11"/>
        <color theme="1"/>
        <rFont val="宋体"/>
        <family val="3"/>
        <charset val="134"/>
        <scheme val="minor"/>
      </rPr>
      <t>-1333</t>
    </r>
    <r>
      <rPr>
        <sz val="11"/>
        <color theme="1"/>
        <rFont val="宋体"/>
        <family val="2"/>
        <charset val="134"/>
        <scheme val="minor"/>
      </rPr>
      <t/>
    </r>
  </si>
  <si>
    <r>
      <t>4</t>
    </r>
    <r>
      <rPr>
        <sz val="11"/>
        <color theme="1"/>
        <rFont val="宋体"/>
        <family val="3"/>
        <charset val="134"/>
        <scheme val="minor"/>
      </rPr>
      <t>-1334</t>
    </r>
    <r>
      <rPr>
        <sz val="11"/>
        <color theme="1"/>
        <rFont val="宋体"/>
        <family val="2"/>
        <charset val="134"/>
        <scheme val="minor"/>
      </rPr>
      <t/>
    </r>
  </si>
  <si>
    <r>
      <t>4</t>
    </r>
    <r>
      <rPr>
        <sz val="11"/>
        <color theme="1"/>
        <rFont val="宋体"/>
        <family val="3"/>
        <charset val="134"/>
        <scheme val="minor"/>
      </rPr>
      <t>-1335</t>
    </r>
    <r>
      <rPr>
        <sz val="11"/>
        <color theme="1"/>
        <rFont val="宋体"/>
        <family val="2"/>
        <charset val="134"/>
        <scheme val="minor"/>
      </rPr>
      <t/>
    </r>
  </si>
  <si>
    <r>
      <t>4</t>
    </r>
    <r>
      <rPr>
        <sz val="11"/>
        <color theme="1"/>
        <rFont val="宋体"/>
        <family val="3"/>
        <charset val="134"/>
        <scheme val="minor"/>
      </rPr>
      <t>-1336</t>
    </r>
    <r>
      <rPr>
        <sz val="11"/>
        <color theme="1"/>
        <rFont val="宋体"/>
        <family val="2"/>
        <charset val="134"/>
        <scheme val="minor"/>
      </rPr>
      <t/>
    </r>
  </si>
  <si>
    <r>
      <t>4</t>
    </r>
    <r>
      <rPr>
        <sz val="11"/>
        <color theme="1"/>
        <rFont val="宋体"/>
        <family val="3"/>
        <charset val="134"/>
        <scheme val="minor"/>
      </rPr>
      <t>-1337</t>
    </r>
    <r>
      <rPr>
        <sz val="11"/>
        <color theme="1"/>
        <rFont val="宋体"/>
        <family val="2"/>
        <charset val="134"/>
        <scheme val="minor"/>
      </rPr>
      <t/>
    </r>
  </si>
  <si>
    <r>
      <t>4</t>
    </r>
    <r>
      <rPr>
        <sz val="11"/>
        <color theme="1"/>
        <rFont val="宋体"/>
        <family val="3"/>
        <charset val="134"/>
        <scheme val="minor"/>
      </rPr>
      <t>-1338</t>
    </r>
    <r>
      <rPr>
        <sz val="11"/>
        <color theme="1"/>
        <rFont val="宋体"/>
        <family val="2"/>
        <charset val="134"/>
        <scheme val="minor"/>
      </rPr>
      <t/>
    </r>
  </si>
  <si>
    <r>
      <t>4</t>
    </r>
    <r>
      <rPr>
        <sz val="11"/>
        <color theme="1"/>
        <rFont val="宋体"/>
        <family val="3"/>
        <charset val="134"/>
        <scheme val="minor"/>
      </rPr>
      <t>-1339</t>
    </r>
    <r>
      <rPr>
        <sz val="11"/>
        <color theme="1"/>
        <rFont val="宋体"/>
        <family val="2"/>
        <charset val="134"/>
        <scheme val="minor"/>
      </rPr>
      <t/>
    </r>
  </si>
  <si>
    <r>
      <t>4</t>
    </r>
    <r>
      <rPr>
        <sz val="11"/>
        <color theme="1"/>
        <rFont val="宋体"/>
        <family val="3"/>
        <charset val="134"/>
        <scheme val="minor"/>
      </rPr>
      <t>-1340</t>
    </r>
    <r>
      <rPr>
        <sz val="11"/>
        <color theme="1"/>
        <rFont val="宋体"/>
        <family val="2"/>
        <charset val="134"/>
        <scheme val="minor"/>
      </rPr>
      <t/>
    </r>
  </si>
  <si>
    <r>
      <t>4</t>
    </r>
    <r>
      <rPr>
        <sz val="11"/>
        <color theme="1"/>
        <rFont val="宋体"/>
        <family val="3"/>
        <charset val="134"/>
        <scheme val="minor"/>
      </rPr>
      <t>-1341</t>
    </r>
    <r>
      <rPr>
        <sz val="11"/>
        <color theme="1"/>
        <rFont val="宋体"/>
        <family val="2"/>
        <charset val="134"/>
        <scheme val="minor"/>
      </rPr>
      <t/>
    </r>
  </si>
  <si>
    <r>
      <t>4</t>
    </r>
    <r>
      <rPr>
        <sz val="11"/>
        <color theme="1"/>
        <rFont val="宋体"/>
        <family val="3"/>
        <charset val="134"/>
        <scheme val="minor"/>
      </rPr>
      <t>-1342</t>
    </r>
    <r>
      <rPr>
        <sz val="11"/>
        <color theme="1"/>
        <rFont val="宋体"/>
        <family val="2"/>
        <charset val="134"/>
        <scheme val="minor"/>
      </rPr>
      <t/>
    </r>
  </si>
  <si>
    <r>
      <t>4</t>
    </r>
    <r>
      <rPr>
        <sz val="11"/>
        <color theme="1"/>
        <rFont val="宋体"/>
        <family val="3"/>
        <charset val="134"/>
        <scheme val="minor"/>
      </rPr>
      <t>-1343</t>
    </r>
    <r>
      <rPr>
        <sz val="11"/>
        <color theme="1"/>
        <rFont val="宋体"/>
        <family val="2"/>
        <charset val="134"/>
        <scheme val="minor"/>
      </rPr>
      <t/>
    </r>
  </si>
  <si>
    <r>
      <t>4</t>
    </r>
    <r>
      <rPr>
        <sz val="11"/>
        <color theme="1"/>
        <rFont val="宋体"/>
        <family val="3"/>
        <charset val="134"/>
        <scheme val="minor"/>
      </rPr>
      <t>-1344</t>
    </r>
    <r>
      <rPr>
        <sz val="11"/>
        <color theme="1"/>
        <rFont val="宋体"/>
        <family val="2"/>
        <charset val="134"/>
        <scheme val="minor"/>
      </rPr>
      <t/>
    </r>
  </si>
  <si>
    <r>
      <t>4</t>
    </r>
    <r>
      <rPr>
        <sz val="11"/>
        <color theme="1"/>
        <rFont val="宋体"/>
        <family val="3"/>
        <charset val="134"/>
        <scheme val="minor"/>
      </rPr>
      <t>-1345</t>
    </r>
    <r>
      <rPr>
        <sz val="11"/>
        <color theme="1"/>
        <rFont val="宋体"/>
        <family val="2"/>
        <charset val="134"/>
        <scheme val="minor"/>
      </rPr>
      <t/>
    </r>
  </si>
  <si>
    <r>
      <t>1</t>
    </r>
    <r>
      <rPr>
        <sz val="11"/>
        <color theme="1"/>
        <rFont val="宋体"/>
        <family val="3"/>
        <charset val="134"/>
        <scheme val="minor"/>
      </rPr>
      <t>-1401</t>
    </r>
    <phoneticPr fontId="144" type="noConversion"/>
  </si>
  <si>
    <r>
      <t>1</t>
    </r>
    <r>
      <rPr>
        <sz val="11"/>
        <color theme="1"/>
        <rFont val="宋体"/>
        <family val="3"/>
        <charset val="134"/>
        <scheme val="minor"/>
      </rPr>
      <t>-1402</t>
    </r>
    <r>
      <rPr>
        <sz val="11"/>
        <color theme="1"/>
        <rFont val="宋体"/>
        <family val="2"/>
        <charset val="134"/>
        <scheme val="minor"/>
      </rPr>
      <t/>
    </r>
  </si>
  <si>
    <r>
      <t>1</t>
    </r>
    <r>
      <rPr>
        <sz val="11"/>
        <color theme="1"/>
        <rFont val="宋体"/>
        <family val="3"/>
        <charset val="134"/>
        <scheme val="minor"/>
      </rPr>
      <t>-1403</t>
    </r>
    <r>
      <rPr>
        <sz val="11"/>
        <color theme="1"/>
        <rFont val="宋体"/>
        <family val="2"/>
        <charset val="134"/>
        <scheme val="minor"/>
      </rPr>
      <t/>
    </r>
  </si>
  <si>
    <r>
      <t>1</t>
    </r>
    <r>
      <rPr>
        <sz val="11"/>
        <color theme="1"/>
        <rFont val="宋体"/>
        <family val="3"/>
        <charset val="134"/>
        <scheme val="minor"/>
      </rPr>
      <t>-1404</t>
    </r>
    <r>
      <rPr>
        <sz val="11"/>
        <color theme="1"/>
        <rFont val="宋体"/>
        <family val="2"/>
        <charset val="134"/>
        <scheme val="minor"/>
      </rPr>
      <t/>
    </r>
  </si>
  <si>
    <r>
      <t>1</t>
    </r>
    <r>
      <rPr>
        <sz val="11"/>
        <color theme="1"/>
        <rFont val="宋体"/>
        <family val="3"/>
        <charset val="134"/>
        <scheme val="minor"/>
      </rPr>
      <t>-1405</t>
    </r>
    <r>
      <rPr>
        <sz val="11"/>
        <color theme="1"/>
        <rFont val="宋体"/>
        <family val="2"/>
        <charset val="134"/>
        <scheme val="minor"/>
      </rPr>
      <t/>
    </r>
  </si>
  <si>
    <r>
      <t>1</t>
    </r>
    <r>
      <rPr>
        <sz val="11"/>
        <color theme="1"/>
        <rFont val="宋体"/>
        <family val="3"/>
        <charset val="134"/>
        <scheme val="minor"/>
      </rPr>
      <t>-1406</t>
    </r>
    <r>
      <rPr>
        <sz val="11"/>
        <color theme="1"/>
        <rFont val="宋体"/>
        <family val="2"/>
        <charset val="134"/>
        <scheme val="minor"/>
      </rPr>
      <t/>
    </r>
  </si>
  <si>
    <r>
      <t>1</t>
    </r>
    <r>
      <rPr>
        <sz val="11"/>
        <color theme="1"/>
        <rFont val="宋体"/>
        <family val="3"/>
        <charset val="134"/>
        <scheme val="minor"/>
      </rPr>
      <t>-1407</t>
    </r>
    <r>
      <rPr>
        <sz val="11"/>
        <color theme="1"/>
        <rFont val="宋体"/>
        <family val="2"/>
        <charset val="134"/>
        <scheme val="minor"/>
      </rPr>
      <t/>
    </r>
  </si>
  <si>
    <r>
      <t>1</t>
    </r>
    <r>
      <rPr>
        <sz val="11"/>
        <color theme="1"/>
        <rFont val="宋体"/>
        <family val="3"/>
        <charset val="134"/>
        <scheme val="minor"/>
      </rPr>
      <t>-1408</t>
    </r>
    <r>
      <rPr>
        <sz val="11"/>
        <color theme="1"/>
        <rFont val="宋体"/>
        <family val="2"/>
        <charset val="134"/>
        <scheme val="minor"/>
      </rPr>
      <t/>
    </r>
  </si>
  <si>
    <r>
      <t>1</t>
    </r>
    <r>
      <rPr>
        <sz val="11"/>
        <color theme="1"/>
        <rFont val="宋体"/>
        <family val="3"/>
        <charset val="134"/>
        <scheme val="minor"/>
      </rPr>
      <t>-1409</t>
    </r>
    <r>
      <rPr>
        <sz val="11"/>
        <color theme="1"/>
        <rFont val="宋体"/>
        <family val="2"/>
        <charset val="134"/>
        <scheme val="minor"/>
      </rPr>
      <t/>
    </r>
  </si>
  <si>
    <r>
      <t>1</t>
    </r>
    <r>
      <rPr>
        <sz val="11"/>
        <color theme="1"/>
        <rFont val="宋体"/>
        <family val="3"/>
        <charset val="134"/>
        <scheme val="minor"/>
      </rPr>
      <t>-1410</t>
    </r>
    <r>
      <rPr>
        <sz val="11"/>
        <color theme="1"/>
        <rFont val="宋体"/>
        <family val="2"/>
        <charset val="134"/>
        <scheme val="minor"/>
      </rPr>
      <t/>
    </r>
  </si>
  <si>
    <r>
      <t>1</t>
    </r>
    <r>
      <rPr>
        <sz val="11"/>
        <color theme="1"/>
        <rFont val="宋体"/>
        <family val="3"/>
        <charset val="134"/>
        <scheme val="minor"/>
      </rPr>
      <t>-1411</t>
    </r>
    <r>
      <rPr>
        <sz val="11"/>
        <color theme="1"/>
        <rFont val="宋体"/>
        <family val="2"/>
        <charset val="134"/>
        <scheme val="minor"/>
      </rPr>
      <t/>
    </r>
  </si>
  <si>
    <r>
      <t>1</t>
    </r>
    <r>
      <rPr>
        <sz val="11"/>
        <color theme="1"/>
        <rFont val="宋体"/>
        <family val="3"/>
        <charset val="134"/>
        <scheme val="minor"/>
      </rPr>
      <t>-1412</t>
    </r>
    <r>
      <rPr>
        <sz val="11"/>
        <color theme="1"/>
        <rFont val="宋体"/>
        <family val="2"/>
        <charset val="134"/>
        <scheme val="minor"/>
      </rPr>
      <t/>
    </r>
  </si>
  <si>
    <r>
      <t>1</t>
    </r>
    <r>
      <rPr>
        <sz val="11"/>
        <color theme="1"/>
        <rFont val="宋体"/>
        <family val="3"/>
        <charset val="134"/>
        <scheme val="minor"/>
      </rPr>
      <t>-1413</t>
    </r>
    <r>
      <rPr>
        <sz val="11"/>
        <color theme="1"/>
        <rFont val="宋体"/>
        <family val="2"/>
        <charset val="134"/>
        <scheme val="minor"/>
      </rPr>
      <t/>
    </r>
  </si>
  <si>
    <r>
      <t>1</t>
    </r>
    <r>
      <rPr>
        <sz val="11"/>
        <color theme="1"/>
        <rFont val="宋体"/>
        <family val="3"/>
        <charset val="134"/>
        <scheme val="minor"/>
      </rPr>
      <t>-1414</t>
    </r>
    <r>
      <rPr>
        <sz val="11"/>
        <color theme="1"/>
        <rFont val="宋体"/>
        <family val="2"/>
        <charset val="134"/>
        <scheme val="minor"/>
      </rPr>
      <t/>
    </r>
  </si>
  <si>
    <r>
      <t>1</t>
    </r>
    <r>
      <rPr>
        <sz val="11"/>
        <color theme="1"/>
        <rFont val="宋体"/>
        <family val="3"/>
        <charset val="134"/>
        <scheme val="minor"/>
      </rPr>
      <t>-1415</t>
    </r>
    <r>
      <rPr>
        <sz val="11"/>
        <color theme="1"/>
        <rFont val="宋体"/>
        <family val="2"/>
        <charset val="134"/>
        <scheme val="minor"/>
      </rPr>
      <t/>
    </r>
  </si>
  <si>
    <r>
      <t>1</t>
    </r>
    <r>
      <rPr>
        <sz val="11"/>
        <color theme="1"/>
        <rFont val="宋体"/>
        <family val="3"/>
        <charset val="134"/>
        <scheme val="minor"/>
      </rPr>
      <t>-1416</t>
    </r>
    <r>
      <rPr>
        <sz val="11"/>
        <color theme="1"/>
        <rFont val="宋体"/>
        <family val="2"/>
        <charset val="134"/>
        <scheme val="minor"/>
      </rPr>
      <t/>
    </r>
  </si>
  <si>
    <r>
      <t>1</t>
    </r>
    <r>
      <rPr>
        <sz val="11"/>
        <color theme="1"/>
        <rFont val="宋体"/>
        <family val="3"/>
        <charset val="134"/>
        <scheme val="minor"/>
      </rPr>
      <t>-1417</t>
    </r>
    <r>
      <rPr>
        <sz val="11"/>
        <color theme="1"/>
        <rFont val="宋体"/>
        <family val="2"/>
        <charset val="134"/>
        <scheme val="minor"/>
      </rPr>
      <t/>
    </r>
  </si>
  <si>
    <r>
      <t>1</t>
    </r>
    <r>
      <rPr>
        <sz val="11"/>
        <color theme="1"/>
        <rFont val="宋体"/>
        <family val="3"/>
        <charset val="134"/>
        <scheme val="minor"/>
      </rPr>
      <t>-1418</t>
    </r>
    <r>
      <rPr>
        <sz val="11"/>
        <color theme="1"/>
        <rFont val="宋体"/>
        <family val="2"/>
        <charset val="134"/>
        <scheme val="minor"/>
      </rPr>
      <t/>
    </r>
  </si>
  <si>
    <r>
      <t>1</t>
    </r>
    <r>
      <rPr>
        <sz val="11"/>
        <color theme="1"/>
        <rFont val="宋体"/>
        <family val="3"/>
        <charset val="134"/>
        <scheme val="minor"/>
      </rPr>
      <t>-1419</t>
    </r>
    <r>
      <rPr>
        <sz val="11"/>
        <color theme="1"/>
        <rFont val="宋体"/>
        <family val="2"/>
        <charset val="134"/>
        <scheme val="minor"/>
      </rPr>
      <t/>
    </r>
  </si>
  <si>
    <r>
      <t>1</t>
    </r>
    <r>
      <rPr>
        <sz val="11"/>
        <color theme="1"/>
        <rFont val="宋体"/>
        <family val="3"/>
        <charset val="134"/>
        <scheme val="minor"/>
      </rPr>
      <t>-1420</t>
    </r>
    <r>
      <rPr>
        <sz val="11"/>
        <color theme="1"/>
        <rFont val="宋体"/>
        <family val="2"/>
        <charset val="134"/>
        <scheme val="minor"/>
      </rPr>
      <t/>
    </r>
  </si>
  <si>
    <r>
      <t>2</t>
    </r>
    <r>
      <rPr>
        <sz val="11"/>
        <color theme="1"/>
        <rFont val="宋体"/>
        <family val="3"/>
        <charset val="134"/>
        <scheme val="minor"/>
      </rPr>
      <t>-1401</t>
    </r>
    <phoneticPr fontId="144" type="noConversion"/>
  </si>
  <si>
    <r>
      <t>2</t>
    </r>
    <r>
      <rPr>
        <sz val="11"/>
        <color theme="1"/>
        <rFont val="宋体"/>
        <family val="3"/>
        <charset val="134"/>
        <scheme val="minor"/>
      </rPr>
      <t>-1402</t>
    </r>
    <r>
      <rPr>
        <sz val="11"/>
        <color theme="1"/>
        <rFont val="宋体"/>
        <family val="2"/>
        <charset val="134"/>
        <scheme val="minor"/>
      </rPr>
      <t/>
    </r>
  </si>
  <si>
    <r>
      <t>2</t>
    </r>
    <r>
      <rPr>
        <sz val="11"/>
        <color theme="1"/>
        <rFont val="宋体"/>
        <family val="3"/>
        <charset val="134"/>
        <scheme val="minor"/>
      </rPr>
      <t>-1403</t>
    </r>
    <r>
      <rPr>
        <sz val="11"/>
        <color theme="1"/>
        <rFont val="宋体"/>
        <family val="2"/>
        <charset val="134"/>
        <scheme val="minor"/>
      </rPr>
      <t/>
    </r>
  </si>
  <si>
    <r>
      <t>2</t>
    </r>
    <r>
      <rPr>
        <sz val="11"/>
        <color theme="1"/>
        <rFont val="宋体"/>
        <family val="3"/>
        <charset val="134"/>
        <scheme val="minor"/>
      </rPr>
      <t>-1404</t>
    </r>
    <r>
      <rPr>
        <sz val="11"/>
        <color theme="1"/>
        <rFont val="宋体"/>
        <family val="2"/>
        <charset val="134"/>
        <scheme val="minor"/>
      </rPr>
      <t/>
    </r>
  </si>
  <si>
    <r>
      <t>2</t>
    </r>
    <r>
      <rPr>
        <sz val="11"/>
        <color theme="1"/>
        <rFont val="宋体"/>
        <family val="3"/>
        <charset val="134"/>
        <scheme val="minor"/>
      </rPr>
      <t>-1405</t>
    </r>
    <r>
      <rPr>
        <sz val="11"/>
        <color theme="1"/>
        <rFont val="宋体"/>
        <family val="2"/>
        <charset val="134"/>
        <scheme val="minor"/>
      </rPr>
      <t/>
    </r>
  </si>
  <si>
    <r>
      <t>2</t>
    </r>
    <r>
      <rPr>
        <sz val="11"/>
        <color theme="1"/>
        <rFont val="宋体"/>
        <family val="3"/>
        <charset val="134"/>
        <scheme val="minor"/>
      </rPr>
      <t>-1406</t>
    </r>
    <r>
      <rPr>
        <sz val="11"/>
        <color theme="1"/>
        <rFont val="宋体"/>
        <family val="2"/>
        <charset val="134"/>
        <scheme val="minor"/>
      </rPr>
      <t/>
    </r>
  </si>
  <si>
    <r>
      <t>2</t>
    </r>
    <r>
      <rPr>
        <sz val="11"/>
        <color theme="1"/>
        <rFont val="宋体"/>
        <family val="3"/>
        <charset val="134"/>
        <scheme val="minor"/>
      </rPr>
      <t>-1407</t>
    </r>
    <r>
      <rPr>
        <sz val="11"/>
        <color theme="1"/>
        <rFont val="宋体"/>
        <family val="2"/>
        <charset val="134"/>
        <scheme val="minor"/>
      </rPr>
      <t/>
    </r>
  </si>
  <si>
    <r>
      <t>2</t>
    </r>
    <r>
      <rPr>
        <sz val="11"/>
        <color theme="1"/>
        <rFont val="宋体"/>
        <family val="3"/>
        <charset val="134"/>
        <scheme val="minor"/>
      </rPr>
      <t>-1408</t>
    </r>
    <r>
      <rPr>
        <sz val="11"/>
        <color theme="1"/>
        <rFont val="宋体"/>
        <family val="2"/>
        <charset val="134"/>
        <scheme val="minor"/>
      </rPr>
      <t/>
    </r>
  </si>
  <si>
    <r>
      <t>2</t>
    </r>
    <r>
      <rPr>
        <sz val="11"/>
        <color theme="1"/>
        <rFont val="宋体"/>
        <family val="3"/>
        <charset val="134"/>
        <scheme val="minor"/>
      </rPr>
      <t>-1409</t>
    </r>
    <r>
      <rPr>
        <sz val="11"/>
        <color theme="1"/>
        <rFont val="宋体"/>
        <family val="2"/>
        <charset val="134"/>
        <scheme val="minor"/>
      </rPr>
      <t/>
    </r>
  </si>
  <si>
    <r>
      <t>2</t>
    </r>
    <r>
      <rPr>
        <sz val="11"/>
        <color theme="1"/>
        <rFont val="宋体"/>
        <family val="3"/>
        <charset val="134"/>
        <scheme val="minor"/>
      </rPr>
      <t>-1410</t>
    </r>
    <r>
      <rPr>
        <sz val="11"/>
        <color theme="1"/>
        <rFont val="宋体"/>
        <family val="2"/>
        <charset val="134"/>
        <scheme val="minor"/>
      </rPr>
      <t/>
    </r>
  </si>
  <si>
    <r>
      <t>2</t>
    </r>
    <r>
      <rPr>
        <sz val="11"/>
        <color theme="1"/>
        <rFont val="宋体"/>
        <family val="3"/>
        <charset val="134"/>
        <scheme val="minor"/>
      </rPr>
      <t>-1411</t>
    </r>
    <r>
      <rPr>
        <sz val="11"/>
        <color theme="1"/>
        <rFont val="宋体"/>
        <family val="2"/>
        <charset val="134"/>
        <scheme val="minor"/>
      </rPr>
      <t/>
    </r>
  </si>
  <si>
    <r>
      <t>2</t>
    </r>
    <r>
      <rPr>
        <sz val="11"/>
        <color theme="1"/>
        <rFont val="宋体"/>
        <family val="3"/>
        <charset val="134"/>
        <scheme val="minor"/>
      </rPr>
      <t>-1412</t>
    </r>
    <r>
      <rPr>
        <sz val="11"/>
        <color theme="1"/>
        <rFont val="宋体"/>
        <family val="2"/>
        <charset val="134"/>
        <scheme val="minor"/>
      </rPr>
      <t/>
    </r>
  </si>
  <si>
    <r>
      <t>2</t>
    </r>
    <r>
      <rPr>
        <sz val="11"/>
        <color theme="1"/>
        <rFont val="宋体"/>
        <family val="3"/>
        <charset val="134"/>
        <scheme val="minor"/>
      </rPr>
      <t>-1413</t>
    </r>
    <r>
      <rPr>
        <sz val="11"/>
        <color theme="1"/>
        <rFont val="宋体"/>
        <family val="2"/>
        <charset val="134"/>
        <scheme val="minor"/>
      </rPr>
      <t/>
    </r>
  </si>
  <si>
    <r>
      <t>2</t>
    </r>
    <r>
      <rPr>
        <sz val="11"/>
        <color theme="1"/>
        <rFont val="宋体"/>
        <family val="3"/>
        <charset val="134"/>
        <scheme val="minor"/>
      </rPr>
      <t>-1414</t>
    </r>
    <r>
      <rPr>
        <sz val="11"/>
        <color theme="1"/>
        <rFont val="宋体"/>
        <family val="2"/>
        <charset val="134"/>
        <scheme val="minor"/>
      </rPr>
      <t/>
    </r>
  </si>
  <si>
    <r>
      <t>2</t>
    </r>
    <r>
      <rPr>
        <sz val="11"/>
        <color theme="1"/>
        <rFont val="宋体"/>
        <family val="3"/>
        <charset val="134"/>
        <scheme val="minor"/>
      </rPr>
      <t>-1415</t>
    </r>
    <r>
      <rPr>
        <sz val="11"/>
        <color theme="1"/>
        <rFont val="宋体"/>
        <family val="2"/>
        <charset val="134"/>
        <scheme val="minor"/>
      </rPr>
      <t/>
    </r>
  </si>
  <si>
    <r>
      <t>2</t>
    </r>
    <r>
      <rPr>
        <sz val="11"/>
        <color theme="1"/>
        <rFont val="宋体"/>
        <family val="3"/>
        <charset val="134"/>
        <scheme val="minor"/>
      </rPr>
      <t>-1416</t>
    </r>
    <r>
      <rPr>
        <sz val="11"/>
        <color theme="1"/>
        <rFont val="宋体"/>
        <family val="2"/>
        <charset val="134"/>
        <scheme val="minor"/>
      </rPr>
      <t/>
    </r>
  </si>
  <si>
    <r>
      <t>2</t>
    </r>
    <r>
      <rPr>
        <sz val="11"/>
        <color theme="1"/>
        <rFont val="宋体"/>
        <family val="3"/>
        <charset val="134"/>
        <scheme val="minor"/>
      </rPr>
      <t>-1417</t>
    </r>
    <r>
      <rPr>
        <sz val="11"/>
        <color theme="1"/>
        <rFont val="宋体"/>
        <family val="2"/>
        <charset val="134"/>
        <scheme val="minor"/>
      </rPr>
      <t/>
    </r>
  </si>
  <si>
    <r>
      <t>2</t>
    </r>
    <r>
      <rPr>
        <sz val="11"/>
        <color theme="1"/>
        <rFont val="宋体"/>
        <family val="3"/>
        <charset val="134"/>
        <scheme val="minor"/>
      </rPr>
      <t>-1418</t>
    </r>
    <r>
      <rPr>
        <sz val="11"/>
        <color theme="1"/>
        <rFont val="宋体"/>
        <family val="2"/>
        <charset val="134"/>
        <scheme val="minor"/>
      </rPr>
      <t/>
    </r>
  </si>
  <si>
    <r>
      <t>2</t>
    </r>
    <r>
      <rPr>
        <sz val="11"/>
        <color theme="1"/>
        <rFont val="宋体"/>
        <family val="3"/>
        <charset val="134"/>
        <scheme val="minor"/>
      </rPr>
      <t>-1419</t>
    </r>
    <r>
      <rPr>
        <sz val="11"/>
        <color theme="1"/>
        <rFont val="宋体"/>
        <family val="2"/>
        <charset val="134"/>
        <scheme val="minor"/>
      </rPr>
      <t/>
    </r>
  </si>
  <si>
    <r>
      <t>2</t>
    </r>
    <r>
      <rPr>
        <sz val="11"/>
        <color theme="1"/>
        <rFont val="宋体"/>
        <family val="3"/>
        <charset val="134"/>
        <scheme val="minor"/>
      </rPr>
      <t>-1420</t>
    </r>
    <r>
      <rPr>
        <sz val="11"/>
        <color theme="1"/>
        <rFont val="宋体"/>
        <family val="2"/>
        <charset val="134"/>
        <scheme val="minor"/>
      </rPr>
      <t/>
    </r>
  </si>
  <si>
    <r>
      <t>3</t>
    </r>
    <r>
      <rPr>
        <sz val="11"/>
        <color theme="1"/>
        <rFont val="宋体"/>
        <family val="3"/>
        <charset val="134"/>
        <scheme val="minor"/>
      </rPr>
      <t>-1401</t>
    </r>
    <phoneticPr fontId="144" type="noConversion"/>
  </si>
  <si>
    <r>
      <t>3</t>
    </r>
    <r>
      <rPr>
        <sz val="11"/>
        <color theme="1"/>
        <rFont val="宋体"/>
        <family val="3"/>
        <charset val="134"/>
        <scheme val="minor"/>
      </rPr>
      <t>-1402</t>
    </r>
    <r>
      <rPr>
        <sz val="11"/>
        <color theme="1"/>
        <rFont val="宋体"/>
        <family val="2"/>
        <charset val="134"/>
        <scheme val="minor"/>
      </rPr>
      <t/>
    </r>
  </si>
  <si>
    <r>
      <t>3</t>
    </r>
    <r>
      <rPr>
        <sz val="11"/>
        <color theme="1"/>
        <rFont val="宋体"/>
        <family val="3"/>
        <charset val="134"/>
        <scheme val="minor"/>
      </rPr>
      <t>-1403</t>
    </r>
    <r>
      <rPr>
        <sz val="11"/>
        <color theme="1"/>
        <rFont val="宋体"/>
        <family val="2"/>
        <charset val="134"/>
        <scheme val="minor"/>
      </rPr>
      <t/>
    </r>
  </si>
  <si>
    <r>
      <t>3</t>
    </r>
    <r>
      <rPr>
        <sz val="11"/>
        <color theme="1"/>
        <rFont val="宋体"/>
        <family val="3"/>
        <charset val="134"/>
        <scheme val="minor"/>
      </rPr>
      <t>-1404</t>
    </r>
    <r>
      <rPr>
        <sz val="11"/>
        <color theme="1"/>
        <rFont val="宋体"/>
        <family val="2"/>
        <charset val="134"/>
        <scheme val="minor"/>
      </rPr>
      <t/>
    </r>
  </si>
  <si>
    <r>
      <t>3</t>
    </r>
    <r>
      <rPr>
        <sz val="11"/>
        <color theme="1"/>
        <rFont val="宋体"/>
        <family val="3"/>
        <charset val="134"/>
        <scheme val="minor"/>
      </rPr>
      <t>-1405</t>
    </r>
    <r>
      <rPr>
        <sz val="11"/>
        <color theme="1"/>
        <rFont val="宋体"/>
        <family val="2"/>
        <charset val="134"/>
        <scheme val="minor"/>
      </rPr>
      <t/>
    </r>
  </si>
  <si>
    <r>
      <t>3</t>
    </r>
    <r>
      <rPr>
        <sz val="11"/>
        <color theme="1"/>
        <rFont val="宋体"/>
        <family val="3"/>
        <charset val="134"/>
        <scheme val="minor"/>
      </rPr>
      <t>-1406</t>
    </r>
    <r>
      <rPr>
        <sz val="11"/>
        <color theme="1"/>
        <rFont val="宋体"/>
        <family val="2"/>
        <charset val="134"/>
        <scheme val="minor"/>
      </rPr>
      <t/>
    </r>
  </si>
  <si>
    <r>
      <t>3</t>
    </r>
    <r>
      <rPr>
        <sz val="11"/>
        <color theme="1"/>
        <rFont val="宋体"/>
        <family val="3"/>
        <charset val="134"/>
        <scheme val="minor"/>
      </rPr>
      <t>-1407</t>
    </r>
    <r>
      <rPr>
        <sz val="11"/>
        <color theme="1"/>
        <rFont val="宋体"/>
        <family val="2"/>
        <charset val="134"/>
        <scheme val="minor"/>
      </rPr>
      <t/>
    </r>
  </si>
  <si>
    <r>
      <t>3</t>
    </r>
    <r>
      <rPr>
        <sz val="11"/>
        <color theme="1"/>
        <rFont val="宋体"/>
        <family val="3"/>
        <charset val="134"/>
        <scheme val="minor"/>
      </rPr>
      <t>-1408</t>
    </r>
    <r>
      <rPr>
        <sz val="11"/>
        <color theme="1"/>
        <rFont val="宋体"/>
        <family val="2"/>
        <charset val="134"/>
        <scheme val="minor"/>
      </rPr>
      <t/>
    </r>
  </si>
  <si>
    <r>
      <t>3</t>
    </r>
    <r>
      <rPr>
        <sz val="11"/>
        <color theme="1"/>
        <rFont val="宋体"/>
        <family val="3"/>
        <charset val="134"/>
        <scheme val="minor"/>
      </rPr>
      <t>-1409</t>
    </r>
    <r>
      <rPr>
        <sz val="11"/>
        <color theme="1"/>
        <rFont val="宋体"/>
        <family val="2"/>
        <charset val="134"/>
        <scheme val="minor"/>
      </rPr>
      <t/>
    </r>
  </si>
  <si>
    <r>
      <t>3</t>
    </r>
    <r>
      <rPr>
        <sz val="11"/>
        <color theme="1"/>
        <rFont val="宋体"/>
        <family val="3"/>
        <charset val="134"/>
        <scheme val="minor"/>
      </rPr>
      <t>-1410</t>
    </r>
    <r>
      <rPr>
        <sz val="11"/>
        <color theme="1"/>
        <rFont val="宋体"/>
        <family val="2"/>
        <charset val="134"/>
        <scheme val="minor"/>
      </rPr>
      <t/>
    </r>
  </si>
  <si>
    <r>
      <t>3</t>
    </r>
    <r>
      <rPr>
        <sz val="11"/>
        <color theme="1"/>
        <rFont val="宋体"/>
        <family val="3"/>
        <charset val="134"/>
        <scheme val="minor"/>
      </rPr>
      <t>-1411</t>
    </r>
    <r>
      <rPr>
        <sz val="11"/>
        <color theme="1"/>
        <rFont val="宋体"/>
        <family val="2"/>
        <charset val="134"/>
        <scheme val="minor"/>
      </rPr>
      <t/>
    </r>
  </si>
  <si>
    <r>
      <t>3</t>
    </r>
    <r>
      <rPr>
        <sz val="11"/>
        <color theme="1"/>
        <rFont val="宋体"/>
        <family val="3"/>
        <charset val="134"/>
        <scheme val="minor"/>
      </rPr>
      <t>-1412</t>
    </r>
    <r>
      <rPr>
        <sz val="11"/>
        <color theme="1"/>
        <rFont val="宋体"/>
        <family val="2"/>
        <charset val="134"/>
        <scheme val="minor"/>
      </rPr>
      <t/>
    </r>
  </si>
  <si>
    <r>
      <t>3</t>
    </r>
    <r>
      <rPr>
        <sz val="11"/>
        <color theme="1"/>
        <rFont val="宋体"/>
        <family val="3"/>
        <charset val="134"/>
        <scheme val="minor"/>
      </rPr>
      <t>-1413</t>
    </r>
    <r>
      <rPr>
        <sz val="11"/>
        <color theme="1"/>
        <rFont val="宋体"/>
        <family val="2"/>
        <charset val="134"/>
        <scheme val="minor"/>
      </rPr>
      <t/>
    </r>
  </si>
  <si>
    <r>
      <t>3</t>
    </r>
    <r>
      <rPr>
        <sz val="11"/>
        <color theme="1"/>
        <rFont val="宋体"/>
        <family val="3"/>
        <charset val="134"/>
        <scheme val="minor"/>
      </rPr>
      <t>-1414</t>
    </r>
    <r>
      <rPr>
        <sz val="11"/>
        <color theme="1"/>
        <rFont val="宋体"/>
        <family val="2"/>
        <charset val="134"/>
        <scheme val="minor"/>
      </rPr>
      <t/>
    </r>
  </si>
  <si>
    <r>
      <t>3</t>
    </r>
    <r>
      <rPr>
        <sz val="11"/>
        <color theme="1"/>
        <rFont val="宋体"/>
        <family val="3"/>
        <charset val="134"/>
        <scheme val="minor"/>
      </rPr>
      <t>-1415</t>
    </r>
    <r>
      <rPr>
        <sz val="11"/>
        <color theme="1"/>
        <rFont val="宋体"/>
        <family val="2"/>
        <charset val="134"/>
        <scheme val="minor"/>
      </rPr>
      <t/>
    </r>
  </si>
  <si>
    <r>
      <t>3</t>
    </r>
    <r>
      <rPr>
        <sz val="11"/>
        <color theme="1"/>
        <rFont val="宋体"/>
        <family val="3"/>
        <charset val="134"/>
        <scheme val="minor"/>
      </rPr>
      <t>-1416</t>
    </r>
    <r>
      <rPr>
        <sz val="11"/>
        <color theme="1"/>
        <rFont val="宋体"/>
        <family val="2"/>
        <charset val="134"/>
        <scheme val="minor"/>
      </rPr>
      <t/>
    </r>
  </si>
  <si>
    <r>
      <t>3</t>
    </r>
    <r>
      <rPr>
        <sz val="11"/>
        <color theme="1"/>
        <rFont val="宋体"/>
        <family val="3"/>
        <charset val="134"/>
        <scheme val="minor"/>
      </rPr>
      <t>-1417</t>
    </r>
    <r>
      <rPr>
        <sz val="11"/>
        <color theme="1"/>
        <rFont val="宋体"/>
        <family val="2"/>
        <charset val="134"/>
        <scheme val="minor"/>
      </rPr>
      <t/>
    </r>
  </si>
  <si>
    <r>
      <t>3</t>
    </r>
    <r>
      <rPr>
        <sz val="11"/>
        <color theme="1"/>
        <rFont val="宋体"/>
        <family val="3"/>
        <charset val="134"/>
        <scheme val="minor"/>
      </rPr>
      <t>-1418</t>
    </r>
    <r>
      <rPr>
        <sz val="11"/>
        <color theme="1"/>
        <rFont val="宋体"/>
        <family val="2"/>
        <charset val="134"/>
        <scheme val="minor"/>
      </rPr>
      <t/>
    </r>
  </si>
  <si>
    <r>
      <t>3</t>
    </r>
    <r>
      <rPr>
        <sz val="11"/>
        <color theme="1"/>
        <rFont val="宋体"/>
        <family val="3"/>
        <charset val="134"/>
        <scheme val="minor"/>
      </rPr>
      <t>-1419</t>
    </r>
    <r>
      <rPr>
        <sz val="11"/>
        <color theme="1"/>
        <rFont val="宋体"/>
        <family val="2"/>
        <charset val="134"/>
        <scheme val="minor"/>
      </rPr>
      <t/>
    </r>
  </si>
  <si>
    <r>
      <t>3</t>
    </r>
    <r>
      <rPr>
        <sz val="11"/>
        <color theme="1"/>
        <rFont val="宋体"/>
        <family val="3"/>
        <charset val="134"/>
        <scheme val="minor"/>
      </rPr>
      <t>-1420</t>
    </r>
    <r>
      <rPr>
        <sz val="11"/>
        <color theme="1"/>
        <rFont val="宋体"/>
        <family val="2"/>
        <charset val="134"/>
        <scheme val="minor"/>
      </rPr>
      <t/>
    </r>
  </si>
  <si>
    <r>
      <t>3</t>
    </r>
    <r>
      <rPr>
        <sz val="11"/>
        <color theme="1"/>
        <rFont val="宋体"/>
        <family val="3"/>
        <charset val="134"/>
        <scheme val="minor"/>
      </rPr>
      <t>-1421</t>
    </r>
    <r>
      <rPr>
        <sz val="11"/>
        <color theme="1"/>
        <rFont val="宋体"/>
        <family val="2"/>
        <charset val="134"/>
        <scheme val="minor"/>
      </rPr>
      <t/>
    </r>
  </si>
  <si>
    <r>
      <t>3</t>
    </r>
    <r>
      <rPr>
        <sz val="11"/>
        <color theme="1"/>
        <rFont val="宋体"/>
        <family val="3"/>
        <charset val="134"/>
        <scheme val="minor"/>
      </rPr>
      <t>-1422</t>
    </r>
    <r>
      <rPr>
        <sz val="11"/>
        <color theme="1"/>
        <rFont val="宋体"/>
        <family val="2"/>
        <charset val="134"/>
        <scheme val="minor"/>
      </rPr>
      <t/>
    </r>
  </si>
  <si>
    <r>
      <t>3</t>
    </r>
    <r>
      <rPr>
        <sz val="11"/>
        <color theme="1"/>
        <rFont val="宋体"/>
        <family val="3"/>
        <charset val="134"/>
        <scheme val="minor"/>
      </rPr>
      <t>-1423</t>
    </r>
    <r>
      <rPr>
        <sz val="11"/>
        <color theme="1"/>
        <rFont val="宋体"/>
        <family val="2"/>
        <charset val="134"/>
        <scheme val="minor"/>
      </rPr>
      <t/>
    </r>
  </si>
  <si>
    <r>
      <t>3</t>
    </r>
    <r>
      <rPr>
        <sz val="11"/>
        <color theme="1"/>
        <rFont val="宋体"/>
        <family val="3"/>
        <charset val="134"/>
        <scheme val="minor"/>
      </rPr>
      <t>-1424</t>
    </r>
    <r>
      <rPr>
        <sz val="11"/>
        <color theme="1"/>
        <rFont val="宋体"/>
        <family val="2"/>
        <charset val="134"/>
        <scheme val="minor"/>
      </rPr>
      <t/>
    </r>
  </si>
  <si>
    <r>
      <t>3</t>
    </r>
    <r>
      <rPr>
        <sz val="11"/>
        <color theme="1"/>
        <rFont val="宋体"/>
        <family val="3"/>
        <charset val="134"/>
        <scheme val="minor"/>
      </rPr>
      <t>-1425</t>
    </r>
    <r>
      <rPr>
        <sz val="11"/>
        <color theme="1"/>
        <rFont val="宋体"/>
        <family val="2"/>
        <charset val="134"/>
        <scheme val="minor"/>
      </rPr>
      <t/>
    </r>
  </si>
  <si>
    <r>
      <t>3</t>
    </r>
    <r>
      <rPr>
        <sz val="11"/>
        <color theme="1"/>
        <rFont val="宋体"/>
        <family val="3"/>
        <charset val="134"/>
        <scheme val="minor"/>
      </rPr>
      <t>-1426</t>
    </r>
    <r>
      <rPr>
        <sz val="11"/>
        <color theme="1"/>
        <rFont val="宋体"/>
        <family val="2"/>
        <charset val="134"/>
        <scheme val="minor"/>
      </rPr>
      <t/>
    </r>
  </si>
  <si>
    <r>
      <t>3</t>
    </r>
    <r>
      <rPr>
        <sz val="11"/>
        <color theme="1"/>
        <rFont val="宋体"/>
        <family val="3"/>
        <charset val="134"/>
        <scheme val="minor"/>
      </rPr>
      <t>-1427</t>
    </r>
    <r>
      <rPr>
        <sz val="11"/>
        <color theme="1"/>
        <rFont val="宋体"/>
        <family val="2"/>
        <charset val="134"/>
        <scheme val="minor"/>
      </rPr>
      <t/>
    </r>
  </si>
  <si>
    <r>
      <t>3</t>
    </r>
    <r>
      <rPr>
        <sz val="11"/>
        <color theme="1"/>
        <rFont val="宋体"/>
        <family val="3"/>
        <charset val="134"/>
        <scheme val="minor"/>
      </rPr>
      <t>-1428</t>
    </r>
    <r>
      <rPr>
        <sz val="11"/>
        <color theme="1"/>
        <rFont val="宋体"/>
        <family val="2"/>
        <charset val="134"/>
        <scheme val="minor"/>
      </rPr>
      <t/>
    </r>
  </si>
  <si>
    <r>
      <t>3</t>
    </r>
    <r>
      <rPr>
        <sz val="11"/>
        <color theme="1"/>
        <rFont val="宋体"/>
        <family val="3"/>
        <charset val="134"/>
        <scheme val="minor"/>
      </rPr>
      <t>-1429</t>
    </r>
    <r>
      <rPr>
        <sz val="11"/>
        <color theme="1"/>
        <rFont val="宋体"/>
        <family val="2"/>
        <charset val="134"/>
        <scheme val="minor"/>
      </rPr>
      <t/>
    </r>
  </si>
  <si>
    <r>
      <t>3</t>
    </r>
    <r>
      <rPr>
        <sz val="11"/>
        <color theme="1"/>
        <rFont val="宋体"/>
        <family val="3"/>
        <charset val="134"/>
        <scheme val="minor"/>
      </rPr>
      <t>-1430</t>
    </r>
    <r>
      <rPr>
        <sz val="11"/>
        <color theme="1"/>
        <rFont val="宋体"/>
        <family val="2"/>
        <charset val="134"/>
        <scheme val="minor"/>
      </rPr>
      <t/>
    </r>
  </si>
  <si>
    <r>
      <t>3</t>
    </r>
    <r>
      <rPr>
        <sz val="11"/>
        <color theme="1"/>
        <rFont val="宋体"/>
        <family val="3"/>
        <charset val="134"/>
        <scheme val="minor"/>
      </rPr>
      <t>-1431</t>
    </r>
    <r>
      <rPr>
        <sz val="11"/>
        <color theme="1"/>
        <rFont val="宋体"/>
        <family val="2"/>
        <charset val="134"/>
        <scheme val="minor"/>
      </rPr>
      <t/>
    </r>
  </si>
  <si>
    <r>
      <t>3</t>
    </r>
    <r>
      <rPr>
        <sz val="11"/>
        <color theme="1"/>
        <rFont val="宋体"/>
        <family val="3"/>
        <charset val="134"/>
        <scheme val="minor"/>
      </rPr>
      <t>-1432</t>
    </r>
    <r>
      <rPr>
        <sz val="11"/>
        <color theme="1"/>
        <rFont val="宋体"/>
        <family val="2"/>
        <charset val="134"/>
        <scheme val="minor"/>
      </rPr>
      <t/>
    </r>
  </si>
  <si>
    <r>
      <t>3</t>
    </r>
    <r>
      <rPr>
        <sz val="11"/>
        <color theme="1"/>
        <rFont val="宋体"/>
        <family val="3"/>
        <charset val="134"/>
        <scheme val="minor"/>
      </rPr>
      <t>-1433</t>
    </r>
    <r>
      <rPr>
        <sz val="11"/>
        <color theme="1"/>
        <rFont val="宋体"/>
        <family val="2"/>
        <charset val="134"/>
        <scheme val="minor"/>
      </rPr>
      <t/>
    </r>
  </si>
  <si>
    <r>
      <t>3</t>
    </r>
    <r>
      <rPr>
        <sz val="11"/>
        <color theme="1"/>
        <rFont val="宋体"/>
        <family val="3"/>
        <charset val="134"/>
        <scheme val="minor"/>
      </rPr>
      <t>-1434</t>
    </r>
    <r>
      <rPr>
        <sz val="11"/>
        <color theme="1"/>
        <rFont val="宋体"/>
        <family val="2"/>
        <charset val="134"/>
        <scheme val="minor"/>
      </rPr>
      <t/>
    </r>
  </si>
  <si>
    <r>
      <t>3</t>
    </r>
    <r>
      <rPr>
        <sz val="11"/>
        <color theme="1"/>
        <rFont val="宋体"/>
        <family val="3"/>
        <charset val="134"/>
        <scheme val="minor"/>
      </rPr>
      <t>-1435</t>
    </r>
    <r>
      <rPr>
        <sz val="11"/>
        <color theme="1"/>
        <rFont val="宋体"/>
        <family val="2"/>
        <charset val="134"/>
        <scheme val="minor"/>
      </rPr>
      <t/>
    </r>
  </si>
  <si>
    <r>
      <t>3</t>
    </r>
    <r>
      <rPr>
        <sz val="11"/>
        <color theme="1"/>
        <rFont val="宋体"/>
        <family val="3"/>
        <charset val="134"/>
        <scheme val="minor"/>
      </rPr>
      <t>-1436</t>
    </r>
    <r>
      <rPr>
        <sz val="11"/>
        <color theme="1"/>
        <rFont val="宋体"/>
        <family val="2"/>
        <charset val="134"/>
        <scheme val="minor"/>
      </rPr>
      <t/>
    </r>
  </si>
  <si>
    <r>
      <t>3</t>
    </r>
    <r>
      <rPr>
        <sz val="11"/>
        <color theme="1"/>
        <rFont val="宋体"/>
        <family val="3"/>
        <charset val="134"/>
        <scheme val="minor"/>
      </rPr>
      <t>-1437</t>
    </r>
    <r>
      <rPr>
        <sz val="11"/>
        <color theme="1"/>
        <rFont val="宋体"/>
        <family val="2"/>
        <charset val="134"/>
        <scheme val="minor"/>
      </rPr>
      <t/>
    </r>
  </si>
  <si>
    <r>
      <t>3</t>
    </r>
    <r>
      <rPr>
        <sz val="11"/>
        <color theme="1"/>
        <rFont val="宋体"/>
        <family val="3"/>
        <charset val="134"/>
        <scheme val="minor"/>
      </rPr>
      <t>-1438</t>
    </r>
    <r>
      <rPr>
        <sz val="11"/>
        <color theme="1"/>
        <rFont val="宋体"/>
        <family val="2"/>
        <charset val="134"/>
        <scheme val="minor"/>
      </rPr>
      <t/>
    </r>
  </si>
  <si>
    <r>
      <t>3</t>
    </r>
    <r>
      <rPr>
        <sz val="11"/>
        <color theme="1"/>
        <rFont val="宋体"/>
        <family val="3"/>
        <charset val="134"/>
        <scheme val="minor"/>
      </rPr>
      <t>-1439</t>
    </r>
    <r>
      <rPr>
        <sz val="11"/>
        <color theme="1"/>
        <rFont val="宋体"/>
        <family val="2"/>
        <charset val="134"/>
        <scheme val="minor"/>
      </rPr>
      <t/>
    </r>
  </si>
  <si>
    <r>
      <t>3</t>
    </r>
    <r>
      <rPr>
        <sz val="11"/>
        <color theme="1"/>
        <rFont val="宋体"/>
        <family val="3"/>
        <charset val="134"/>
        <scheme val="minor"/>
      </rPr>
      <t>-1440</t>
    </r>
    <r>
      <rPr>
        <sz val="11"/>
        <color theme="1"/>
        <rFont val="宋体"/>
        <family val="2"/>
        <charset val="134"/>
        <scheme val="minor"/>
      </rPr>
      <t/>
    </r>
  </si>
  <si>
    <r>
      <t>3</t>
    </r>
    <r>
      <rPr>
        <sz val="11"/>
        <color theme="1"/>
        <rFont val="宋体"/>
        <family val="3"/>
        <charset val="134"/>
        <scheme val="minor"/>
      </rPr>
      <t>-1441</t>
    </r>
    <r>
      <rPr>
        <sz val="11"/>
        <color theme="1"/>
        <rFont val="宋体"/>
        <family val="2"/>
        <charset val="134"/>
        <scheme val="minor"/>
      </rPr>
      <t/>
    </r>
  </si>
  <si>
    <r>
      <t>3</t>
    </r>
    <r>
      <rPr>
        <sz val="11"/>
        <color theme="1"/>
        <rFont val="宋体"/>
        <family val="3"/>
        <charset val="134"/>
        <scheme val="minor"/>
      </rPr>
      <t>-1442</t>
    </r>
    <r>
      <rPr>
        <sz val="11"/>
        <color theme="1"/>
        <rFont val="宋体"/>
        <family val="2"/>
        <charset val="134"/>
        <scheme val="minor"/>
      </rPr>
      <t/>
    </r>
  </si>
  <si>
    <r>
      <t>3</t>
    </r>
    <r>
      <rPr>
        <sz val="11"/>
        <color theme="1"/>
        <rFont val="宋体"/>
        <family val="3"/>
        <charset val="134"/>
        <scheme val="minor"/>
      </rPr>
      <t>-1443</t>
    </r>
    <r>
      <rPr>
        <sz val="11"/>
        <color theme="1"/>
        <rFont val="宋体"/>
        <family val="2"/>
        <charset val="134"/>
        <scheme val="minor"/>
      </rPr>
      <t/>
    </r>
  </si>
  <si>
    <r>
      <t>3</t>
    </r>
    <r>
      <rPr>
        <sz val="11"/>
        <color theme="1"/>
        <rFont val="宋体"/>
        <family val="3"/>
        <charset val="134"/>
        <scheme val="minor"/>
      </rPr>
      <t>-1444</t>
    </r>
    <r>
      <rPr>
        <sz val="11"/>
        <color theme="1"/>
        <rFont val="宋体"/>
        <family val="2"/>
        <charset val="134"/>
        <scheme val="minor"/>
      </rPr>
      <t/>
    </r>
  </si>
  <si>
    <r>
      <t>3</t>
    </r>
    <r>
      <rPr>
        <sz val="11"/>
        <color theme="1"/>
        <rFont val="宋体"/>
        <family val="3"/>
        <charset val="134"/>
        <scheme val="minor"/>
      </rPr>
      <t>-1445</t>
    </r>
    <r>
      <rPr>
        <sz val="11"/>
        <color theme="1"/>
        <rFont val="宋体"/>
        <family val="2"/>
        <charset val="134"/>
        <scheme val="minor"/>
      </rPr>
      <t/>
    </r>
  </si>
  <si>
    <r>
      <t>3</t>
    </r>
    <r>
      <rPr>
        <sz val="11"/>
        <color theme="1"/>
        <rFont val="宋体"/>
        <family val="3"/>
        <charset val="134"/>
        <scheme val="minor"/>
      </rPr>
      <t>-1446</t>
    </r>
    <r>
      <rPr>
        <sz val="11"/>
        <color theme="1"/>
        <rFont val="宋体"/>
        <family val="2"/>
        <charset val="134"/>
        <scheme val="minor"/>
      </rPr>
      <t/>
    </r>
  </si>
  <si>
    <r>
      <t>3</t>
    </r>
    <r>
      <rPr>
        <sz val="11"/>
        <color theme="1"/>
        <rFont val="宋体"/>
        <family val="3"/>
        <charset val="134"/>
        <scheme val="minor"/>
      </rPr>
      <t>-1447</t>
    </r>
    <r>
      <rPr>
        <sz val="11"/>
        <color theme="1"/>
        <rFont val="宋体"/>
        <family val="2"/>
        <charset val="134"/>
        <scheme val="minor"/>
      </rPr>
      <t/>
    </r>
  </si>
  <si>
    <r>
      <t>3</t>
    </r>
    <r>
      <rPr>
        <sz val="11"/>
        <color theme="1"/>
        <rFont val="宋体"/>
        <family val="3"/>
        <charset val="134"/>
        <scheme val="minor"/>
      </rPr>
      <t>-1448</t>
    </r>
    <r>
      <rPr>
        <sz val="11"/>
        <color theme="1"/>
        <rFont val="宋体"/>
        <family val="2"/>
        <charset val="134"/>
        <scheme val="minor"/>
      </rPr>
      <t/>
    </r>
  </si>
  <si>
    <r>
      <t>3</t>
    </r>
    <r>
      <rPr>
        <sz val="11"/>
        <color theme="1"/>
        <rFont val="宋体"/>
        <family val="3"/>
        <charset val="134"/>
        <scheme val="minor"/>
      </rPr>
      <t>-1449</t>
    </r>
    <r>
      <rPr>
        <sz val="11"/>
        <color theme="1"/>
        <rFont val="宋体"/>
        <family val="2"/>
        <charset val="134"/>
        <scheme val="minor"/>
      </rPr>
      <t/>
    </r>
  </si>
  <si>
    <r>
      <t>3</t>
    </r>
    <r>
      <rPr>
        <sz val="11"/>
        <color theme="1"/>
        <rFont val="宋体"/>
        <family val="3"/>
        <charset val="134"/>
        <scheme val="minor"/>
      </rPr>
      <t>-1450</t>
    </r>
    <r>
      <rPr>
        <sz val="11"/>
        <color theme="1"/>
        <rFont val="宋体"/>
        <family val="2"/>
        <charset val="134"/>
        <scheme val="minor"/>
      </rPr>
      <t/>
    </r>
  </si>
  <si>
    <r>
      <t>3</t>
    </r>
    <r>
      <rPr>
        <sz val="11"/>
        <color theme="1"/>
        <rFont val="宋体"/>
        <family val="3"/>
        <charset val="134"/>
        <scheme val="minor"/>
      </rPr>
      <t>-1451</t>
    </r>
    <r>
      <rPr>
        <sz val="11"/>
        <color theme="1"/>
        <rFont val="宋体"/>
        <family val="2"/>
        <charset val="134"/>
        <scheme val="minor"/>
      </rPr>
      <t/>
    </r>
  </si>
  <si>
    <r>
      <t>3</t>
    </r>
    <r>
      <rPr>
        <sz val="11"/>
        <color theme="1"/>
        <rFont val="宋体"/>
        <family val="3"/>
        <charset val="134"/>
        <scheme val="minor"/>
      </rPr>
      <t>-1452</t>
    </r>
    <r>
      <rPr>
        <sz val="11"/>
        <color theme="1"/>
        <rFont val="宋体"/>
        <family val="2"/>
        <charset val="134"/>
        <scheme val="minor"/>
      </rPr>
      <t/>
    </r>
  </si>
  <si>
    <r>
      <t>4</t>
    </r>
    <r>
      <rPr>
        <sz val="11"/>
        <color theme="1"/>
        <rFont val="宋体"/>
        <family val="3"/>
        <charset val="134"/>
        <scheme val="minor"/>
      </rPr>
      <t>-1401</t>
    </r>
    <phoneticPr fontId="144" type="noConversion"/>
  </si>
  <si>
    <r>
      <t>4</t>
    </r>
    <r>
      <rPr>
        <sz val="11"/>
        <color theme="1"/>
        <rFont val="宋体"/>
        <family val="3"/>
        <charset val="134"/>
        <scheme val="minor"/>
      </rPr>
      <t>-1402</t>
    </r>
    <r>
      <rPr>
        <sz val="11"/>
        <color theme="1"/>
        <rFont val="宋体"/>
        <family val="2"/>
        <charset val="134"/>
        <scheme val="minor"/>
      </rPr>
      <t/>
    </r>
  </si>
  <si>
    <r>
      <t>4</t>
    </r>
    <r>
      <rPr>
        <sz val="11"/>
        <color theme="1"/>
        <rFont val="宋体"/>
        <family val="3"/>
        <charset val="134"/>
        <scheme val="minor"/>
      </rPr>
      <t>-1403</t>
    </r>
    <r>
      <rPr>
        <sz val="11"/>
        <color theme="1"/>
        <rFont val="宋体"/>
        <family val="2"/>
        <charset val="134"/>
        <scheme val="minor"/>
      </rPr>
      <t/>
    </r>
  </si>
  <si>
    <r>
      <t>4</t>
    </r>
    <r>
      <rPr>
        <sz val="11"/>
        <color theme="1"/>
        <rFont val="宋体"/>
        <family val="3"/>
        <charset val="134"/>
        <scheme val="minor"/>
      </rPr>
      <t>-1404</t>
    </r>
    <r>
      <rPr>
        <sz val="11"/>
        <color theme="1"/>
        <rFont val="宋体"/>
        <family val="2"/>
        <charset val="134"/>
        <scheme val="minor"/>
      </rPr>
      <t/>
    </r>
  </si>
  <si>
    <r>
      <t>4</t>
    </r>
    <r>
      <rPr>
        <sz val="11"/>
        <color theme="1"/>
        <rFont val="宋体"/>
        <family val="3"/>
        <charset val="134"/>
        <scheme val="minor"/>
      </rPr>
      <t>-1405</t>
    </r>
    <r>
      <rPr>
        <sz val="11"/>
        <color theme="1"/>
        <rFont val="宋体"/>
        <family val="2"/>
        <charset val="134"/>
        <scheme val="minor"/>
      </rPr>
      <t/>
    </r>
  </si>
  <si>
    <r>
      <t>4</t>
    </r>
    <r>
      <rPr>
        <sz val="11"/>
        <color theme="1"/>
        <rFont val="宋体"/>
        <family val="3"/>
        <charset val="134"/>
        <scheme val="minor"/>
      </rPr>
      <t>-1406</t>
    </r>
    <r>
      <rPr>
        <sz val="11"/>
        <color theme="1"/>
        <rFont val="宋体"/>
        <family val="2"/>
        <charset val="134"/>
        <scheme val="minor"/>
      </rPr>
      <t/>
    </r>
  </si>
  <si>
    <r>
      <t>4</t>
    </r>
    <r>
      <rPr>
        <sz val="11"/>
        <color theme="1"/>
        <rFont val="宋体"/>
        <family val="3"/>
        <charset val="134"/>
        <scheme val="minor"/>
      </rPr>
      <t>-1407</t>
    </r>
    <r>
      <rPr>
        <sz val="11"/>
        <color theme="1"/>
        <rFont val="宋体"/>
        <family val="2"/>
        <charset val="134"/>
        <scheme val="minor"/>
      </rPr>
      <t/>
    </r>
  </si>
  <si>
    <r>
      <t>4</t>
    </r>
    <r>
      <rPr>
        <sz val="11"/>
        <color theme="1"/>
        <rFont val="宋体"/>
        <family val="3"/>
        <charset val="134"/>
        <scheme val="minor"/>
      </rPr>
      <t>-1408</t>
    </r>
    <r>
      <rPr>
        <sz val="11"/>
        <color theme="1"/>
        <rFont val="宋体"/>
        <family val="2"/>
        <charset val="134"/>
        <scheme val="minor"/>
      </rPr>
      <t/>
    </r>
  </si>
  <si>
    <r>
      <t>4</t>
    </r>
    <r>
      <rPr>
        <sz val="11"/>
        <color theme="1"/>
        <rFont val="宋体"/>
        <family val="3"/>
        <charset val="134"/>
        <scheme val="minor"/>
      </rPr>
      <t>-1409</t>
    </r>
    <r>
      <rPr>
        <sz val="11"/>
        <color theme="1"/>
        <rFont val="宋体"/>
        <family val="2"/>
        <charset val="134"/>
        <scheme val="minor"/>
      </rPr>
      <t/>
    </r>
  </si>
  <si>
    <r>
      <t>4</t>
    </r>
    <r>
      <rPr>
        <sz val="11"/>
        <color theme="1"/>
        <rFont val="宋体"/>
        <family val="3"/>
        <charset val="134"/>
        <scheme val="minor"/>
      </rPr>
      <t>-1410</t>
    </r>
    <r>
      <rPr>
        <sz val="11"/>
        <color theme="1"/>
        <rFont val="宋体"/>
        <family val="2"/>
        <charset val="134"/>
        <scheme val="minor"/>
      </rPr>
      <t/>
    </r>
  </si>
  <si>
    <r>
      <t>4</t>
    </r>
    <r>
      <rPr>
        <sz val="11"/>
        <color theme="1"/>
        <rFont val="宋体"/>
        <family val="3"/>
        <charset val="134"/>
        <scheme val="minor"/>
      </rPr>
      <t>-1411</t>
    </r>
    <r>
      <rPr>
        <sz val="11"/>
        <color theme="1"/>
        <rFont val="宋体"/>
        <family val="2"/>
        <charset val="134"/>
        <scheme val="minor"/>
      </rPr>
      <t/>
    </r>
  </si>
  <si>
    <r>
      <t>4</t>
    </r>
    <r>
      <rPr>
        <sz val="11"/>
        <color theme="1"/>
        <rFont val="宋体"/>
        <family val="3"/>
        <charset val="134"/>
        <scheme val="minor"/>
      </rPr>
      <t>-1412</t>
    </r>
    <r>
      <rPr>
        <sz val="11"/>
        <color theme="1"/>
        <rFont val="宋体"/>
        <family val="2"/>
        <charset val="134"/>
        <scheme val="minor"/>
      </rPr>
      <t/>
    </r>
  </si>
  <si>
    <r>
      <t>4</t>
    </r>
    <r>
      <rPr>
        <sz val="11"/>
        <color theme="1"/>
        <rFont val="宋体"/>
        <family val="3"/>
        <charset val="134"/>
        <scheme val="minor"/>
      </rPr>
      <t>-1413</t>
    </r>
    <r>
      <rPr>
        <sz val="11"/>
        <color theme="1"/>
        <rFont val="宋体"/>
        <family val="2"/>
        <charset val="134"/>
        <scheme val="minor"/>
      </rPr>
      <t/>
    </r>
  </si>
  <si>
    <r>
      <t>4</t>
    </r>
    <r>
      <rPr>
        <sz val="11"/>
        <color theme="1"/>
        <rFont val="宋体"/>
        <family val="3"/>
        <charset val="134"/>
        <scheme val="minor"/>
      </rPr>
      <t>-1414</t>
    </r>
    <r>
      <rPr>
        <sz val="11"/>
        <color theme="1"/>
        <rFont val="宋体"/>
        <family val="2"/>
        <charset val="134"/>
        <scheme val="minor"/>
      </rPr>
      <t/>
    </r>
  </si>
  <si>
    <r>
      <t>4</t>
    </r>
    <r>
      <rPr>
        <sz val="11"/>
        <color theme="1"/>
        <rFont val="宋体"/>
        <family val="3"/>
        <charset val="134"/>
        <scheme val="minor"/>
      </rPr>
      <t>-1415</t>
    </r>
    <r>
      <rPr>
        <sz val="11"/>
        <color theme="1"/>
        <rFont val="宋体"/>
        <family val="2"/>
        <charset val="134"/>
        <scheme val="minor"/>
      </rPr>
      <t/>
    </r>
  </si>
  <si>
    <r>
      <t>4</t>
    </r>
    <r>
      <rPr>
        <sz val="11"/>
        <color theme="1"/>
        <rFont val="宋体"/>
        <family val="3"/>
        <charset val="134"/>
        <scheme val="minor"/>
      </rPr>
      <t>-1416</t>
    </r>
    <r>
      <rPr>
        <sz val="11"/>
        <color theme="1"/>
        <rFont val="宋体"/>
        <family val="2"/>
        <charset val="134"/>
        <scheme val="minor"/>
      </rPr>
      <t/>
    </r>
  </si>
  <si>
    <r>
      <t>4</t>
    </r>
    <r>
      <rPr>
        <sz val="11"/>
        <color theme="1"/>
        <rFont val="宋体"/>
        <family val="3"/>
        <charset val="134"/>
        <scheme val="minor"/>
      </rPr>
      <t>-1417</t>
    </r>
    <r>
      <rPr>
        <sz val="11"/>
        <color theme="1"/>
        <rFont val="宋体"/>
        <family val="2"/>
        <charset val="134"/>
        <scheme val="minor"/>
      </rPr>
      <t/>
    </r>
  </si>
  <si>
    <r>
      <t>4</t>
    </r>
    <r>
      <rPr>
        <sz val="11"/>
        <color theme="1"/>
        <rFont val="宋体"/>
        <family val="3"/>
        <charset val="134"/>
        <scheme val="minor"/>
      </rPr>
      <t>-1418</t>
    </r>
    <r>
      <rPr>
        <sz val="11"/>
        <color theme="1"/>
        <rFont val="宋体"/>
        <family val="2"/>
        <charset val="134"/>
        <scheme val="minor"/>
      </rPr>
      <t/>
    </r>
  </si>
  <si>
    <r>
      <t>4</t>
    </r>
    <r>
      <rPr>
        <sz val="11"/>
        <color theme="1"/>
        <rFont val="宋体"/>
        <family val="3"/>
        <charset val="134"/>
        <scheme val="minor"/>
      </rPr>
      <t>-1419</t>
    </r>
    <r>
      <rPr>
        <sz val="11"/>
        <color theme="1"/>
        <rFont val="宋体"/>
        <family val="2"/>
        <charset val="134"/>
        <scheme val="minor"/>
      </rPr>
      <t/>
    </r>
  </si>
  <si>
    <r>
      <t>4</t>
    </r>
    <r>
      <rPr>
        <sz val="11"/>
        <color theme="1"/>
        <rFont val="宋体"/>
        <family val="3"/>
        <charset val="134"/>
        <scheme val="minor"/>
      </rPr>
      <t>-1420</t>
    </r>
    <r>
      <rPr>
        <sz val="11"/>
        <color theme="1"/>
        <rFont val="宋体"/>
        <family val="2"/>
        <charset val="134"/>
        <scheme val="minor"/>
      </rPr>
      <t/>
    </r>
  </si>
  <si>
    <r>
      <t>4</t>
    </r>
    <r>
      <rPr>
        <sz val="11"/>
        <color theme="1"/>
        <rFont val="宋体"/>
        <family val="3"/>
        <charset val="134"/>
        <scheme val="minor"/>
      </rPr>
      <t>-1421</t>
    </r>
    <r>
      <rPr>
        <sz val="11"/>
        <color theme="1"/>
        <rFont val="宋体"/>
        <family val="2"/>
        <charset val="134"/>
        <scheme val="minor"/>
      </rPr>
      <t/>
    </r>
  </si>
  <si>
    <r>
      <t>4</t>
    </r>
    <r>
      <rPr>
        <sz val="11"/>
        <color theme="1"/>
        <rFont val="宋体"/>
        <family val="3"/>
        <charset val="134"/>
        <scheme val="minor"/>
      </rPr>
      <t>-1422</t>
    </r>
    <r>
      <rPr>
        <sz val="11"/>
        <color theme="1"/>
        <rFont val="宋体"/>
        <family val="2"/>
        <charset val="134"/>
        <scheme val="minor"/>
      </rPr>
      <t/>
    </r>
  </si>
  <si>
    <r>
      <t>4</t>
    </r>
    <r>
      <rPr>
        <sz val="11"/>
        <color theme="1"/>
        <rFont val="宋体"/>
        <family val="3"/>
        <charset val="134"/>
        <scheme val="minor"/>
      </rPr>
      <t>-1423</t>
    </r>
    <r>
      <rPr>
        <sz val="11"/>
        <color theme="1"/>
        <rFont val="宋体"/>
        <family val="2"/>
        <charset val="134"/>
        <scheme val="minor"/>
      </rPr>
      <t/>
    </r>
  </si>
  <si>
    <r>
      <t>4</t>
    </r>
    <r>
      <rPr>
        <sz val="11"/>
        <color theme="1"/>
        <rFont val="宋体"/>
        <family val="3"/>
        <charset val="134"/>
        <scheme val="minor"/>
      </rPr>
      <t>-1424</t>
    </r>
    <r>
      <rPr>
        <sz val="11"/>
        <color theme="1"/>
        <rFont val="宋体"/>
        <family val="2"/>
        <charset val="134"/>
        <scheme val="minor"/>
      </rPr>
      <t/>
    </r>
  </si>
  <si>
    <r>
      <t>4</t>
    </r>
    <r>
      <rPr>
        <sz val="11"/>
        <color theme="1"/>
        <rFont val="宋体"/>
        <family val="3"/>
        <charset val="134"/>
        <scheme val="minor"/>
      </rPr>
      <t>-1425</t>
    </r>
    <r>
      <rPr>
        <sz val="11"/>
        <color theme="1"/>
        <rFont val="宋体"/>
        <family val="2"/>
        <charset val="134"/>
        <scheme val="minor"/>
      </rPr>
      <t/>
    </r>
  </si>
  <si>
    <r>
      <t>4</t>
    </r>
    <r>
      <rPr>
        <sz val="11"/>
        <color theme="1"/>
        <rFont val="宋体"/>
        <family val="3"/>
        <charset val="134"/>
        <scheme val="minor"/>
      </rPr>
      <t>-1426</t>
    </r>
    <r>
      <rPr>
        <sz val="11"/>
        <color theme="1"/>
        <rFont val="宋体"/>
        <family val="2"/>
        <charset val="134"/>
        <scheme val="minor"/>
      </rPr>
      <t/>
    </r>
  </si>
  <si>
    <r>
      <t>4</t>
    </r>
    <r>
      <rPr>
        <sz val="11"/>
        <color theme="1"/>
        <rFont val="宋体"/>
        <family val="3"/>
        <charset val="134"/>
        <scheme val="minor"/>
      </rPr>
      <t>-1427</t>
    </r>
    <r>
      <rPr>
        <sz val="11"/>
        <color theme="1"/>
        <rFont val="宋体"/>
        <family val="2"/>
        <charset val="134"/>
        <scheme val="minor"/>
      </rPr>
      <t/>
    </r>
  </si>
  <si>
    <r>
      <t>4</t>
    </r>
    <r>
      <rPr>
        <sz val="11"/>
        <color theme="1"/>
        <rFont val="宋体"/>
        <family val="3"/>
        <charset val="134"/>
        <scheme val="minor"/>
      </rPr>
      <t>-1428</t>
    </r>
    <r>
      <rPr>
        <sz val="11"/>
        <color theme="1"/>
        <rFont val="宋体"/>
        <family val="2"/>
        <charset val="134"/>
        <scheme val="minor"/>
      </rPr>
      <t/>
    </r>
  </si>
  <si>
    <r>
      <t>4</t>
    </r>
    <r>
      <rPr>
        <sz val="11"/>
        <color theme="1"/>
        <rFont val="宋体"/>
        <family val="3"/>
        <charset val="134"/>
        <scheme val="minor"/>
      </rPr>
      <t>-1429</t>
    </r>
    <r>
      <rPr>
        <sz val="11"/>
        <color theme="1"/>
        <rFont val="宋体"/>
        <family val="2"/>
        <charset val="134"/>
        <scheme val="minor"/>
      </rPr>
      <t/>
    </r>
  </si>
  <si>
    <r>
      <t>4</t>
    </r>
    <r>
      <rPr>
        <sz val="11"/>
        <color theme="1"/>
        <rFont val="宋体"/>
        <family val="3"/>
        <charset val="134"/>
        <scheme val="minor"/>
      </rPr>
      <t>-1430</t>
    </r>
    <r>
      <rPr>
        <sz val="11"/>
        <color theme="1"/>
        <rFont val="宋体"/>
        <family val="2"/>
        <charset val="134"/>
        <scheme val="minor"/>
      </rPr>
      <t/>
    </r>
  </si>
  <si>
    <r>
      <t>4</t>
    </r>
    <r>
      <rPr>
        <sz val="11"/>
        <color theme="1"/>
        <rFont val="宋体"/>
        <family val="3"/>
        <charset val="134"/>
        <scheme val="minor"/>
      </rPr>
      <t>-1431</t>
    </r>
    <r>
      <rPr>
        <sz val="11"/>
        <color theme="1"/>
        <rFont val="宋体"/>
        <family val="2"/>
        <charset val="134"/>
        <scheme val="minor"/>
      </rPr>
      <t/>
    </r>
  </si>
  <si>
    <r>
      <t>4</t>
    </r>
    <r>
      <rPr>
        <sz val="11"/>
        <color theme="1"/>
        <rFont val="宋体"/>
        <family val="3"/>
        <charset val="134"/>
        <scheme val="minor"/>
      </rPr>
      <t>-1432</t>
    </r>
    <r>
      <rPr>
        <sz val="11"/>
        <color theme="1"/>
        <rFont val="宋体"/>
        <family val="2"/>
        <charset val="134"/>
        <scheme val="minor"/>
      </rPr>
      <t/>
    </r>
  </si>
  <si>
    <r>
      <t>4</t>
    </r>
    <r>
      <rPr>
        <sz val="11"/>
        <color theme="1"/>
        <rFont val="宋体"/>
        <family val="3"/>
        <charset val="134"/>
        <scheme val="minor"/>
      </rPr>
      <t>-1433</t>
    </r>
    <r>
      <rPr>
        <sz val="11"/>
        <color theme="1"/>
        <rFont val="宋体"/>
        <family val="2"/>
        <charset val="134"/>
        <scheme val="minor"/>
      </rPr>
      <t/>
    </r>
  </si>
  <si>
    <r>
      <t>4</t>
    </r>
    <r>
      <rPr>
        <sz val="11"/>
        <color theme="1"/>
        <rFont val="宋体"/>
        <family val="3"/>
        <charset val="134"/>
        <scheme val="minor"/>
      </rPr>
      <t>-1434</t>
    </r>
    <r>
      <rPr>
        <sz val="11"/>
        <color theme="1"/>
        <rFont val="宋体"/>
        <family val="2"/>
        <charset val="134"/>
        <scheme val="minor"/>
      </rPr>
      <t/>
    </r>
  </si>
  <si>
    <r>
      <t>4</t>
    </r>
    <r>
      <rPr>
        <sz val="11"/>
        <color theme="1"/>
        <rFont val="宋体"/>
        <family val="3"/>
        <charset val="134"/>
        <scheme val="minor"/>
      </rPr>
      <t>-1435</t>
    </r>
    <r>
      <rPr>
        <sz val="11"/>
        <color theme="1"/>
        <rFont val="宋体"/>
        <family val="2"/>
        <charset val="134"/>
        <scheme val="minor"/>
      </rPr>
      <t/>
    </r>
  </si>
  <si>
    <r>
      <t>4</t>
    </r>
    <r>
      <rPr>
        <sz val="11"/>
        <color theme="1"/>
        <rFont val="宋体"/>
        <family val="3"/>
        <charset val="134"/>
        <scheme val="minor"/>
      </rPr>
      <t>-1436</t>
    </r>
    <r>
      <rPr>
        <sz val="11"/>
        <color theme="1"/>
        <rFont val="宋体"/>
        <family val="2"/>
        <charset val="134"/>
        <scheme val="minor"/>
      </rPr>
      <t/>
    </r>
  </si>
  <si>
    <r>
      <t>4</t>
    </r>
    <r>
      <rPr>
        <sz val="11"/>
        <color theme="1"/>
        <rFont val="宋体"/>
        <family val="3"/>
        <charset val="134"/>
        <scheme val="minor"/>
      </rPr>
      <t>-1437</t>
    </r>
    <r>
      <rPr>
        <sz val="11"/>
        <color theme="1"/>
        <rFont val="宋体"/>
        <family val="2"/>
        <charset val="134"/>
        <scheme val="minor"/>
      </rPr>
      <t/>
    </r>
  </si>
  <si>
    <r>
      <t>4</t>
    </r>
    <r>
      <rPr>
        <sz val="11"/>
        <color theme="1"/>
        <rFont val="宋体"/>
        <family val="3"/>
        <charset val="134"/>
        <scheme val="minor"/>
      </rPr>
      <t>-1438</t>
    </r>
    <r>
      <rPr>
        <sz val="11"/>
        <color theme="1"/>
        <rFont val="宋体"/>
        <family val="2"/>
        <charset val="134"/>
        <scheme val="minor"/>
      </rPr>
      <t/>
    </r>
  </si>
  <si>
    <r>
      <t>4</t>
    </r>
    <r>
      <rPr>
        <sz val="11"/>
        <color theme="1"/>
        <rFont val="宋体"/>
        <family val="3"/>
        <charset val="134"/>
        <scheme val="minor"/>
      </rPr>
      <t>-1439</t>
    </r>
    <r>
      <rPr>
        <sz val="11"/>
        <color theme="1"/>
        <rFont val="宋体"/>
        <family val="2"/>
        <charset val="134"/>
        <scheme val="minor"/>
      </rPr>
      <t/>
    </r>
  </si>
  <si>
    <r>
      <t>4</t>
    </r>
    <r>
      <rPr>
        <sz val="11"/>
        <color theme="1"/>
        <rFont val="宋体"/>
        <family val="3"/>
        <charset val="134"/>
        <scheme val="minor"/>
      </rPr>
      <t>-1440</t>
    </r>
    <r>
      <rPr>
        <sz val="11"/>
        <color theme="1"/>
        <rFont val="宋体"/>
        <family val="2"/>
        <charset val="134"/>
        <scheme val="minor"/>
      </rPr>
      <t/>
    </r>
  </si>
  <si>
    <r>
      <t>4</t>
    </r>
    <r>
      <rPr>
        <sz val="11"/>
        <color theme="1"/>
        <rFont val="宋体"/>
        <family val="3"/>
        <charset val="134"/>
        <scheme val="minor"/>
      </rPr>
      <t>-1441</t>
    </r>
    <r>
      <rPr>
        <sz val="11"/>
        <color theme="1"/>
        <rFont val="宋体"/>
        <family val="2"/>
        <charset val="134"/>
        <scheme val="minor"/>
      </rPr>
      <t/>
    </r>
  </si>
  <si>
    <r>
      <t>4</t>
    </r>
    <r>
      <rPr>
        <sz val="11"/>
        <color theme="1"/>
        <rFont val="宋体"/>
        <family val="3"/>
        <charset val="134"/>
        <scheme val="minor"/>
      </rPr>
      <t>-1442</t>
    </r>
    <r>
      <rPr>
        <sz val="11"/>
        <color theme="1"/>
        <rFont val="宋体"/>
        <family val="2"/>
        <charset val="134"/>
        <scheme val="minor"/>
      </rPr>
      <t/>
    </r>
  </si>
  <si>
    <r>
      <t>4</t>
    </r>
    <r>
      <rPr>
        <sz val="11"/>
        <color theme="1"/>
        <rFont val="宋体"/>
        <family val="3"/>
        <charset val="134"/>
        <scheme val="minor"/>
      </rPr>
      <t>-1443</t>
    </r>
    <r>
      <rPr>
        <sz val="11"/>
        <color theme="1"/>
        <rFont val="宋体"/>
        <family val="2"/>
        <charset val="134"/>
        <scheme val="minor"/>
      </rPr>
      <t/>
    </r>
  </si>
  <si>
    <r>
      <t>4</t>
    </r>
    <r>
      <rPr>
        <sz val="11"/>
        <color theme="1"/>
        <rFont val="宋体"/>
        <family val="3"/>
        <charset val="134"/>
        <scheme val="minor"/>
      </rPr>
      <t>-1444</t>
    </r>
    <r>
      <rPr>
        <sz val="11"/>
        <color theme="1"/>
        <rFont val="宋体"/>
        <family val="2"/>
        <charset val="134"/>
        <scheme val="minor"/>
      </rPr>
      <t/>
    </r>
  </si>
  <si>
    <r>
      <t>4</t>
    </r>
    <r>
      <rPr>
        <sz val="11"/>
        <color theme="1"/>
        <rFont val="宋体"/>
        <family val="3"/>
        <charset val="134"/>
        <scheme val="minor"/>
      </rPr>
      <t>-1445</t>
    </r>
    <r>
      <rPr>
        <sz val="11"/>
        <color theme="1"/>
        <rFont val="宋体"/>
        <family val="2"/>
        <charset val="134"/>
        <scheme val="minor"/>
      </rPr>
      <t/>
    </r>
  </si>
  <si>
    <r>
      <t>1</t>
    </r>
    <r>
      <rPr>
        <sz val="11"/>
        <color theme="1"/>
        <rFont val="宋体"/>
        <family val="3"/>
        <charset val="134"/>
        <scheme val="minor"/>
      </rPr>
      <t>-1501</t>
    </r>
    <phoneticPr fontId="144" type="noConversion"/>
  </si>
  <si>
    <r>
      <t>1</t>
    </r>
    <r>
      <rPr>
        <sz val="11"/>
        <color theme="1"/>
        <rFont val="宋体"/>
        <family val="3"/>
        <charset val="134"/>
        <scheme val="minor"/>
      </rPr>
      <t>-1502</t>
    </r>
    <r>
      <rPr>
        <sz val="11"/>
        <color theme="1"/>
        <rFont val="宋体"/>
        <family val="2"/>
        <charset val="134"/>
        <scheme val="minor"/>
      </rPr>
      <t/>
    </r>
  </si>
  <si>
    <r>
      <t>1</t>
    </r>
    <r>
      <rPr>
        <sz val="11"/>
        <color theme="1"/>
        <rFont val="宋体"/>
        <family val="3"/>
        <charset val="134"/>
        <scheme val="minor"/>
      </rPr>
      <t>-1503</t>
    </r>
    <r>
      <rPr>
        <sz val="11"/>
        <color theme="1"/>
        <rFont val="宋体"/>
        <family val="2"/>
        <charset val="134"/>
        <scheme val="minor"/>
      </rPr>
      <t/>
    </r>
  </si>
  <si>
    <r>
      <t>1</t>
    </r>
    <r>
      <rPr>
        <sz val="11"/>
        <color theme="1"/>
        <rFont val="宋体"/>
        <family val="3"/>
        <charset val="134"/>
        <scheme val="minor"/>
      </rPr>
      <t>-1504</t>
    </r>
    <r>
      <rPr>
        <sz val="11"/>
        <color theme="1"/>
        <rFont val="宋体"/>
        <family val="2"/>
        <charset val="134"/>
        <scheme val="minor"/>
      </rPr>
      <t/>
    </r>
  </si>
  <si>
    <r>
      <t>1</t>
    </r>
    <r>
      <rPr>
        <sz val="11"/>
        <color theme="1"/>
        <rFont val="宋体"/>
        <family val="3"/>
        <charset val="134"/>
        <scheme val="minor"/>
      </rPr>
      <t>-1505</t>
    </r>
    <r>
      <rPr>
        <sz val="11"/>
        <color theme="1"/>
        <rFont val="宋体"/>
        <family val="2"/>
        <charset val="134"/>
        <scheme val="minor"/>
      </rPr>
      <t/>
    </r>
  </si>
  <si>
    <r>
      <t>1</t>
    </r>
    <r>
      <rPr>
        <sz val="11"/>
        <color theme="1"/>
        <rFont val="宋体"/>
        <family val="3"/>
        <charset val="134"/>
        <scheme val="minor"/>
      </rPr>
      <t>-1506</t>
    </r>
    <r>
      <rPr>
        <sz val="11"/>
        <color theme="1"/>
        <rFont val="宋体"/>
        <family val="2"/>
        <charset val="134"/>
        <scheme val="minor"/>
      </rPr>
      <t/>
    </r>
  </si>
  <si>
    <r>
      <t>1</t>
    </r>
    <r>
      <rPr>
        <sz val="11"/>
        <color theme="1"/>
        <rFont val="宋体"/>
        <family val="3"/>
        <charset val="134"/>
        <scheme val="minor"/>
      </rPr>
      <t>-1507</t>
    </r>
    <r>
      <rPr>
        <sz val="11"/>
        <color theme="1"/>
        <rFont val="宋体"/>
        <family val="2"/>
        <charset val="134"/>
        <scheme val="minor"/>
      </rPr>
      <t/>
    </r>
  </si>
  <si>
    <r>
      <t>1</t>
    </r>
    <r>
      <rPr>
        <sz val="11"/>
        <color theme="1"/>
        <rFont val="宋体"/>
        <family val="3"/>
        <charset val="134"/>
        <scheme val="minor"/>
      </rPr>
      <t>-1508</t>
    </r>
    <r>
      <rPr>
        <sz val="11"/>
        <color theme="1"/>
        <rFont val="宋体"/>
        <family val="2"/>
        <charset val="134"/>
        <scheme val="minor"/>
      </rPr>
      <t/>
    </r>
  </si>
  <si>
    <r>
      <t>1</t>
    </r>
    <r>
      <rPr>
        <sz val="11"/>
        <color theme="1"/>
        <rFont val="宋体"/>
        <family val="3"/>
        <charset val="134"/>
        <scheme val="minor"/>
      </rPr>
      <t>-1509</t>
    </r>
    <r>
      <rPr>
        <sz val="11"/>
        <color theme="1"/>
        <rFont val="宋体"/>
        <family val="2"/>
        <charset val="134"/>
        <scheme val="minor"/>
      </rPr>
      <t/>
    </r>
  </si>
  <si>
    <r>
      <t>1</t>
    </r>
    <r>
      <rPr>
        <sz val="11"/>
        <color theme="1"/>
        <rFont val="宋体"/>
        <family val="3"/>
        <charset val="134"/>
        <scheme val="minor"/>
      </rPr>
      <t>-1510</t>
    </r>
    <r>
      <rPr>
        <sz val="11"/>
        <color theme="1"/>
        <rFont val="宋体"/>
        <family val="2"/>
        <charset val="134"/>
        <scheme val="minor"/>
      </rPr>
      <t/>
    </r>
  </si>
  <si>
    <r>
      <t>1</t>
    </r>
    <r>
      <rPr>
        <sz val="11"/>
        <color theme="1"/>
        <rFont val="宋体"/>
        <family val="3"/>
        <charset val="134"/>
        <scheme val="minor"/>
      </rPr>
      <t>-1511</t>
    </r>
    <r>
      <rPr>
        <sz val="11"/>
        <color theme="1"/>
        <rFont val="宋体"/>
        <family val="2"/>
        <charset val="134"/>
        <scheme val="minor"/>
      </rPr>
      <t/>
    </r>
  </si>
  <si>
    <r>
      <t>1</t>
    </r>
    <r>
      <rPr>
        <sz val="11"/>
        <color theme="1"/>
        <rFont val="宋体"/>
        <family val="3"/>
        <charset val="134"/>
        <scheme val="minor"/>
      </rPr>
      <t>-1512</t>
    </r>
    <r>
      <rPr>
        <sz val="11"/>
        <color theme="1"/>
        <rFont val="宋体"/>
        <family val="2"/>
        <charset val="134"/>
        <scheme val="minor"/>
      </rPr>
      <t/>
    </r>
  </si>
  <si>
    <r>
      <t>1</t>
    </r>
    <r>
      <rPr>
        <sz val="11"/>
        <color theme="1"/>
        <rFont val="宋体"/>
        <family val="3"/>
        <charset val="134"/>
        <scheme val="minor"/>
      </rPr>
      <t>-1513</t>
    </r>
    <r>
      <rPr>
        <sz val="11"/>
        <color theme="1"/>
        <rFont val="宋体"/>
        <family val="2"/>
        <charset val="134"/>
        <scheme val="minor"/>
      </rPr>
      <t/>
    </r>
  </si>
  <si>
    <r>
      <t>1</t>
    </r>
    <r>
      <rPr>
        <sz val="11"/>
        <color theme="1"/>
        <rFont val="宋体"/>
        <family val="3"/>
        <charset val="134"/>
        <scheme val="minor"/>
      </rPr>
      <t>-1514</t>
    </r>
    <r>
      <rPr>
        <sz val="11"/>
        <color theme="1"/>
        <rFont val="宋体"/>
        <family val="2"/>
        <charset val="134"/>
        <scheme val="minor"/>
      </rPr>
      <t/>
    </r>
  </si>
  <si>
    <r>
      <t>1</t>
    </r>
    <r>
      <rPr>
        <sz val="11"/>
        <color theme="1"/>
        <rFont val="宋体"/>
        <family val="3"/>
        <charset val="134"/>
        <scheme val="minor"/>
      </rPr>
      <t>-1515</t>
    </r>
    <r>
      <rPr>
        <sz val="11"/>
        <color theme="1"/>
        <rFont val="宋体"/>
        <family val="2"/>
        <charset val="134"/>
        <scheme val="minor"/>
      </rPr>
      <t/>
    </r>
  </si>
  <si>
    <r>
      <t>1</t>
    </r>
    <r>
      <rPr>
        <sz val="11"/>
        <color theme="1"/>
        <rFont val="宋体"/>
        <family val="3"/>
        <charset val="134"/>
        <scheme val="minor"/>
      </rPr>
      <t>-1516</t>
    </r>
    <r>
      <rPr>
        <sz val="11"/>
        <color theme="1"/>
        <rFont val="宋体"/>
        <family val="2"/>
        <charset val="134"/>
        <scheme val="minor"/>
      </rPr>
      <t/>
    </r>
  </si>
  <si>
    <r>
      <t>1</t>
    </r>
    <r>
      <rPr>
        <sz val="11"/>
        <color theme="1"/>
        <rFont val="宋体"/>
        <family val="3"/>
        <charset val="134"/>
        <scheme val="minor"/>
      </rPr>
      <t>-1517</t>
    </r>
    <r>
      <rPr>
        <sz val="11"/>
        <color theme="1"/>
        <rFont val="宋体"/>
        <family val="2"/>
        <charset val="134"/>
        <scheme val="minor"/>
      </rPr>
      <t/>
    </r>
  </si>
  <si>
    <r>
      <t>1</t>
    </r>
    <r>
      <rPr>
        <sz val="11"/>
        <color theme="1"/>
        <rFont val="宋体"/>
        <family val="3"/>
        <charset val="134"/>
        <scheme val="minor"/>
      </rPr>
      <t>-1518</t>
    </r>
    <r>
      <rPr>
        <sz val="11"/>
        <color theme="1"/>
        <rFont val="宋体"/>
        <family val="2"/>
        <charset val="134"/>
        <scheme val="minor"/>
      </rPr>
      <t/>
    </r>
  </si>
  <si>
    <r>
      <t>1</t>
    </r>
    <r>
      <rPr>
        <sz val="11"/>
        <color theme="1"/>
        <rFont val="宋体"/>
        <family val="3"/>
        <charset val="134"/>
        <scheme val="minor"/>
      </rPr>
      <t>-1519</t>
    </r>
    <r>
      <rPr>
        <sz val="11"/>
        <color theme="1"/>
        <rFont val="宋体"/>
        <family val="2"/>
        <charset val="134"/>
        <scheme val="minor"/>
      </rPr>
      <t/>
    </r>
  </si>
  <si>
    <r>
      <t>1</t>
    </r>
    <r>
      <rPr>
        <sz val="11"/>
        <color theme="1"/>
        <rFont val="宋体"/>
        <family val="3"/>
        <charset val="134"/>
        <scheme val="minor"/>
      </rPr>
      <t>-1520</t>
    </r>
    <r>
      <rPr>
        <sz val="11"/>
        <color theme="1"/>
        <rFont val="宋体"/>
        <family val="2"/>
        <charset val="134"/>
        <scheme val="minor"/>
      </rPr>
      <t/>
    </r>
  </si>
  <si>
    <r>
      <t>2</t>
    </r>
    <r>
      <rPr>
        <sz val="11"/>
        <color theme="1"/>
        <rFont val="宋体"/>
        <family val="3"/>
        <charset val="134"/>
        <scheme val="minor"/>
      </rPr>
      <t>-1501</t>
    </r>
    <phoneticPr fontId="144" type="noConversion"/>
  </si>
  <si>
    <r>
      <t>2</t>
    </r>
    <r>
      <rPr>
        <sz val="11"/>
        <color theme="1"/>
        <rFont val="宋体"/>
        <family val="3"/>
        <charset val="134"/>
        <scheme val="minor"/>
      </rPr>
      <t>-1502</t>
    </r>
    <r>
      <rPr>
        <sz val="11"/>
        <color theme="1"/>
        <rFont val="宋体"/>
        <family val="2"/>
        <charset val="134"/>
        <scheme val="minor"/>
      </rPr>
      <t/>
    </r>
  </si>
  <si>
    <r>
      <t>2</t>
    </r>
    <r>
      <rPr>
        <sz val="11"/>
        <color theme="1"/>
        <rFont val="宋体"/>
        <family val="3"/>
        <charset val="134"/>
        <scheme val="minor"/>
      </rPr>
      <t>-1503</t>
    </r>
    <r>
      <rPr>
        <sz val="11"/>
        <color theme="1"/>
        <rFont val="宋体"/>
        <family val="2"/>
        <charset val="134"/>
        <scheme val="minor"/>
      </rPr>
      <t/>
    </r>
  </si>
  <si>
    <r>
      <t>2</t>
    </r>
    <r>
      <rPr>
        <sz val="11"/>
        <color theme="1"/>
        <rFont val="宋体"/>
        <family val="3"/>
        <charset val="134"/>
        <scheme val="minor"/>
      </rPr>
      <t>-1504</t>
    </r>
    <r>
      <rPr>
        <sz val="11"/>
        <color theme="1"/>
        <rFont val="宋体"/>
        <family val="2"/>
        <charset val="134"/>
        <scheme val="minor"/>
      </rPr>
      <t/>
    </r>
  </si>
  <si>
    <r>
      <t>2</t>
    </r>
    <r>
      <rPr>
        <sz val="11"/>
        <color theme="1"/>
        <rFont val="宋体"/>
        <family val="3"/>
        <charset val="134"/>
        <scheme val="minor"/>
      </rPr>
      <t>-1505</t>
    </r>
    <r>
      <rPr>
        <sz val="11"/>
        <color theme="1"/>
        <rFont val="宋体"/>
        <family val="2"/>
        <charset val="134"/>
        <scheme val="minor"/>
      </rPr>
      <t/>
    </r>
  </si>
  <si>
    <r>
      <t>2</t>
    </r>
    <r>
      <rPr>
        <sz val="11"/>
        <color theme="1"/>
        <rFont val="宋体"/>
        <family val="3"/>
        <charset val="134"/>
        <scheme val="minor"/>
      </rPr>
      <t>-1506</t>
    </r>
    <r>
      <rPr>
        <sz val="11"/>
        <color theme="1"/>
        <rFont val="宋体"/>
        <family val="2"/>
        <charset val="134"/>
        <scheme val="minor"/>
      </rPr>
      <t/>
    </r>
  </si>
  <si>
    <r>
      <t>2</t>
    </r>
    <r>
      <rPr>
        <sz val="11"/>
        <color theme="1"/>
        <rFont val="宋体"/>
        <family val="3"/>
        <charset val="134"/>
        <scheme val="minor"/>
      </rPr>
      <t>-1507</t>
    </r>
    <r>
      <rPr>
        <sz val="11"/>
        <color theme="1"/>
        <rFont val="宋体"/>
        <family val="2"/>
        <charset val="134"/>
        <scheme val="minor"/>
      </rPr>
      <t/>
    </r>
  </si>
  <si>
    <r>
      <t>2</t>
    </r>
    <r>
      <rPr>
        <sz val="11"/>
        <color theme="1"/>
        <rFont val="宋体"/>
        <family val="3"/>
        <charset val="134"/>
        <scheme val="minor"/>
      </rPr>
      <t>-1508</t>
    </r>
    <r>
      <rPr>
        <sz val="11"/>
        <color theme="1"/>
        <rFont val="宋体"/>
        <family val="2"/>
        <charset val="134"/>
        <scheme val="minor"/>
      </rPr>
      <t/>
    </r>
  </si>
  <si>
    <r>
      <t>2</t>
    </r>
    <r>
      <rPr>
        <sz val="11"/>
        <color theme="1"/>
        <rFont val="宋体"/>
        <family val="3"/>
        <charset val="134"/>
        <scheme val="minor"/>
      </rPr>
      <t>-1509</t>
    </r>
    <r>
      <rPr>
        <sz val="11"/>
        <color theme="1"/>
        <rFont val="宋体"/>
        <family val="2"/>
        <charset val="134"/>
        <scheme val="minor"/>
      </rPr>
      <t/>
    </r>
  </si>
  <si>
    <r>
      <t>2</t>
    </r>
    <r>
      <rPr>
        <sz val="11"/>
        <color theme="1"/>
        <rFont val="宋体"/>
        <family val="3"/>
        <charset val="134"/>
        <scheme val="minor"/>
      </rPr>
      <t>-1510</t>
    </r>
    <r>
      <rPr>
        <sz val="11"/>
        <color theme="1"/>
        <rFont val="宋体"/>
        <family val="2"/>
        <charset val="134"/>
        <scheme val="minor"/>
      </rPr>
      <t/>
    </r>
  </si>
  <si>
    <r>
      <t>2</t>
    </r>
    <r>
      <rPr>
        <sz val="11"/>
        <color theme="1"/>
        <rFont val="宋体"/>
        <family val="3"/>
        <charset val="134"/>
        <scheme val="minor"/>
      </rPr>
      <t>-1511</t>
    </r>
    <r>
      <rPr>
        <sz val="11"/>
        <color theme="1"/>
        <rFont val="宋体"/>
        <family val="2"/>
        <charset val="134"/>
        <scheme val="minor"/>
      </rPr>
      <t/>
    </r>
  </si>
  <si>
    <r>
      <t>2</t>
    </r>
    <r>
      <rPr>
        <sz val="11"/>
        <color theme="1"/>
        <rFont val="宋体"/>
        <family val="3"/>
        <charset val="134"/>
        <scheme val="minor"/>
      </rPr>
      <t>-1512</t>
    </r>
    <r>
      <rPr>
        <sz val="11"/>
        <color theme="1"/>
        <rFont val="宋体"/>
        <family val="2"/>
        <charset val="134"/>
        <scheme val="minor"/>
      </rPr>
      <t/>
    </r>
  </si>
  <si>
    <r>
      <t>2</t>
    </r>
    <r>
      <rPr>
        <sz val="11"/>
        <color theme="1"/>
        <rFont val="宋体"/>
        <family val="3"/>
        <charset val="134"/>
        <scheme val="minor"/>
      </rPr>
      <t>-1513</t>
    </r>
    <r>
      <rPr>
        <sz val="11"/>
        <color theme="1"/>
        <rFont val="宋体"/>
        <family val="2"/>
        <charset val="134"/>
        <scheme val="minor"/>
      </rPr>
      <t/>
    </r>
  </si>
  <si>
    <r>
      <t>2</t>
    </r>
    <r>
      <rPr>
        <sz val="11"/>
        <color theme="1"/>
        <rFont val="宋体"/>
        <family val="3"/>
        <charset val="134"/>
        <scheme val="minor"/>
      </rPr>
      <t>-1514</t>
    </r>
    <r>
      <rPr>
        <sz val="11"/>
        <color theme="1"/>
        <rFont val="宋体"/>
        <family val="2"/>
        <charset val="134"/>
        <scheme val="minor"/>
      </rPr>
      <t/>
    </r>
  </si>
  <si>
    <r>
      <t>2</t>
    </r>
    <r>
      <rPr>
        <sz val="11"/>
        <color theme="1"/>
        <rFont val="宋体"/>
        <family val="3"/>
        <charset val="134"/>
        <scheme val="minor"/>
      </rPr>
      <t>-1515</t>
    </r>
    <r>
      <rPr>
        <sz val="11"/>
        <color theme="1"/>
        <rFont val="宋体"/>
        <family val="2"/>
        <charset val="134"/>
        <scheme val="minor"/>
      </rPr>
      <t/>
    </r>
  </si>
  <si>
    <r>
      <t>2</t>
    </r>
    <r>
      <rPr>
        <sz val="11"/>
        <color theme="1"/>
        <rFont val="宋体"/>
        <family val="3"/>
        <charset val="134"/>
        <scheme val="minor"/>
      </rPr>
      <t>-1516</t>
    </r>
    <r>
      <rPr>
        <sz val="11"/>
        <color theme="1"/>
        <rFont val="宋体"/>
        <family val="2"/>
        <charset val="134"/>
        <scheme val="minor"/>
      </rPr>
      <t/>
    </r>
  </si>
  <si>
    <r>
      <t>2</t>
    </r>
    <r>
      <rPr>
        <sz val="11"/>
        <color theme="1"/>
        <rFont val="宋体"/>
        <family val="3"/>
        <charset val="134"/>
        <scheme val="minor"/>
      </rPr>
      <t>-1517</t>
    </r>
    <r>
      <rPr>
        <sz val="11"/>
        <color theme="1"/>
        <rFont val="宋体"/>
        <family val="2"/>
        <charset val="134"/>
        <scheme val="minor"/>
      </rPr>
      <t/>
    </r>
  </si>
  <si>
    <r>
      <t>2</t>
    </r>
    <r>
      <rPr>
        <sz val="11"/>
        <color theme="1"/>
        <rFont val="宋体"/>
        <family val="3"/>
        <charset val="134"/>
        <scheme val="minor"/>
      </rPr>
      <t>-1518</t>
    </r>
    <r>
      <rPr>
        <sz val="11"/>
        <color theme="1"/>
        <rFont val="宋体"/>
        <family val="2"/>
        <charset val="134"/>
        <scheme val="minor"/>
      </rPr>
      <t/>
    </r>
  </si>
  <si>
    <r>
      <t>2</t>
    </r>
    <r>
      <rPr>
        <sz val="11"/>
        <color theme="1"/>
        <rFont val="宋体"/>
        <family val="3"/>
        <charset val="134"/>
        <scheme val="minor"/>
      </rPr>
      <t>-1519</t>
    </r>
    <r>
      <rPr>
        <sz val="11"/>
        <color theme="1"/>
        <rFont val="宋体"/>
        <family val="2"/>
        <charset val="134"/>
        <scheme val="minor"/>
      </rPr>
      <t/>
    </r>
  </si>
  <si>
    <r>
      <t>2</t>
    </r>
    <r>
      <rPr>
        <sz val="11"/>
        <color theme="1"/>
        <rFont val="宋体"/>
        <family val="3"/>
        <charset val="134"/>
        <scheme val="minor"/>
      </rPr>
      <t>-1520</t>
    </r>
    <r>
      <rPr>
        <sz val="11"/>
        <color theme="1"/>
        <rFont val="宋体"/>
        <family val="2"/>
        <charset val="134"/>
        <scheme val="minor"/>
      </rPr>
      <t/>
    </r>
  </si>
  <si>
    <r>
      <t>3</t>
    </r>
    <r>
      <rPr>
        <sz val="11"/>
        <color theme="1"/>
        <rFont val="宋体"/>
        <family val="3"/>
        <charset val="134"/>
        <scheme val="minor"/>
      </rPr>
      <t>-1501</t>
    </r>
    <phoneticPr fontId="144" type="noConversion"/>
  </si>
  <si>
    <r>
      <t>3</t>
    </r>
    <r>
      <rPr>
        <sz val="11"/>
        <color theme="1"/>
        <rFont val="宋体"/>
        <family val="3"/>
        <charset val="134"/>
        <scheme val="minor"/>
      </rPr>
      <t>-1502</t>
    </r>
    <r>
      <rPr>
        <sz val="11"/>
        <color theme="1"/>
        <rFont val="宋体"/>
        <family val="2"/>
        <charset val="134"/>
        <scheme val="minor"/>
      </rPr>
      <t/>
    </r>
  </si>
  <si>
    <r>
      <t>3</t>
    </r>
    <r>
      <rPr>
        <sz val="11"/>
        <color theme="1"/>
        <rFont val="宋体"/>
        <family val="3"/>
        <charset val="134"/>
        <scheme val="minor"/>
      </rPr>
      <t>-1503</t>
    </r>
    <r>
      <rPr>
        <sz val="11"/>
        <color theme="1"/>
        <rFont val="宋体"/>
        <family val="2"/>
        <charset val="134"/>
        <scheme val="minor"/>
      </rPr>
      <t/>
    </r>
  </si>
  <si>
    <r>
      <t>3</t>
    </r>
    <r>
      <rPr>
        <sz val="11"/>
        <color theme="1"/>
        <rFont val="宋体"/>
        <family val="3"/>
        <charset val="134"/>
        <scheme val="minor"/>
      </rPr>
      <t>-1504</t>
    </r>
    <r>
      <rPr>
        <sz val="11"/>
        <color theme="1"/>
        <rFont val="宋体"/>
        <family val="2"/>
        <charset val="134"/>
        <scheme val="minor"/>
      </rPr>
      <t/>
    </r>
  </si>
  <si>
    <r>
      <t>3</t>
    </r>
    <r>
      <rPr>
        <sz val="11"/>
        <color theme="1"/>
        <rFont val="宋体"/>
        <family val="3"/>
        <charset val="134"/>
        <scheme val="minor"/>
      </rPr>
      <t>-1505</t>
    </r>
    <r>
      <rPr>
        <sz val="11"/>
        <color theme="1"/>
        <rFont val="宋体"/>
        <family val="2"/>
        <charset val="134"/>
        <scheme val="minor"/>
      </rPr>
      <t/>
    </r>
  </si>
  <si>
    <r>
      <t>3</t>
    </r>
    <r>
      <rPr>
        <sz val="11"/>
        <color theme="1"/>
        <rFont val="宋体"/>
        <family val="3"/>
        <charset val="134"/>
        <scheme val="minor"/>
      </rPr>
      <t>-1506</t>
    </r>
    <r>
      <rPr>
        <sz val="11"/>
        <color theme="1"/>
        <rFont val="宋体"/>
        <family val="2"/>
        <charset val="134"/>
        <scheme val="minor"/>
      </rPr>
      <t/>
    </r>
  </si>
  <si>
    <r>
      <t>3</t>
    </r>
    <r>
      <rPr>
        <sz val="11"/>
        <color theme="1"/>
        <rFont val="宋体"/>
        <family val="3"/>
        <charset val="134"/>
        <scheme val="minor"/>
      </rPr>
      <t>-1507</t>
    </r>
    <r>
      <rPr>
        <sz val="11"/>
        <color theme="1"/>
        <rFont val="宋体"/>
        <family val="2"/>
        <charset val="134"/>
        <scheme val="minor"/>
      </rPr>
      <t/>
    </r>
  </si>
  <si>
    <r>
      <t>3</t>
    </r>
    <r>
      <rPr>
        <sz val="11"/>
        <color theme="1"/>
        <rFont val="宋体"/>
        <family val="3"/>
        <charset val="134"/>
        <scheme val="minor"/>
      </rPr>
      <t>-1508</t>
    </r>
    <r>
      <rPr>
        <sz val="11"/>
        <color theme="1"/>
        <rFont val="宋体"/>
        <family val="2"/>
        <charset val="134"/>
        <scheme val="minor"/>
      </rPr>
      <t/>
    </r>
  </si>
  <si>
    <r>
      <t>3</t>
    </r>
    <r>
      <rPr>
        <sz val="11"/>
        <color theme="1"/>
        <rFont val="宋体"/>
        <family val="3"/>
        <charset val="134"/>
        <scheme val="minor"/>
      </rPr>
      <t>-1509</t>
    </r>
    <r>
      <rPr>
        <sz val="11"/>
        <color theme="1"/>
        <rFont val="宋体"/>
        <family val="2"/>
        <charset val="134"/>
        <scheme val="minor"/>
      </rPr>
      <t/>
    </r>
  </si>
  <si>
    <r>
      <t>3</t>
    </r>
    <r>
      <rPr>
        <sz val="11"/>
        <color theme="1"/>
        <rFont val="宋体"/>
        <family val="3"/>
        <charset val="134"/>
        <scheme val="minor"/>
      </rPr>
      <t>-1510</t>
    </r>
    <r>
      <rPr>
        <sz val="11"/>
        <color theme="1"/>
        <rFont val="宋体"/>
        <family val="2"/>
        <charset val="134"/>
        <scheme val="minor"/>
      </rPr>
      <t/>
    </r>
  </si>
  <si>
    <r>
      <t>3</t>
    </r>
    <r>
      <rPr>
        <sz val="11"/>
        <color theme="1"/>
        <rFont val="宋体"/>
        <family val="3"/>
        <charset val="134"/>
        <scheme val="minor"/>
      </rPr>
      <t>-1511</t>
    </r>
    <r>
      <rPr>
        <sz val="11"/>
        <color theme="1"/>
        <rFont val="宋体"/>
        <family val="2"/>
        <charset val="134"/>
        <scheme val="minor"/>
      </rPr>
      <t/>
    </r>
  </si>
  <si>
    <r>
      <t>3</t>
    </r>
    <r>
      <rPr>
        <sz val="11"/>
        <color theme="1"/>
        <rFont val="宋体"/>
        <family val="3"/>
        <charset val="134"/>
        <scheme val="minor"/>
      </rPr>
      <t>-1512</t>
    </r>
    <r>
      <rPr>
        <sz val="11"/>
        <color theme="1"/>
        <rFont val="宋体"/>
        <family val="2"/>
        <charset val="134"/>
        <scheme val="minor"/>
      </rPr>
      <t/>
    </r>
  </si>
  <si>
    <r>
      <t>3</t>
    </r>
    <r>
      <rPr>
        <sz val="11"/>
        <color theme="1"/>
        <rFont val="宋体"/>
        <family val="3"/>
        <charset val="134"/>
        <scheme val="minor"/>
      </rPr>
      <t>-1513</t>
    </r>
    <r>
      <rPr>
        <sz val="11"/>
        <color theme="1"/>
        <rFont val="宋体"/>
        <family val="2"/>
        <charset val="134"/>
        <scheme val="minor"/>
      </rPr>
      <t/>
    </r>
  </si>
  <si>
    <r>
      <t>3</t>
    </r>
    <r>
      <rPr>
        <sz val="11"/>
        <color theme="1"/>
        <rFont val="宋体"/>
        <family val="3"/>
        <charset val="134"/>
        <scheme val="minor"/>
      </rPr>
      <t>-1514</t>
    </r>
    <r>
      <rPr>
        <sz val="11"/>
        <color theme="1"/>
        <rFont val="宋体"/>
        <family val="2"/>
        <charset val="134"/>
        <scheme val="minor"/>
      </rPr>
      <t/>
    </r>
  </si>
  <si>
    <r>
      <t>3</t>
    </r>
    <r>
      <rPr>
        <sz val="11"/>
        <color theme="1"/>
        <rFont val="宋体"/>
        <family val="3"/>
        <charset val="134"/>
        <scheme val="minor"/>
      </rPr>
      <t>-1515</t>
    </r>
    <r>
      <rPr>
        <sz val="11"/>
        <color theme="1"/>
        <rFont val="宋体"/>
        <family val="2"/>
        <charset val="134"/>
        <scheme val="minor"/>
      </rPr>
      <t/>
    </r>
  </si>
  <si>
    <r>
      <t>3</t>
    </r>
    <r>
      <rPr>
        <sz val="11"/>
        <color theme="1"/>
        <rFont val="宋体"/>
        <family val="3"/>
        <charset val="134"/>
        <scheme val="minor"/>
      </rPr>
      <t>-1516</t>
    </r>
    <r>
      <rPr>
        <sz val="11"/>
        <color theme="1"/>
        <rFont val="宋体"/>
        <family val="2"/>
        <charset val="134"/>
        <scheme val="minor"/>
      </rPr>
      <t/>
    </r>
  </si>
  <si>
    <r>
      <t>3</t>
    </r>
    <r>
      <rPr>
        <sz val="11"/>
        <color theme="1"/>
        <rFont val="宋体"/>
        <family val="3"/>
        <charset val="134"/>
        <scheme val="minor"/>
      </rPr>
      <t>-1517</t>
    </r>
    <r>
      <rPr>
        <sz val="11"/>
        <color theme="1"/>
        <rFont val="宋体"/>
        <family val="2"/>
        <charset val="134"/>
        <scheme val="minor"/>
      </rPr>
      <t/>
    </r>
  </si>
  <si>
    <r>
      <t>3</t>
    </r>
    <r>
      <rPr>
        <sz val="11"/>
        <color theme="1"/>
        <rFont val="宋体"/>
        <family val="3"/>
        <charset val="134"/>
        <scheme val="minor"/>
      </rPr>
      <t>-1518</t>
    </r>
    <r>
      <rPr>
        <sz val="11"/>
        <color theme="1"/>
        <rFont val="宋体"/>
        <family val="2"/>
        <charset val="134"/>
        <scheme val="minor"/>
      </rPr>
      <t/>
    </r>
  </si>
  <si>
    <r>
      <t>3</t>
    </r>
    <r>
      <rPr>
        <sz val="11"/>
        <color theme="1"/>
        <rFont val="宋体"/>
        <family val="3"/>
        <charset val="134"/>
        <scheme val="minor"/>
      </rPr>
      <t>-1519</t>
    </r>
    <r>
      <rPr>
        <sz val="11"/>
        <color theme="1"/>
        <rFont val="宋体"/>
        <family val="2"/>
        <charset val="134"/>
        <scheme val="minor"/>
      </rPr>
      <t/>
    </r>
  </si>
  <si>
    <r>
      <t>3</t>
    </r>
    <r>
      <rPr>
        <sz val="11"/>
        <color theme="1"/>
        <rFont val="宋体"/>
        <family val="3"/>
        <charset val="134"/>
        <scheme val="minor"/>
      </rPr>
      <t>-1520</t>
    </r>
    <r>
      <rPr>
        <sz val="11"/>
        <color theme="1"/>
        <rFont val="宋体"/>
        <family val="2"/>
        <charset val="134"/>
        <scheme val="minor"/>
      </rPr>
      <t/>
    </r>
  </si>
  <si>
    <r>
      <t>3</t>
    </r>
    <r>
      <rPr>
        <sz val="11"/>
        <color theme="1"/>
        <rFont val="宋体"/>
        <family val="3"/>
        <charset val="134"/>
        <scheme val="minor"/>
      </rPr>
      <t>-1521</t>
    </r>
    <r>
      <rPr>
        <sz val="11"/>
        <color theme="1"/>
        <rFont val="宋体"/>
        <family val="2"/>
        <charset val="134"/>
        <scheme val="minor"/>
      </rPr>
      <t/>
    </r>
  </si>
  <si>
    <r>
      <t>3</t>
    </r>
    <r>
      <rPr>
        <sz val="11"/>
        <color theme="1"/>
        <rFont val="宋体"/>
        <family val="3"/>
        <charset val="134"/>
        <scheme val="minor"/>
      </rPr>
      <t>-1522</t>
    </r>
    <r>
      <rPr>
        <sz val="11"/>
        <color theme="1"/>
        <rFont val="宋体"/>
        <family val="2"/>
        <charset val="134"/>
        <scheme val="minor"/>
      </rPr>
      <t/>
    </r>
  </si>
  <si>
    <r>
      <t>3</t>
    </r>
    <r>
      <rPr>
        <sz val="11"/>
        <color theme="1"/>
        <rFont val="宋体"/>
        <family val="3"/>
        <charset val="134"/>
        <scheme val="minor"/>
      </rPr>
      <t>-1523</t>
    </r>
    <r>
      <rPr>
        <sz val="11"/>
        <color theme="1"/>
        <rFont val="宋体"/>
        <family val="2"/>
        <charset val="134"/>
        <scheme val="minor"/>
      </rPr>
      <t/>
    </r>
  </si>
  <si>
    <r>
      <t>3</t>
    </r>
    <r>
      <rPr>
        <sz val="11"/>
        <color theme="1"/>
        <rFont val="宋体"/>
        <family val="3"/>
        <charset val="134"/>
        <scheme val="minor"/>
      </rPr>
      <t>-1524</t>
    </r>
    <r>
      <rPr>
        <sz val="11"/>
        <color theme="1"/>
        <rFont val="宋体"/>
        <family val="2"/>
        <charset val="134"/>
        <scheme val="minor"/>
      </rPr>
      <t/>
    </r>
  </si>
  <si>
    <r>
      <t>3</t>
    </r>
    <r>
      <rPr>
        <sz val="11"/>
        <color theme="1"/>
        <rFont val="宋体"/>
        <family val="3"/>
        <charset val="134"/>
        <scheme val="minor"/>
      </rPr>
      <t>-1525</t>
    </r>
    <r>
      <rPr>
        <sz val="11"/>
        <color theme="1"/>
        <rFont val="宋体"/>
        <family val="2"/>
        <charset val="134"/>
        <scheme val="minor"/>
      </rPr>
      <t/>
    </r>
  </si>
  <si>
    <r>
      <t>3</t>
    </r>
    <r>
      <rPr>
        <sz val="11"/>
        <color theme="1"/>
        <rFont val="宋体"/>
        <family val="3"/>
        <charset val="134"/>
        <scheme val="minor"/>
      </rPr>
      <t>-1526</t>
    </r>
    <r>
      <rPr>
        <sz val="11"/>
        <color theme="1"/>
        <rFont val="宋体"/>
        <family val="2"/>
        <charset val="134"/>
        <scheme val="minor"/>
      </rPr>
      <t/>
    </r>
  </si>
  <si>
    <r>
      <t>3</t>
    </r>
    <r>
      <rPr>
        <sz val="11"/>
        <color theme="1"/>
        <rFont val="宋体"/>
        <family val="3"/>
        <charset val="134"/>
        <scheme val="minor"/>
      </rPr>
      <t>-1527</t>
    </r>
    <r>
      <rPr>
        <sz val="11"/>
        <color theme="1"/>
        <rFont val="宋体"/>
        <family val="2"/>
        <charset val="134"/>
        <scheme val="minor"/>
      </rPr>
      <t/>
    </r>
  </si>
  <si>
    <r>
      <t>3</t>
    </r>
    <r>
      <rPr>
        <sz val="11"/>
        <color theme="1"/>
        <rFont val="宋体"/>
        <family val="3"/>
        <charset val="134"/>
        <scheme val="minor"/>
      </rPr>
      <t>-1528</t>
    </r>
    <r>
      <rPr>
        <sz val="11"/>
        <color theme="1"/>
        <rFont val="宋体"/>
        <family val="2"/>
        <charset val="134"/>
        <scheme val="minor"/>
      </rPr>
      <t/>
    </r>
  </si>
  <si>
    <r>
      <t>3</t>
    </r>
    <r>
      <rPr>
        <sz val="11"/>
        <color theme="1"/>
        <rFont val="宋体"/>
        <family val="3"/>
        <charset val="134"/>
        <scheme val="minor"/>
      </rPr>
      <t>-1529</t>
    </r>
    <r>
      <rPr>
        <sz val="11"/>
        <color theme="1"/>
        <rFont val="宋体"/>
        <family val="2"/>
        <charset val="134"/>
        <scheme val="minor"/>
      </rPr>
      <t/>
    </r>
  </si>
  <si>
    <r>
      <t>3</t>
    </r>
    <r>
      <rPr>
        <sz val="11"/>
        <color theme="1"/>
        <rFont val="宋体"/>
        <family val="3"/>
        <charset val="134"/>
        <scheme val="minor"/>
      </rPr>
      <t>-1530</t>
    </r>
    <r>
      <rPr>
        <sz val="11"/>
        <color theme="1"/>
        <rFont val="宋体"/>
        <family val="2"/>
        <charset val="134"/>
        <scheme val="minor"/>
      </rPr>
      <t/>
    </r>
  </si>
  <si>
    <r>
      <t>3</t>
    </r>
    <r>
      <rPr>
        <sz val="11"/>
        <color theme="1"/>
        <rFont val="宋体"/>
        <family val="3"/>
        <charset val="134"/>
        <scheme val="minor"/>
      </rPr>
      <t>-1531</t>
    </r>
    <r>
      <rPr>
        <sz val="11"/>
        <color theme="1"/>
        <rFont val="宋体"/>
        <family val="2"/>
        <charset val="134"/>
        <scheme val="minor"/>
      </rPr>
      <t/>
    </r>
  </si>
  <si>
    <r>
      <t>3</t>
    </r>
    <r>
      <rPr>
        <sz val="11"/>
        <color theme="1"/>
        <rFont val="宋体"/>
        <family val="3"/>
        <charset val="134"/>
        <scheme val="minor"/>
      </rPr>
      <t>-1532</t>
    </r>
    <r>
      <rPr>
        <sz val="11"/>
        <color theme="1"/>
        <rFont val="宋体"/>
        <family val="2"/>
        <charset val="134"/>
        <scheme val="minor"/>
      </rPr>
      <t/>
    </r>
  </si>
  <si>
    <r>
      <t>3</t>
    </r>
    <r>
      <rPr>
        <sz val="11"/>
        <color theme="1"/>
        <rFont val="宋体"/>
        <family val="3"/>
        <charset val="134"/>
        <scheme val="minor"/>
      </rPr>
      <t>-1533</t>
    </r>
    <r>
      <rPr>
        <sz val="11"/>
        <color theme="1"/>
        <rFont val="宋体"/>
        <family val="2"/>
        <charset val="134"/>
        <scheme val="minor"/>
      </rPr>
      <t/>
    </r>
  </si>
  <si>
    <r>
      <t>3</t>
    </r>
    <r>
      <rPr>
        <sz val="11"/>
        <color theme="1"/>
        <rFont val="宋体"/>
        <family val="3"/>
        <charset val="134"/>
        <scheme val="minor"/>
      </rPr>
      <t>-1534</t>
    </r>
    <r>
      <rPr>
        <sz val="11"/>
        <color theme="1"/>
        <rFont val="宋体"/>
        <family val="2"/>
        <charset val="134"/>
        <scheme val="minor"/>
      </rPr>
      <t/>
    </r>
  </si>
  <si>
    <r>
      <t>3</t>
    </r>
    <r>
      <rPr>
        <sz val="11"/>
        <color theme="1"/>
        <rFont val="宋体"/>
        <family val="3"/>
        <charset val="134"/>
        <scheme val="minor"/>
      </rPr>
      <t>-1535</t>
    </r>
    <r>
      <rPr>
        <sz val="11"/>
        <color theme="1"/>
        <rFont val="宋体"/>
        <family val="2"/>
        <charset val="134"/>
        <scheme val="minor"/>
      </rPr>
      <t/>
    </r>
  </si>
  <si>
    <r>
      <t>3</t>
    </r>
    <r>
      <rPr>
        <sz val="11"/>
        <color theme="1"/>
        <rFont val="宋体"/>
        <family val="3"/>
        <charset val="134"/>
        <scheme val="minor"/>
      </rPr>
      <t>-1536</t>
    </r>
    <r>
      <rPr>
        <sz val="11"/>
        <color theme="1"/>
        <rFont val="宋体"/>
        <family val="2"/>
        <charset val="134"/>
        <scheme val="minor"/>
      </rPr>
      <t/>
    </r>
  </si>
  <si>
    <r>
      <t>3</t>
    </r>
    <r>
      <rPr>
        <sz val="11"/>
        <color theme="1"/>
        <rFont val="宋体"/>
        <family val="3"/>
        <charset val="134"/>
        <scheme val="minor"/>
      </rPr>
      <t>-1537</t>
    </r>
    <r>
      <rPr>
        <sz val="11"/>
        <color theme="1"/>
        <rFont val="宋体"/>
        <family val="2"/>
        <charset val="134"/>
        <scheme val="minor"/>
      </rPr>
      <t/>
    </r>
  </si>
  <si>
    <r>
      <t>3</t>
    </r>
    <r>
      <rPr>
        <sz val="11"/>
        <color theme="1"/>
        <rFont val="宋体"/>
        <family val="3"/>
        <charset val="134"/>
        <scheme val="minor"/>
      </rPr>
      <t>-1538</t>
    </r>
    <r>
      <rPr>
        <sz val="11"/>
        <color theme="1"/>
        <rFont val="宋体"/>
        <family val="2"/>
        <charset val="134"/>
        <scheme val="minor"/>
      </rPr>
      <t/>
    </r>
  </si>
  <si>
    <r>
      <t>3</t>
    </r>
    <r>
      <rPr>
        <sz val="11"/>
        <color theme="1"/>
        <rFont val="宋体"/>
        <family val="3"/>
        <charset val="134"/>
        <scheme val="minor"/>
      </rPr>
      <t>-1539</t>
    </r>
    <r>
      <rPr>
        <sz val="11"/>
        <color theme="1"/>
        <rFont val="宋体"/>
        <family val="2"/>
        <charset val="134"/>
        <scheme val="minor"/>
      </rPr>
      <t/>
    </r>
  </si>
  <si>
    <r>
      <t>3</t>
    </r>
    <r>
      <rPr>
        <sz val="11"/>
        <color theme="1"/>
        <rFont val="宋体"/>
        <family val="3"/>
        <charset val="134"/>
        <scheme val="minor"/>
      </rPr>
      <t>-1540</t>
    </r>
    <r>
      <rPr>
        <sz val="11"/>
        <color theme="1"/>
        <rFont val="宋体"/>
        <family val="2"/>
        <charset val="134"/>
        <scheme val="minor"/>
      </rPr>
      <t/>
    </r>
  </si>
  <si>
    <r>
      <t>3</t>
    </r>
    <r>
      <rPr>
        <sz val="11"/>
        <color theme="1"/>
        <rFont val="宋体"/>
        <family val="3"/>
        <charset val="134"/>
        <scheme val="minor"/>
      </rPr>
      <t>-1541</t>
    </r>
    <r>
      <rPr>
        <sz val="11"/>
        <color theme="1"/>
        <rFont val="宋体"/>
        <family val="2"/>
        <charset val="134"/>
        <scheme val="minor"/>
      </rPr>
      <t/>
    </r>
  </si>
  <si>
    <r>
      <t>3</t>
    </r>
    <r>
      <rPr>
        <sz val="11"/>
        <color theme="1"/>
        <rFont val="宋体"/>
        <family val="3"/>
        <charset val="134"/>
        <scheme val="minor"/>
      </rPr>
      <t>-1542</t>
    </r>
    <r>
      <rPr>
        <sz val="11"/>
        <color theme="1"/>
        <rFont val="宋体"/>
        <family val="2"/>
        <charset val="134"/>
        <scheme val="minor"/>
      </rPr>
      <t/>
    </r>
  </si>
  <si>
    <r>
      <t>3</t>
    </r>
    <r>
      <rPr>
        <sz val="11"/>
        <color theme="1"/>
        <rFont val="宋体"/>
        <family val="3"/>
        <charset val="134"/>
        <scheme val="minor"/>
      </rPr>
      <t>-1543</t>
    </r>
    <r>
      <rPr>
        <sz val="11"/>
        <color theme="1"/>
        <rFont val="宋体"/>
        <family val="2"/>
        <charset val="134"/>
        <scheme val="minor"/>
      </rPr>
      <t/>
    </r>
  </si>
  <si>
    <r>
      <t>3</t>
    </r>
    <r>
      <rPr>
        <sz val="11"/>
        <color theme="1"/>
        <rFont val="宋体"/>
        <family val="3"/>
        <charset val="134"/>
        <scheme val="minor"/>
      </rPr>
      <t>-1544</t>
    </r>
    <r>
      <rPr>
        <sz val="11"/>
        <color theme="1"/>
        <rFont val="宋体"/>
        <family val="2"/>
        <charset val="134"/>
        <scheme val="minor"/>
      </rPr>
      <t/>
    </r>
  </si>
  <si>
    <r>
      <t>3</t>
    </r>
    <r>
      <rPr>
        <sz val="11"/>
        <color theme="1"/>
        <rFont val="宋体"/>
        <family val="3"/>
        <charset val="134"/>
        <scheme val="minor"/>
      </rPr>
      <t>-1545</t>
    </r>
    <r>
      <rPr>
        <sz val="11"/>
        <color theme="1"/>
        <rFont val="宋体"/>
        <family val="2"/>
        <charset val="134"/>
        <scheme val="minor"/>
      </rPr>
      <t/>
    </r>
  </si>
  <si>
    <r>
      <t>3</t>
    </r>
    <r>
      <rPr>
        <sz val="11"/>
        <color theme="1"/>
        <rFont val="宋体"/>
        <family val="3"/>
        <charset val="134"/>
        <scheme val="minor"/>
      </rPr>
      <t>-1546</t>
    </r>
    <r>
      <rPr>
        <sz val="11"/>
        <color theme="1"/>
        <rFont val="宋体"/>
        <family val="2"/>
        <charset val="134"/>
        <scheme val="minor"/>
      </rPr>
      <t/>
    </r>
  </si>
  <si>
    <r>
      <t>3</t>
    </r>
    <r>
      <rPr>
        <sz val="11"/>
        <color theme="1"/>
        <rFont val="宋体"/>
        <family val="3"/>
        <charset val="134"/>
        <scheme val="minor"/>
      </rPr>
      <t>-1547</t>
    </r>
    <r>
      <rPr>
        <sz val="11"/>
        <color theme="1"/>
        <rFont val="宋体"/>
        <family val="2"/>
        <charset val="134"/>
        <scheme val="minor"/>
      </rPr>
      <t/>
    </r>
  </si>
  <si>
    <r>
      <t>3</t>
    </r>
    <r>
      <rPr>
        <sz val="11"/>
        <color theme="1"/>
        <rFont val="宋体"/>
        <family val="3"/>
        <charset val="134"/>
        <scheme val="minor"/>
      </rPr>
      <t>-1548</t>
    </r>
    <r>
      <rPr>
        <sz val="11"/>
        <color theme="1"/>
        <rFont val="宋体"/>
        <family val="2"/>
        <charset val="134"/>
        <scheme val="minor"/>
      </rPr>
      <t/>
    </r>
  </si>
  <si>
    <r>
      <t>3</t>
    </r>
    <r>
      <rPr>
        <sz val="11"/>
        <color theme="1"/>
        <rFont val="宋体"/>
        <family val="3"/>
        <charset val="134"/>
        <scheme val="minor"/>
      </rPr>
      <t>-1549</t>
    </r>
    <r>
      <rPr>
        <sz val="11"/>
        <color theme="1"/>
        <rFont val="宋体"/>
        <family val="2"/>
        <charset val="134"/>
        <scheme val="minor"/>
      </rPr>
      <t/>
    </r>
  </si>
  <si>
    <r>
      <t>3</t>
    </r>
    <r>
      <rPr>
        <sz val="11"/>
        <color theme="1"/>
        <rFont val="宋体"/>
        <family val="3"/>
        <charset val="134"/>
        <scheme val="minor"/>
      </rPr>
      <t>-1550</t>
    </r>
    <r>
      <rPr>
        <sz val="11"/>
        <color theme="1"/>
        <rFont val="宋体"/>
        <family val="2"/>
        <charset val="134"/>
        <scheme val="minor"/>
      </rPr>
      <t/>
    </r>
  </si>
  <si>
    <r>
      <t>3</t>
    </r>
    <r>
      <rPr>
        <sz val="11"/>
        <color theme="1"/>
        <rFont val="宋体"/>
        <family val="3"/>
        <charset val="134"/>
        <scheme val="minor"/>
      </rPr>
      <t>-1551</t>
    </r>
    <r>
      <rPr>
        <sz val="11"/>
        <color theme="1"/>
        <rFont val="宋体"/>
        <family val="2"/>
        <charset val="134"/>
        <scheme val="minor"/>
      </rPr>
      <t/>
    </r>
  </si>
  <si>
    <r>
      <t>3</t>
    </r>
    <r>
      <rPr>
        <sz val="11"/>
        <color theme="1"/>
        <rFont val="宋体"/>
        <family val="3"/>
        <charset val="134"/>
        <scheme val="minor"/>
      </rPr>
      <t>-1552</t>
    </r>
    <r>
      <rPr>
        <sz val="11"/>
        <color theme="1"/>
        <rFont val="宋体"/>
        <family val="2"/>
        <charset val="134"/>
        <scheme val="minor"/>
      </rPr>
      <t/>
    </r>
  </si>
  <si>
    <r>
      <t>4</t>
    </r>
    <r>
      <rPr>
        <sz val="11"/>
        <color theme="1"/>
        <rFont val="宋体"/>
        <family val="3"/>
        <charset val="134"/>
        <scheme val="minor"/>
      </rPr>
      <t>-1501</t>
    </r>
    <phoneticPr fontId="144" type="noConversion"/>
  </si>
  <si>
    <r>
      <t>4</t>
    </r>
    <r>
      <rPr>
        <sz val="11"/>
        <color theme="1"/>
        <rFont val="宋体"/>
        <family val="3"/>
        <charset val="134"/>
        <scheme val="minor"/>
      </rPr>
      <t>-1502</t>
    </r>
    <r>
      <rPr>
        <sz val="11"/>
        <color theme="1"/>
        <rFont val="宋体"/>
        <family val="2"/>
        <charset val="134"/>
        <scheme val="minor"/>
      </rPr>
      <t/>
    </r>
  </si>
  <si>
    <r>
      <t>4</t>
    </r>
    <r>
      <rPr>
        <sz val="11"/>
        <color theme="1"/>
        <rFont val="宋体"/>
        <family val="3"/>
        <charset val="134"/>
        <scheme val="minor"/>
      </rPr>
      <t>-1503</t>
    </r>
    <r>
      <rPr>
        <sz val="11"/>
        <color theme="1"/>
        <rFont val="宋体"/>
        <family val="2"/>
        <charset val="134"/>
        <scheme val="minor"/>
      </rPr>
      <t/>
    </r>
  </si>
  <si>
    <r>
      <t>4</t>
    </r>
    <r>
      <rPr>
        <sz val="11"/>
        <color theme="1"/>
        <rFont val="宋体"/>
        <family val="3"/>
        <charset val="134"/>
        <scheme val="minor"/>
      </rPr>
      <t>-1504</t>
    </r>
    <r>
      <rPr>
        <sz val="11"/>
        <color theme="1"/>
        <rFont val="宋体"/>
        <family val="2"/>
        <charset val="134"/>
        <scheme val="minor"/>
      </rPr>
      <t/>
    </r>
  </si>
  <si>
    <r>
      <t>4</t>
    </r>
    <r>
      <rPr>
        <sz val="11"/>
        <color theme="1"/>
        <rFont val="宋体"/>
        <family val="3"/>
        <charset val="134"/>
        <scheme val="minor"/>
      </rPr>
      <t>-1505</t>
    </r>
    <r>
      <rPr>
        <sz val="11"/>
        <color theme="1"/>
        <rFont val="宋体"/>
        <family val="2"/>
        <charset val="134"/>
        <scheme val="minor"/>
      </rPr>
      <t/>
    </r>
  </si>
  <si>
    <r>
      <t>4</t>
    </r>
    <r>
      <rPr>
        <sz val="11"/>
        <color theme="1"/>
        <rFont val="宋体"/>
        <family val="3"/>
        <charset val="134"/>
        <scheme val="minor"/>
      </rPr>
      <t>-1506</t>
    </r>
    <r>
      <rPr>
        <sz val="11"/>
        <color theme="1"/>
        <rFont val="宋体"/>
        <family val="2"/>
        <charset val="134"/>
        <scheme val="minor"/>
      </rPr>
      <t/>
    </r>
  </si>
  <si>
    <r>
      <t>4</t>
    </r>
    <r>
      <rPr>
        <sz val="11"/>
        <color theme="1"/>
        <rFont val="宋体"/>
        <family val="3"/>
        <charset val="134"/>
        <scheme val="minor"/>
      </rPr>
      <t>-1507</t>
    </r>
    <r>
      <rPr>
        <sz val="11"/>
        <color theme="1"/>
        <rFont val="宋体"/>
        <family val="2"/>
        <charset val="134"/>
        <scheme val="minor"/>
      </rPr>
      <t/>
    </r>
  </si>
  <si>
    <r>
      <t>4</t>
    </r>
    <r>
      <rPr>
        <sz val="11"/>
        <color theme="1"/>
        <rFont val="宋体"/>
        <family val="3"/>
        <charset val="134"/>
        <scheme val="minor"/>
      </rPr>
      <t>-1508</t>
    </r>
    <r>
      <rPr>
        <sz val="11"/>
        <color theme="1"/>
        <rFont val="宋体"/>
        <family val="2"/>
        <charset val="134"/>
        <scheme val="minor"/>
      </rPr>
      <t/>
    </r>
  </si>
  <si>
    <r>
      <t>4</t>
    </r>
    <r>
      <rPr>
        <sz val="11"/>
        <color theme="1"/>
        <rFont val="宋体"/>
        <family val="3"/>
        <charset val="134"/>
        <scheme val="minor"/>
      </rPr>
      <t>-1509</t>
    </r>
    <r>
      <rPr>
        <sz val="11"/>
        <color theme="1"/>
        <rFont val="宋体"/>
        <family val="2"/>
        <charset val="134"/>
        <scheme val="minor"/>
      </rPr>
      <t/>
    </r>
  </si>
  <si>
    <r>
      <t>4</t>
    </r>
    <r>
      <rPr>
        <sz val="11"/>
        <color theme="1"/>
        <rFont val="宋体"/>
        <family val="3"/>
        <charset val="134"/>
        <scheme val="minor"/>
      </rPr>
      <t>-1510</t>
    </r>
    <r>
      <rPr>
        <sz val="11"/>
        <color theme="1"/>
        <rFont val="宋体"/>
        <family val="2"/>
        <charset val="134"/>
        <scheme val="minor"/>
      </rPr>
      <t/>
    </r>
  </si>
  <si>
    <r>
      <t>4</t>
    </r>
    <r>
      <rPr>
        <sz val="11"/>
        <color theme="1"/>
        <rFont val="宋体"/>
        <family val="3"/>
        <charset val="134"/>
        <scheme val="minor"/>
      </rPr>
      <t>-1511</t>
    </r>
    <r>
      <rPr>
        <sz val="11"/>
        <color theme="1"/>
        <rFont val="宋体"/>
        <family val="2"/>
        <charset val="134"/>
        <scheme val="minor"/>
      </rPr>
      <t/>
    </r>
  </si>
  <si>
    <r>
      <t>4</t>
    </r>
    <r>
      <rPr>
        <sz val="11"/>
        <color theme="1"/>
        <rFont val="宋体"/>
        <family val="3"/>
        <charset val="134"/>
        <scheme val="minor"/>
      </rPr>
      <t>-1512</t>
    </r>
    <r>
      <rPr>
        <sz val="11"/>
        <color theme="1"/>
        <rFont val="宋体"/>
        <family val="2"/>
        <charset val="134"/>
        <scheme val="minor"/>
      </rPr>
      <t/>
    </r>
  </si>
  <si>
    <r>
      <t>4</t>
    </r>
    <r>
      <rPr>
        <sz val="11"/>
        <color theme="1"/>
        <rFont val="宋体"/>
        <family val="3"/>
        <charset val="134"/>
        <scheme val="minor"/>
      </rPr>
      <t>-1513</t>
    </r>
    <r>
      <rPr>
        <sz val="11"/>
        <color theme="1"/>
        <rFont val="宋体"/>
        <family val="2"/>
        <charset val="134"/>
        <scheme val="minor"/>
      </rPr>
      <t/>
    </r>
  </si>
  <si>
    <r>
      <t>4</t>
    </r>
    <r>
      <rPr>
        <sz val="11"/>
        <color theme="1"/>
        <rFont val="宋体"/>
        <family val="3"/>
        <charset val="134"/>
        <scheme val="minor"/>
      </rPr>
      <t>-1514</t>
    </r>
    <r>
      <rPr>
        <sz val="11"/>
        <color theme="1"/>
        <rFont val="宋体"/>
        <family val="2"/>
        <charset val="134"/>
        <scheme val="minor"/>
      </rPr>
      <t/>
    </r>
  </si>
  <si>
    <r>
      <t>4</t>
    </r>
    <r>
      <rPr>
        <sz val="11"/>
        <color theme="1"/>
        <rFont val="宋体"/>
        <family val="3"/>
        <charset val="134"/>
        <scheme val="minor"/>
      </rPr>
      <t>-1515</t>
    </r>
    <r>
      <rPr>
        <sz val="11"/>
        <color theme="1"/>
        <rFont val="宋体"/>
        <family val="2"/>
        <charset val="134"/>
        <scheme val="minor"/>
      </rPr>
      <t/>
    </r>
  </si>
  <si>
    <r>
      <t>4</t>
    </r>
    <r>
      <rPr>
        <sz val="11"/>
        <color theme="1"/>
        <rFont val="宋体"/>
        <family val="3"/>
        <charset val="134"/>
        <scheme val="minor"/>
      </rPr>
      <t>-1516</t>
    </r>
    <r>
      <rPr>
        <sz val="11"/>
        <color theme="1"/>
        <rFont val="宋体"/>
        <family val="2"/>
        <charset val="134"/>
        <scheme val="minor"/>
      </rPr>
      <t/>
    </r>
  </si>
  <si>
    <r>
      <t>4</t>
    </r>
    <r>
      <rPr>
        <sz val="11"/>
        <color theme="1"/>
        <rFont val="宋体"/>
        <family val="3"/>
        <charset val="134"/>
        <scheme val="minor"/>
      </rPr>
      <t>-1517</t>
    </r>
    <r>
      <rPr>
        <sz val="11"/>
        <color theme="1"/>
        <rFont val="宋体"/>
        <family val="2"/>
        <charset val="134"/>
        <scheme val="minor"/>
      </rPr>
      <t/>
    </r>
  </si>
  <si>
    <r>
      <t>4</t>
    </r>
    <r>
      <rPr>
        <sz val="11"/>
        <color theme="1"/>
        <rFont val="宋体"/>
        <family val="3"/>
        <charset val="134"/>
        <scheme val="minor"/>
      </rPr>
      <t>-1518</t>
    </r>
    <r>
      <rPr>
        <sz val="11"/>
        <color theme="1"/>
        <rFont val="宋体"/>
        <family val="2"/>
        <charset val="134"/>
        <scheme val="minor"/>
      </rPr>
      <t/>
    </r>
  </si>
  <si>
    <r>
      <t>4</t>
    </r>
    <r>
      <rPr>
        <sz val="11"/>
        <color theme="1"/>
        <rFont val="宋体"/>
        <family val="3"/>
        <charset val="134"/>
        <scheme val="minor"/>
      </rPr>
      <t>-1519</t>
    </r>
    <r>
      <rPr>
        <sz val="11"/>
        <color theme="1"/>
        <rFont val="宋体"/>
        <family val="2"/>
        <charset val="134"/>
        <scheme val="minor"/>
      </rPr>
      <t/>
    </r>
  </si>
  <si>
    <r>
      <t>4</t>
    </r>
    <r>
      <rPr>
        <sz val="11"/>
        <color theme="1"/>
        <rFont val="宋体"/>
        <family val="3"/>
        <charset val="134"/>
        <scheme val="minor"/>
      </rPr>
      <t>-1520</t>
    </r>
    <r>
      <rPr>
        <sz val="11"/>
        <color theme="1"/>
        <rFont val="宋体"/>
        <family val="2"/>
        <charset val="134"/>
        <scheme val="minor"/>
      </rPr>
      <t/>
    </r>
  </si>
  <si>
    <r>
      <t>4</t>
    </r>
    <r>
      <rPr>
        <sz val="11"/>
        <color theme="1"/>
        <rFont val="宋体"/>
        <family val="3"/>
        <charset val="134"/>
        <scheme val="minor"/>
      </rPr>
      <t>-1521</t>
    </r>
    <r>
      <rPr>
        <sz val="11"/>
        <color theme="1"/>
        <rFont val="宋体"/>
        <family val="2"/>
        <charset val="134"/>
        <scheme val="minor"/>
      </rPr>
      <t/>
    </r>
  </si>
  <si>
    <r>
      <t>4</t>
    </r>
    <r>
      <rPr>
        <sz val="11"/>
        <color theme="1"/>
        <rFont val="宋体"/>
        <family val="3"/>
        <charset val="134"/>
        <scheme val="minor"/>
      </rPr>
      <t>-1522</t>
    </r>
    <r>
      <rPr>
        <sz val="11"/>
        <color theme="1"/>
        <rFont val="宋体"/>
        <family val="2"/>
        <charset val="134"/>
        <scheme val="minor"/>
      </rPr>
      <t/>
    </r>
  </si>
  <si>
    <r>
      <t>4</t>
    </r>
    <r>
      <rPr>
        <sz val="11"/>
        <color theme="1"/>
        <rFont val="宋体"/>
        <family val="3"/>
        <charset val="134"/>
        <scheme val="minor"/>
      </rPr>
      <t>-1523</t>
    </r>
    <r>
      <rPr>
        <sz val="11"/>
        <color theme="1"/>
        <rFont val="宋体"/>
        <family val="2"/>
        <charset val="134"/>
        <scheme val="minor"/>
      </rPr>
      <t/>
    </r>
  </si>
  <si>
    <r>
      <t>4</t>
    </r>
    <r>
      <rPr>
        <sz val="11"/>
        <color theme="1"/>
        <rFont val="宋体"/>
        <family val="3"/>
        <charset val="134"/>
        <scheme val="minor"/>
      </rPr>
      <t>-1524</t>
    </r>
    <r>
      <rPr>
        <sz val="11"/>
        <color theme="1"/>
        <rFont val="宋体"/>
        <family val="2"/>
        <charset val="134"/>
        <scheme val="minor"/>
      </rPr>
      <t/>
    </r>
  </si>
  <si>
    <r>
      <t>4</t>
    </r>
    <r>
      <rPr>
        <sz val="11"/>
        <color theme="1"/>
        <rFont val="宋体"/>
        <family val="3"/>
        <charset val="134"/>
        <scheme val="minor"/>
      </rPr>
      <t>-1525</t>
    </r>
    <r>
      <rPr>
        <sz val="11"/>
        <color theme="1"/>
        <rFont val="宋体"/>
        <family val="2"/>
        <charset val="134"/>
        <scheme val="minor"/>
      </rPr>
      <t/>
    </r>
  </si>
  <si>
    <r>
      <t>4</t>
    </r>
    <r>
      <rPr>
        <sz val="11"/>
        <color theme="1"/>
        <rFont val="宋体"/>
        <family val="3"/>
        <charset val="134"/>
        <scheme val="minor"/>
      </rPr>
      <t>-1526</t>
    </r>
    <r>
      <rPr>
        <sz val="11"/>
        <color theme="1"/>
        <rFont val="宋体"/>
        <family val="2"/>
        <charset val="134"/>
        <scheme val="minor"/>
      </rPr>
      <t/>
    </r>
  </si>
  <si>
    <r>
      <t>4</t>
    </r>
    <r>
      <rPr>
        <sz val="11"/>
        <color theme="1"/>
        <rFont val="宋体"/>
        <family val="3"/>
        <charset val="134"/>
        <scheme val="minor"/>
      </rPr>
      <t>-1527</t>
    </r>
    <r>
      <rPr>
        <sz val="11"/>
        <color theme="1"/>
        <rFont val="宋体"/>
        <family val="2"/>
        <charset val="134"/>
        <scheme val="minor"/>
      </rPr>
      <t/>
    </r>
  </si>
  <si>
    <r>
      <t>4</t>
    </r>
    <r>
      <rPr>
        <sz val="11"/>
        <color theme="1"/>
        <rFont val="宋体"/>
        <family val="3"/>
        <charset val="134"/>
        <scheme val="minor"/>
      </rPr>
      <t>-1528</t>
    </r>
    <r>
      <rPr>
        <sz val="11"/>
        <color theme="1"/>
        <rFont val="宋体"/>
        <family val="2"/>
        <charset val="134"/>
        <scheme val="minor"/>
      </rPr>
      <t/>
    </r>
  </si>
  <si>
    <r>
      <t>4</t>
    </r>
    <r>
      <rPr>
        <sz val="11"/>
        <color theme="1"/>
        <rFont val="宋体"/>
        <family val="3"/>
        <charset val="134"/>
        <scheme val="minor"/>
      </rPr>
      <t>-1529</t>
    </r>
    <r>
      <rPr>
        <sz val="11"/>
        <color theme="1"/>
        <rFont val="宋体"/>
        <family val="2"/>
        <charset val="134"/>
        <scheme val="minor"/>
      </rPr>
      <t/>
    </r>
  </si>
  <si>
    <r>
      <t>4</t>
    </r>
    <r>
      <rPr>
        <sz val="11"/>
        <color theme="1"/>
        <rFont val="宋体"/>
        <family val="3"/>
        <charset val="134"/>
        <scheme val="minor"/>
      </rPr>
      <t>-1530</t>
    </r>
    <r>
      <rPr>
        <sz val="11"/>
        <color theme="1"/>
        <rFont val="宋体"/>
        <family val="2"/>
        <charset val="134"/>
        <scheme val="minor"/>
      </rPr>
      <t/>
    </r>
  </si>
  <si>
    <r>
      <t>4</t>
    </r>
    <r>
      <rPr>
        <sz val="11"/>
        <color theme="1"/>
        <rFont val="宋体"/>
        <family val="3"/>
        <charset val="134"/>
        <scheme val="minor"/>
      </rPr>
      <t>-1531</t>
    </r>
    <r>
      <rPr>
        <sz val="11"/>
        <color theme="1"/>
        <rFont val="宋体"/>
        <family val="2"/>
        <charset val="134"/>
        <scheme val="minor"/>
      </rPr>
      <t/>
    </r>
  </si>
  <si>
    <r>
      <t>4</t>
    </r>
    <r>
      <rPr>
        <sz val="11"/>
        <color theme="1"/>
        <rFont val="宋体"/>
        <family val="3"/>
        <charset val="134"/>
        <scheme val="minor"/>
      </rPr>
      <t>-1532</t>
    </r>
    <r>
      <rPr>
        <sz val="11"/>
        <color theme="1"/>
        <rFont val="宋体"/>
        <family val="2"/>
        <charset val="134"/>
        <scheme val="minor"/>
      </rPr>
      <t/>
    </r>
  </si>
  <si>
    <r>
      <t>4</t>
    </r>
    <r>
      <rPr>
        <sz val="11"/>
        <color theme="1"/>
        <rFont val="宋体"/>
        <family val="3"/>
        <charset val="134"/>
        <scheme val="minor"/>
      </rPr>
      <t>-1533</t>
    </r>
    <r>
      <rPr>
        <sz val="11"/>
        <color theme="1"/>
        <rFont val="宋体"/>
        <family val="2"/>
        <charset val="134"/>
        <scheme val="minor"/>
      </rPr>
      <t/>
    </r>
  </si>
  <si>
    <r>
      <t>4</t>
    </r>
    <r>
      <rPr>
        <sz val="11"/>
        <color theme="1"/>
        <rFont val="宋体"/>
        <family val="3"/>
        <charset val="134"/>
        <scheme val="minor"/>
      </rPr>
      <t>-1534</t>
    </r>
    <r>
      <rPr>
        <sz val="11"/>
        <color theme="1"/>
        <rFont val="宋体"/>
        <family val="2"/>
        <charset val="134"/>
        <scheme val="minor"/>
      </rPr>
      <t/>
    </r>
  </si>
  <si>
    <r>
      <t>4</t>
    </r>
    <r>
      <rPr>
        <sz val="11"/>
        <color theme="1"/>
        <rFont val="宋体"/>
        <family val="3"/>
        <charset val="134"/>
        <scheme val="minor"/>
      </rPr>
      <t>-1535</t>
    </r>
    <r>
      <rPr>
        <sz val="11"/>
        <color theme="1"/>
        <rFont val="宋体"/>
        <family val="2"/>
        <charset val="134"/>
        <scheme val="minor"/>
      </rPr>
      <t/>
    </r>
  </si>
  <si>
    <r>
      <t>4</t>
    </r>
    <r>
      <rPr>
        <sz val="11"/>
        <color theme="1"/>
        <rFont val="宋体"/>
        <family val="3"/>
        <charset val="134"/>
        <scheme val="minor"/>
      </rPr>
      <t>-1536</t>
    </r>
    <r>
      <rPr>
        <sz val="11"/>
        <color theme="1"/>
        <rFont val="宋体"/>
        <family val="2"/>
        <charset val="134"/>
        <scheme val="minor"/>
      </rPr>
      <t/>
    </r>
  </si>
  <si>
    <r>
      <t>4</t>
    </r>
    <r>
      <rPr>
        <sz val="11"/>
        <color theme="1"/>
        <rFont val="宋体"/>
        <family val="3"/>
        <charset val="134"/>
        <scheme val="minor"/>
      </rPr>
      <t>-1537</t>
    </r>
    <r>
      <rPr>
        <sz val="11"/>
        <color theme="1"/>
        <rFont val="宋体"/>
        <family val="2"/>
        <charset val="134"/>
        <scheme val="minor"/>
      </rPr>
      <t/>
    </r>
  </si>
  <si>
    <r>
      <t>4</t>
    </r>
    <r>
      <rPr>
        <sz val="11"/>
        <color theme="1"/>
        <rFont val="宋体"/>
        <family val="3"/>
        <charset val="134"/>
        <scheme val="minor"/>
      </rPr>
      <t>-1538</t>
    </r>
    <r>
      <rPr>
        <sz val="11"/>
        <color theme="1"/>
        <rFont val="宋体"/>
        <family val="2"/>
        <charset val="134"/>
        <scheme val="minor"/>
      </rPr>
      <t/>
    </r>
  </si>
  <si>
    <r>
      <t>4</t>
    </r>
    <r>
      <rPr>
        <sz val="11"/>
        <color theme="1"/>
        <rFont val="宋体"/>
        <family val="3"/>
        <charset val="134"/>
        <scheme val="minor"/>
      </rPr>
      <t>-1539</t>
    </r>
    <r>
      <rPr>
        <sz val="11"/>
        <color theme="1"/>
        <rFont val="宋体"/>
        <family val="2"/>
        <charset val="134"/>
        <scheme val="minor"/>
      </rPr>
      <t/>
    </r>
  </si>
  <si>
    <r>
      <t>4</t>
    </r>
    <r>
      <rPr>
        <sz val="11"/>
        <color theme="1"/>
        <rFont val="宋体"/>
        <family val="3"/>
        <charset val="134"/>
        <scheme val="minor"/>
      </rPr>
      <t>-1540</t>
    </r>
    <r>
      <rPr>
        <sz val="11"/>
        <color theme="1"/>
        <rFont val="宋体"/>
        <family val="2"/>
        <charset val="134"/>
        <scheme val="minor"/>
      </rPr>
      <t/>
    </r>
  </si>
  <si>
    <r>
      <t>4</t>
    </r>
    <r>
      <rPr>
        <sz val="11"/>
        <color theme="1"/>
        <rFont val="宋体"/>
        <family val="3"/>
        <charset val="134"/>
        <scheme val="minor"/>
      </rPr>
      <t>-1541</t>
    </r>
    <r>
      <rPr>
        <sz val="11"/>
        <color theme="1"/>
        <rFont val="宋体"/>
        <family val="2"/>
        <charset val="134"/>
        <scheme val="minor"/>
      </rPr>
      <t/>
    </r>
  </si>
  <si>
    <r>
      <t>4</t>
    </r>
    <r>
      <rPr>
        <sz val="11"/>
        <color theme="1"/>
        <rFont val="宋体"/>
        <family val="3"/>
        <charset val="134"/>
        <scheme val="minor"/>
      </rPr>
      <t>-1542</t>
    </r>
    <r>
      <rPr>
        <sz val="11"/>
        <color theme="1"/>
        <rFont val="宋体"/>
        <family val="2"/>
        <charset val="134"/>
        <scheme val="minor"/>
      </rPr>
      <t/>
    </r>
  </si>
  <si>
    <r>
      <t>4</t>
    </r>
    <r>
      <rPr>
        <sz val="11"/>
        <color theme="1"/>
        <rFont val="宋体"/>
        <family val="3"/>
        <charset val="134"/>
        <scheme val="minor"/>
      </rPr>
      <t>-1543</t>
    </r>
    <r>
      <rPr>
        <sz val="11"/>
        <color theme="1"/>
        <rFont val="宋体"/>
        <family val="2"/>
        <charset val="134"/>
        <scheme val="minor"/>
      </rPr>
      <t/>
    </r>
  </si>
  <si>
    <r>
      <t>4</t>
    </r>
    <r>
      <rPr>
        <sz val="11"/>
        <color theme="1"/>
        <rFont val="宋体"/>
        <family val="3"/>
        <charset val="134"/>
        <scheme val="minor"/>
      </rPr>
      <t>-1544</t>
    </r>
    <r>
      <rPr>
        <sz val="11"/>
        <color theme="1"/>
        <rFont val="宋体"/>
        <family val="2"/>
        <charset val="134"/>
        <scheme val="minor"/>
      </rPr>
      <t/>
    </r>
  </si>
  <si>
    <r>
      <t>4</t>
    </r>
    <r>
      <rPr>
        <sz val="11"/>
        <color theme="1"/>
        <rFont val="宋体"/>
        <family val="3"/>
        <charset val="134"/>
        <scheme val="minor"/>
      </rPr>
      <t>-1545</t>
    </r>
    <r>
      <rPr>
        <sz val="11"/>
        <color theme="1"/>
        <rFont val="宋体"/>
        <family val="2"/>
        <charset val="134"/>
        <scheme val="minor"/>
      </rPr>
      <t/>
    </r>
  </si>
  <si>
    <r>
      <t>1</t>
    </r>
    <r>
      <rPr>
        <sz val="11"/>
        <color theme="1"/>
        <rFont val="宋体"/>
        <family val="3"/>
        <charset val="134"/>
        <scheme val="minor"/>
      </rPr>
      <t>-1601</t>
    </r>
    <phoneticPr fontId="144" type="noConversion"/>
  </si>
  <si>
    <r>
      <t>1</t>
    </r>
    <r>
      <rPr>
        <sz val="11"/>
        <color theme="1"/>
        <rFont val="宋体"/>
        <family val="3"/>
        <charset val="134"/>
        <scheme val="minor"/>
      </rPr>
      <t>-1602</t>
    </r>
    <r>
      <rPr>
        <sz val="11"/>
        <color theme="1"/>
        <rFont val="宋体"/>
        <family val="2"/>
        <charset val="134"/>
        <scheme val="minor"/>
      </rPr>
      <t/>
    </r>
  </si>
  <si>
    <r>
      <t>1</t>
    </r>
    <r>
      <rPr>
        <sz val="11"/>
        <color theme="1"/>
        <rFont val="宋体"/>
        <family val="3"/>
        <charset val="134"/>
        <scheme val="minor"/>
      </rPr>
      <t>-1603</t>
    </r>
    <r>
      <rPr>
        <sz val="11"/>
        <color theme="1"/>
        <rFont val="宋体"/>
        <family val="2"/>
        <charset val="134"/>
        <scheme val="minor"/>
      </rPr>
      <t/>
    </r>
  </si>
  <si>
    <r>
      <t>1</t>
    </r>
    <r>
      <rPr>
        <sz val="11"/>
        <color theme="1"/>
        <rFont val="宋体"/>
        <family val="3"/>
        <charset val="134"/>
        <scheme val="minor"/>
      </rPr>
      <t>-1604</t>
    </r>
    <r>
      <rPr>
        <sz val="11"/>
        <color theme="1"/>
        <rFont val="宋体"/>
        <family val="2"/>
        <charset val="134"/>
        <scheme val="minor"/>
      </rPr>
      <t/>
    </r>
  </si>
  <si>
    <r>
      <t>1</t>
    </r>
    <r>
      <rPr>
        <sz val="11"/>
        <color theme="1"/>
        <rFont val="宋体"/>
        <family val="3"/>
        <charset val="134"/>
        <scheme val="minor"/>
      </rPr>
      <t>-1605</t>
    </r>
    <r>
      <rPr>
        <sz val="11"/>
        <color theme="1"/>
        <rFont val="宋体"/>
        <family val="2"/>
        <charset val="134"/>
        <scheme val="minor"/>
      </rPr>
      <t/>
    </r>
  </si>
  <si>
    <r>
      <t>1</t>
    </r>
    <r>
      <rPr>
        <sz val="11"/>
        <color theme="1"/>
        <rFont val="宋体"/>
        <family val="3"/>
        <charset val="134"/>
        <scheme val="minor"/>
      </rPr>
      <t>-1606</t>
    </r>
    <r>
      <rPr>
        <sz val="11"/>
        <color theme="1"/>
        <rFont val="宋体"/>
        <family val="2"/>
        <charset val="134"/>
        <scheme val="minor"/>
      </rPr>
      <t/>
    </r>
  </si>
  <si>
    <r>
      <t>1</t>
    </r>
    <r>
      <rPr>
        <sz val="11"/>
        <color theme="1"/>
        <rFont val="宋体"/>
        <family val="3"/>
        <charset val="134"/>
        <scheme val="minor"/>
      </rPr>
      <t>-1607</t>
    </r>
    <r>
      <rPr>
        <sz val="11"/>
        <color theme="1"/>
        <rFont val="宋体"/>
        <family val="2"/>
        <charset val="134"/>
        <scheme val="minor"/>
      </rPr>
      <t/>
    </r>
  </si>
  <si>
    <r>
      <t>1</t>
    </r>
    <r>
      <rPr>
        <sz val="11"/>
        <color theme="1"/>
        <rFont val="宋体"/>
        <family val="3"/>
        <charset val="134"/>
        <scheme val="minor"/>
      </rPr>
      <t>-1608</t>
    </r>
    <r>
      <rPr>
        <sz val="11"/>
        <color theme="1"/>
        <rFont val="宋体"/>
        <family val="2"/>
        <charset val="134"/>
        <scheme val="minor"/>
      </rPr>
      <t/>
    </r>
  </si>
  <si>
    <r>
      <t>1</t>
    </r>
    <r>
      <rPr>
        <sz val="11"/>
        <color theme="1"/>
        <rFont val="宋体"/>
        <family val="3"/>
        <charset val="134"/>
        <scheme val="minor"/>
      </rPr>
      <t>-1609</t>
    </r>
    <r>
      <rPr>
        <sz val="11"/>
        <color theme="1"/>
        <rFont val="宋体"/>
        <family val="2"/>
        <charset val="134"/>
        <scheme val="minor"/>
      </rPr>
      <t/>
    </r>
  </si>
  <si>
    <r>
      <t>1</t>
    </r>
    <r>
      <rPr>
        <sz val="11"/>
        <color theme="1"/>
        <rFont val="宋体"/>
        <family val="3"/>
        <charset val="134"/>
        <scheme val="minor"/>
      </rPr>
      <t>-1610</t>
    </r>
    <r>
      <rPr>
        <sz val="11"/>
        <color theme="1"/>
        <rFont val="宋体"/>
        <family val="2"/>
        <charset val="134"/>
        <scheme val="minor"/>
      </rPr>
      <t/>
    </r>
  </si>
  <si>
    <r>
      <t>1</t>
    </r>
    <r>
      <rPr>
        <sz val="11"/>
        <color theme="1"/>
        <rFont val="宋体"/>
        <family val="3"/>
        <charset val="134"/>
        <scheme val="minor"/>
      </rPr>
      <t>-1611</t>
    </r>
    <r>
      <rPr>
        <sz val="11"/>
        <color theme="1"/>
        <rFont val="宋体"/>
        <family val="2"/>
        <charset val="134"/>
        <scheme val="minor"/>
      </rPr>
      <t/>
    </r>
  </si>
  <si>
    <r>
      <t>1</t>
    </r>
    <r>
      <rPr>
        <sz val="11"/>
        <color theme="1"/>
        <rFont val="宋体"/>
        <family val="3"/>
        <charset val="134"/>
        <scheme val="minor"/>
      </rPr>
      <t>-1612</t>
    </r>
    <r>
      <rPr>
        <sz val="11"/>
        <color theme="1"/>
        <rFont val="宋体"/>
        <family val="2"/>
        <charset val="134"/>
        <scheme val="minor"/>
      </rPr>
      <t/>
    </r>
  </si>
  <si>
    <r>
      <t>1</t>
    </r>
    <r>
      <rPr>
        <sz val="11"/>
        <color theme="1"/>
        <rFont val="宋体"/>
        <family val="3"/>
        <charset val="134"/>
        <scheme val="minor"/>
      </rPr>
      <t>-1613</t>
    </r>
    <r>
      <rPr>
        <sz val="11"/>
        <color theme="1"/>
        <rFont val="宋体"/>
        <family val="2"/>
        <charset val="134"/>
        <scheme val="minor"/>
      </rPr>
      <t/>
    </r>
  </si>
  <si>
    <r>
      <t>1</t>
    </r>
    <r>
      <rPr>
        <sz val="11"/>
        <color theme="1"/>
        <rFont val="宋体"/>
        <family val="3"/>
        <charset val="134"/>
        <scheme val="minor"/>
      </rPr>
      <t>-1614</t>
    </r>
    <r>
      <rPr>
        <sz val="11"/>
        <color theme="1"/>
        <rFont val="宋体"/>
        <family val="2"/>
        <charset val="134"/>
        <scheme val="minor"/>
      </rPr>
      <t/>
    </r>
  </si>
  <si>
    <r>
      <t>1</t>
    </r>
    <r>
      <rPr>
        <sz val="11"/>
        <color theme="1"/>
        <rFont val="宋体"/>
        <family val="3"/>
        <charset val="134"/>
        <scheme val="minor"/>
      </rPr>
      <t>-1615</t>
    </r>
    <r>
      <rPr>
        <sz val="11"/>
        <color theme="1"/>
        <rFont val="宋体"/>
        <family val="2"/>
        <charset val="134"/>
        <scheme val="minor"/>
      </rPr>
      <t/>
    </r>
  </si>
  <si>
    <r>
      <t>1</t>
    </r>
    <r>
      <rPr>
        <sz val="11"/>
        <color theme="1"/>
        <rFont val="宋体"/>
        <family val="3"/>
        <charset val="134"/>
        <scheme val="minor"/>
      </rPr>
      <t>-1616</t>
    </r>
    <r>
      <rPr>
        <sz val="11"/>
        <color theme="1"/>
        <rFont val="宋体"/>
        <family val="2"/>
        <charset val="134"/>
        <scheme val="minor"/>
      </rPr>
      <t/>
    </r>
  </si>
  <si>
    <r>
      <t>1</t>
    </r>
    <r>
      <rPr>
        <sz val="11"/>
        <color theme="1"/>
        <rFont val="宋体"/>
        <family val="3"/>
        <charset val="134"/>
        <scheme val="minor"/>
      </rPr>
      <t>-1617</t>
    </r>
    <r>
      <rPr>
        <sz val="11"/>
        <color theme="1"/>
        <rFont val="宋体"/>
        <family val="2"/>
        <charset val="134"/>
        <scheme val="minor"/>
      </rPr>
      <t/>
    </r>
  </si>
  <si>
    <r>
      <t>1</t>
    </r>
    <r>
      <rPr>
        <sz val="11"/>
        <color theme="1"/>
        <rFont val="宋体"/>
        <family val="3"/>
        <charset val="134"/>
        <scheme val="minor"/>
      </rPr>
      <t>-1618</t>
    </r>
    <r>
      <rPr>
        <sz val="11"/>
        <color theme="1"/>
        <rFont val="宋体"/>
        <family val="2"/>
        <charset val="134"/>
        <scheme val="minor"/>
      </rPr>
      <t/>
    </r>
  </si>
  <si>
    <r>
      <t>1</t>
    </r>
    <r>
      <rPr>
        <sz val="11"/>
        <color theme="1"/>
        <rFont val="宋体"/>
        <family val="3"/>
        <charset val="134"/>
        <scheme val="minor"/>
      </rPr>
      <t>-1619</t>
    </r>
    <r>
      <rPr>
        <sz val="11"/>
        <color theme="1"/>
        <rFont val="宋体"/>
        <family val="2"/>
        <charset val="134"/>
        <scheme val="minor"/>
      </rPr>
      <t/>
    </r>
  </si>
  <si>
    <r>
      <t>1</t>
    </r>
    <r>
      <rPr>
        <sz val="11"/>
        <color theme="1"/>
        <rFont val="宋体"/>
        <family val="3"/>
        <charset val="134"/>
        <scheme val="minor"/>
      </rPr>
      <t>-1620</t>
    </r>
    <r>
      <rPr>
        <sz val="11"/>
        <color theme="1"/>
        <rFont val="宋体"/>
        <family val="2"/>
        <charset val="134"/>
        <scheme val="minor"/>
      </rPr>
      <t/>
    </r>
  </si>
  <si>
    <r>
      <t>2</t>
    </r>
    <r>
      <rPr>
        <sz val="11"/>
        <color theme="1"/>
        <rFont val="宋体"/>
        <family val="3"/>
        <charset val="134"/>
        <scheme val="minor"/>
      </rPr>
      <t>-1601</t>
    </r>
    <phoneticPr fontId="144" type="noConversion"/>
  </si>
  <si>
    <r>
      <t>2</t>
    </r>
    <r>
      <rPr>
        <sz val="11"/>
        <color theme="1"/>
        <rFont val="宋体"/>
        <family val="3"/>
        <charset val="134"/>
        <scheme val="minor"/>
      </rPr>
      <t>-1602</t>
    </r>
    <r>
      <rPr>
        <sz val="11"/>
        <color theme="1"/>
        <rFont val="宋体"/>
        <family val="2"/>
        <charset val="134"/>
        <scheme val="minor"/>
      </rPr>
      <t/>
    </r>
  </si>
  <si>
    <r>
      <t>2</t>
    </r>
    <r>
      <rPr>
        <sz val="11"/>
        <color theme="1"/>
        <rFont val="宋体"/>
        <family val="3"/>
        <charset val="134"/>
        <scheme val="minor"/>
      </rPr>
      <t>-1603</t>
    </r>
    <r>
      <rPr>
        <sz val="11"/>
        <color theme="1"/>
        <rFont val="宋体"/>
        <family val="2"/>
        <charset val="134"/>
        <scheme val="minor"/>
      </rPr>
      <t/>
    </r>
  </si>
  <si>
    <r>
      <t>2</t>
    </r>
    <r>
      <rPr>
        <sz val="11"/>
        <color theme="1"/>
        <rFont val="宋体"/>
        <family val="3"/>
        <charset val="134"/>
        <scheme val="minor"/>
      </rPr>
      <t>-1604</t>
    </r>
    <r>
      <rPr>
        <sz val="11"/>
        <color theme="1"/>
        <rFont val="宋体"/>
        <family val="2"/>
        <charset val="134"/>
        <scheme val="minor"/>
      </rPr>
      <t/>
    </r>
  </si>
  <si>
    <r>
      <t>2</t>
    </r>
    <r>
      <rPr>
        <sz val="11"/>
        <color theme="1"/>
        <rFont val="宋体"/>
        <family val="3"/>
        <charset val="134"/>
        <scheme val="minor"/>
      </rPr>
      <t>-1605</t>
    </r>
    <r>
      <rPr>
        <sz val="11"/>
        <color theme="1"/>
        <rFont val="宋体"/>
        <family val="2"/>
        <charset val="134"/>
        <scheme val="minor"/>
      </rPr>
      <t/>
    </r>
  </si>
  <si>
    <r>
      <t>2</t>
    </r>
    <r>
      <rPr>
        <sz val="11"/>
        <color theme="1"/>
        <rFont val="宋体"/>
        <family val="3"/>
        <charset val="134"/>
        <scheme val="minor"/>
      </rPr>
      <t>-1606</t>
    </r>
    <r>
      <rPr>
        <sz val="11"/>
        <color theme="1"/>
        <rFont val="宋体"/>
        <family val="2"/>
        <charset val="134"/>
        <scheme val="minor"/>
      </rPr>
      <t/>
    </r>
  </si>
  <si>
    <r>
      <t>2</t>
    </r>
    <r>
      <rPr>
        <sz val="11"/>
        <color theme="1"/>
        <rFont val="宋体"/>
        <family val="3"/>
        <charset val="134"/>
        <scheme val="minor"/>
      </rPr>
      <t>-1607</t>
    </r>
    <r>
      <rPr>
        <sz val="11"/>
        <color theme="1"/>
        <rFont val="宋体"/>
        <family val="2"/>
        <charset val="134"/>
        <scheme val="minor"/>
      </rPr>
      <t/>
    </r>
  </si>
  <si>
    <r>
      <t>2</t>
    </r>
    <r>
      <rPr>
        <sz val="11"/>
        <color theme="1"/>
        <rFont val="宋体"/>
        <family val="3"/>
        <charset val="134"/>
        <scheme val="minor"/>
      </rPr>
      <t>-1608</t>
    </r>
    <r>
      <rPr>
        <sz val="11"/>
        <color theme="1"/>
        <rFont val="宋体"/>
        <family val="2"/>
        <charset val="134"/>
        <scheme val="minor"/>
      </rPr>
      <t/>
    </r>
  </si>
  <si>
    <r>
      <t>2</t>
    </r>
    <r>
      <rPr>
        <sz val="11"/>
        <color theme="1"/>
        <rFont val="宋体"/>
        <family val="3"/>
        <charset val="134"/>
        <scheme val="minor"/>
      </rPr>
      <t>-1609</t>
    </r>
    <r>
      <rPr>
        <sz val="11"/>
        <color theme="1"/>
        <rFont val="宋体"/>
        <family val="2"/>
        <charset val="134"/>
        <scheme val="minor"/>
      </rPr>
      <t/>
    </r>
  </si>
  <si>
    <r>
      <t>2</t>
    </r>
    <r>
      <rPr>
        <sz val="11"/>
        <color theme="1"/>
        <rFont val="宋体"/>
        <family val="3"/>
        <charset val="134"/>
        <scheme val="minor"/>
      </rPr>
      <t>-1610</t>
    </r>
    <r>
      <rPr>
        <sz val="11"/>
        <color theme="1"/>
        <rFont val="宋体"/>
        <family val="2"/>
        <charset val="134"/>
        <scheme val="minor"/>
      </rPr>
      <t/>
    </r>
  </si>
  <si>
    <r>
      <t>2</t>
    </r>
    <r>
      <rPr>
        <sz val="11"/>
        <color theme="1"/>
        <rFont val="宋体"/>
        <family val="3"/>
        <charset val="134"/>
        <scheme val="minor"/>
      </rPr>
      <t>-1611</t>
    </r>
    <r>
      <rPr>
        <sz val="11"/>
        <color theme="1"/>
        <rFont val="宋体"/>
        <family val="2"/>
        <charset val="134"/>
        <scheme val="minor"/>
      </rPr>
      <t/>
    </r>
  </si>
  <si>
    <r>
      <t>2</t>
    </r>
    <r>
      <rPr>
        <sz val="11"/>
        <color theme="1"/>
        <rFont val="宋体"/>
        <family val="3"/>
        <charset val="134"/>
        <scheme val="minor"/>
      </rPr>
      <t>-1612</t>
    </r>
    <r>
      <rPr>
        <sz val="11"/>
        <color theme="1"/>
        <rFont val="宋体"/>
        <family val="2"/>
        <charset val="134"/>
        <scheme val="minor"/>
      </rPr>
      <t/>
    </r>
  </si>
  <si>
    <r>
      <t>2</t>
    </r>
    <r>
      <rPr>
        <sz val="11"/>
        <color theme="1"/>
        <rFont val="宋体"/>
        <family val="3"/>
        <charset val="134"/>
        <scheme val="minor"/>
      </rPr>
      <t>-1613</t>
    </r>
    <r>
      <rPr>
        <sz val="11"/>
        <color theme="1"/>
        <rFont val="宋体"/>
        <family val="2"/>
        <charset val="134"/>
        <scheme val="minor"/>
      </rPr>
      <t/>
    </r>
  </si>
  <si>
    <r>
      <t>2</t>
    </r>
    <r>
      <rPr>
        <sz val="11"/>
        <color theme="1"/>
        <rFont val="宋体"/>
        <family val="3"/>
        <charset val="134"/>
        <scheme val="minor"/>
      </rPr>
      <t>-1614</t>
    </r>
    <r>
      <rPr>
        <sz val="11"/>
        <color theme="1"/>
        <rFont val="宋体"/>
        <family val="2"/>
        <charset val="134"/>
        <scheme val="minor"/>
      </rPr>
      <t/>
    </r>
  </si>
  <si>
    <r>
      <t>2</t>
    </r>
    <r>
      <rPr>
        <sz val="11"/>
        <color theme="1"/>
        <rFont val="宋体"/>
        <family val="3"/>
        <charset val="134"/>
        <scheme val="minor"/>
      </rPr>
      <t>-1615</t>
    </r>
    <r>
      <rPr>
        <sz val="11"/>
        <color theme="1"/>
        <rFont val="宋体"/>
        <family val="2"/>
        <charset val="134"/>
        <scheme val="minor"/>
      </rPr>
      <t/>
    </r>
  </si>
  <si>
    <r>
      <t>2</t>
    </r>
    <r>
      <rPr>
        <sz val="11"/>
        <color theme="1"/>
        <rFont val="宋体"/>
        <family val="3"/>
        <charset val="134"/>
        <scheme val="minor"/>
      </rPr>
      <t>-1616</t>
    </r>
    <r>
      <rPr>
        <sz val="11"/>
        <color theme="1"/>
        <rFont val="宋体"/>
        <family val="2"/>
        <charset val="134"/>
        <scheme val="minor"/>
      </rPr>
      <t/>
    </r>
  </si>
  <si>
    <r>
      <t>2</t>
    </r>
    <r>
      <rPr>
        <sz val="11"/>
        <color theme="1"/>
        <rFont val="宋体"/>
        <family val="3"/>
        <charset val="134"/>
        <scheme val="minor"/>
      </rPr>
      <t>-1617</t>
    </r>
    <r>
      <rPr>
        <sz val="11"/>
        <color theme="1"/>
        <rFont val="宋体"/>
        <family val="2"/>
        <charset val="134"/>
        <scheme val="minor"/>
      </rPr>
      <t/>
    </r>
  </si>
  <si>
    <r>
      <t>2</t>
    </r>
    <r>
      <rPr>
        <sz val="11"/>
        <color theme="1"/>
        <rFont val="宋体"/>
        <family val="3"/>
        <charset val="134"/>
        <scheme val="minor"/>
      </rPr>
      <t>-1618</t>
    </r>
    <r>
      <rPr>
        <sz val="11"/>
        <color theme="1"/>
        <rFont val="宋体"/>
        <family val="2"/>
        <charset val="134"/>
        <scheme val="minor"/>
      </rPr>
      <t/>
    </r>
  </si>
  <si>
    <r>
      <t>2</t>
    </r>
    <r>
      <rPr>
        <sz val="11"/>
        <color theme="1"/>
        <rFont val="宋体"/>
        <family val="3"/>
        <charset val="134"/>
        <scheme val="minor"/>
      </rPr>
      <t>-1619</t>
    </r>
    <r>
      <rPr>
        <sz val="11"/>
        <color theme="1"/>
        <rFont val="宋体"/>
        <family val="2"/>
        <charset val="134"/>
        <scheme val="minor"/>
      </rPr>
      <t/>
    </r>
  </si>
  <si>
    <r>
      <t>2</t>
    </r>
    <r>
      <rPr>
        <sz val="11"/>
        <color theme="1"/>
        <rFont val="宋体"/>
        <family val="3"/>
        <charset val="134"/>
        <scheme val="minor"/>
      </rPr>
      <t>-1620</t>
    </r>
    <r>
      <rPr>
        <sz val="11"/>
        <color theme="1"/>
        <rFont val="宋体"/>
        <family val="2"/>
        <charset val="134"/>
        <scheme val="minor"/>
      </rPr>
      <t/>
    </r>
  </si>
  <si>
    <r>
      <t>3</t>
    </r>
    <r>
      <rPr>
        <sz val="11"/>
        <color theme="1"/>
        <rFont val="宋体"/>
        <family val="3"/>
        <charset val="134"/>
        <scheme val="minor"/>
      </rPr>
      <t>-1601</t>
    </r>
    <phoneticPr fontId="144" type="noConversion"/>
  </si>
  <si>
    <r>
      <t>3</t>
    </r>
    <r>
      <rPr>
        <sz val="11"/>
        <color theme="1"/>
        <rFont val="宋体"/>
        <family val="3"/>
        <charset val="134"/>
        <scheme val="minor"/>
      </rPr>
      <t>-1602</t>
    </r>
    <r>
      <rPr>
        <sz val="11"/>
        <color theme="1"/>
        <rFont val="宋体"/>
        <family val="2"/>
        <charset val="134"/>
        <scheme val="minor"/>
      </rPr>
      <t/>
    </r>
  </si>
  <si>
    <r>
      <t>3</t>
    </r>
    <r>
      <rPr>
        <sz val="11"/>
        <color theme="1"/>
        <rFont val="宋体"/>
        <family val="3"/>
        <charset val="134"/>
        <scheme val="minor"/>
      </rPr>
      <t>-1603</t>
    </r>
    <r>
      <rPr>
        <sz val="11"/>
        <color theme="1"/>
        <rFont val="宋体"/>
        <family val="2"/>
        <charset val="134"/>
        <scheme val="minor"/>
      </rPr>
      <t/>
    </r>
  </si>
  <si>
    <r>
      <t>3</t>
    </r>
    <r>
      <rPr>
        <sz val="11"/>
        <color theme="1"/>
        <rFont val="宋体"/>
        <family val="3"/>
        <charset val="134"/>
        <scheme val="minor"/>
      </rPr>
      <t>-1604</t>
    </r>
    <r>
      <rPr>
        <sz val="11"/>
        <color theme="1"/>
        <rFont val="宋体"/>
        <family val="2"/>
        <charset val="134"/>
        <scheme val="minor"/>
      </rPr>
      <t/>
    </r>
  </si>
  <si>
    <r>
      <t>3</t>
    </r>
    <r>
      <rPr>
        <sz val="11"/>
        <color theme="1"/>
        <rFont val="宋体"/>
        <family val="3"/>
        <charset val="134"/>
        <scheme val="minor"/>
      </rPr>
      <t>-1605</t>
    </r>
    <r>
      <rPr>
        <sz val="11"/>
        <color theme="1"/>
        <rFont val="宋体"/>
        <family val="2"/>
        <charset val="134"/>
        <scheme val="minor"/>
      </rPr>
      <t/>
    </r>
  </si>
  <si>
    <r>
      <t>3</t>
    </r>
    <r>
      <rPr>
        <sz val="11"/>
        <color theme="1"/>
        <rFont val="宋体"/>
        <family val="3"/>
        <charset val="134"/>
        <scheme val="minor"/>
      </rPr>
      <t>-1606</t>
    </r>
    <r>
      <rPr>
        <sz val="11"/>
        <color theme="1"/>
        <rFont val="宋体"/>
        <family val="2"/>
        <charset val="134"/>
        <scheme val="minor"/>
      </rPr>
      <t/>
    </r>
  </si>
  <si>
    <r>
      <t>3</t>
    </r>
    <r>
      <rPr>
        <sz val="11"/>
        <color theme="1"/>
        <rFont val="宋体"/>
        <family val="3"/>
        <charset val="134"/>
        <scheme val="minor"/>
      </rPr>
      <t>-1607</t>
    </r>
    <r>
      <rPr>
        <sz val="11"/>
        <color theme="1"/>
        <rFont val="宋体"/>
        <family val="2"/>
        <charset val="134"/>
        <scheme val="minor"/>
      </rPr>
      <t/>
    </r>
  </si>
  <si>
    <r>
      <t>3</t>
    </r>
    <r>
      <rPr>
        <sz val="11"/>
        <color theme="1"/>
        <rFont val="宋体"/>
        <family val="3"/>
        <charset val="134"/>
        <scheme val="minor"/>
      </rPr>
      <t>-1608</t>
    </r>
    <r>
      <rPr>
        <sz val="11"/>
        <color theme="1"/>
        <rFont val="宋体"/>
        <family val="2"/>
        <charset val="134"/>
        <scheme val="minor"/>
      </rPr>
      <t/>
    </r>
  </si>
  <si>
    <r>
      <t>3</t>
    </r>
    <r>
      <rPr>
        <sz val="11"/>
        <color theme="1"/>
        <rFont val="宋体"/>
        <family val="3"/>
        <charset val="134"/>
        <scheme val="minor"/>
      </rPr>
      <t>-1609</t>
    </r>
    <r>
      <rPr>
        <sz val="11"/>
        <color theme="1"/>
        <rFont val="宋体"/>
        <family val="2"/>
        <charset val="134"/>
        <scheme val="minor"/>
      </rPr>
      <t/>
    </r>
  </si>
  <si>
    <r>
      <t>3</t>
    </r>
    <r>
      <rPr>
        <sz val="11"/>
        <color theme="1"/>
        <rFont val="宋体"/>
        <family val="3"/>
        <charset val="134"/>
        <scheme val="minor"/>
      </rPr>
      <t>-1610</t>
    </r>
    <r>
      <rPr>
        <sz val="11"/>
        <color theme="1"/>
        <rFont val="宋体"/>
        <family val="2"/>
        <charset val="134"/>
        <scheme val="minor"/>
      </rPr>
      <t/>
    </r>
  </si>
  <si>
    <r>
      <t>3</t>
    </r>
    <r>
      <rPr>
        <sz val="11"/>
        <color theme="1"/>
        <rFont val="宋体"/>
        <family val="3"/>
        <charset val="134"/>
        <scheme val="minor"/>
      </rPr>
      <t>-1611</t>
    </r>
    <r>
      <rPr>
        <sz val="11"/>
        <color theme="1"/>
        <rFont val="宋体"/>
        <family val="2"/>
        <charset val="134"/>
        <scheme val="minor"/>
      </rPr>
      <t/>
    </r>
  </si>
  <si>
    <r>
      <t>3</t>
    </r>
    <r>
      <rPr>
        <sz val="11"/>
        <color theme="1"/>
        <rFont val="宋体"/>
        <family val="3"/>
        <charset val="134"/>
        <scheme val="minor"/>
      </rPr>
      <t>-1612</t>
    </r>
    <r>
      <rPr>
        <sz val="11"/>
        <color theme="1"/>
        <rFont val="宋体"/>
        <family val="2"/>
        <charset val="134"/>
        <scheme val="minor"/>
      </rPr>
      <t/>
    </r>
  </si>
  <si>
    <r>
      <t>3</t>
    </r>
    <r>
      <rPr>
        <sz val="11"/>
        <color theme="1"/>
        <rFont val="宋体"/>
        <family val="3"/>
        <charset val="134"/>
        <scheme val="minor"/>
      </rPr>
      <t>-1613</t>
    </r>
    <r>
      <rPr>
        <sz val="11"/>
        <color theme="1"/>
        <rFont val="宋体"/>
        <family val="2"/>
        <charset val="134"/>
        <scheme val="minor"/>
      </rPr>
      <t/>
    </r>
  </si>
  <si>
    <r>
      <t>3</t>
    </r>
    <r>
      <rPr>
        <sz val="11"/>
        <color theme="1"/>
        <rFont val="宋体"/>
        <family val="3"/>
        <charset val="134"/>
        <scheme val="minor"/>
      </rPr>
      <t>-1614</t>
    </r>
    <r>
      <rPr>
        <sz val="11"/>
        <color theme="1"/>
        <rFont val="宋体"/>
        <family val="2"/>
        <charset val="134"/>
        <scheme val="minor"/>
      </rPr>
      <t/>
    </r>
  </si>
  <si>
    <r>
      <t>3</t>
    </r>
    <r>
      <rPr>
        <sz val="11"/>
        <color theme="1"/>
        <rFont val="宋体"/>
        <family val="3"/>
        <charset val="134"/>
        <scheme val="minor"/>
      </rPr>
      <t>-1615</t>
    </r>
    <r>
      <rPr>
        <sz val="11"/>
        <color theme="1"/>
        <rFont val="宋体"/>
        <family val="2"/>
        <charset val="134"/>
        <scheme val="minor"/>
      </rPr>
      <t/>
    </r>
  </si>
  <si>
    <r>
      <t>3</t>
    </r>
    <r>
      <rPr>
        <sz val="11"/>
        <color theme="1"/>
        <rFont val="宋体"/>
        <family val="3"/>
        <charset val="134"/>
        <scheme val="minor"/>
      </rPr>
      <t>-1616</t>
    </r>
    <r>
      <rPr>
        <sz val="11"/>
        <color theme="1"/>
        <rFont val="宋体"/>
        <family val="2"/>
        <charset val="134"/>
        <scheme val="minor"/>
      </rPr>
      <t/>
    </r>
  </si>
  <si>
    <r>
      <t>3</t>
    </r>
    <r>
      <rPr>
        <sz val="11"/>
        <color theme="1"/>
        <rFont val="宋体"/>
        <family val="3"/>
        <charset val="134"/>
        <scheme val="minor"/>
      </rPr>
      <t>-1617</t>
    </r>
    <r>
      <rPr>
        <sz val="11"/>
        <color theme="1"/>
        <rFont val="宋体"/>
        <family val="2"/>
        <charset val="134"/>
        <scheme val="minor"/>
      </rPr>
      <t/>
    </r>
  </si>
  <si>
    <r>
      <t>3</t>
    </r>
    <r>
      <rPr>
        <sz val="11"/>
        <color theme="1"/>
        <rFont val="宋体"/>
        <family val="3"/>
        <charset val="134"/>
        <scheme val="minor"/>
      </rPr>
      <t>-1618</t>
    </r>
    <r>
      <rPr>
        <sz val="11"/>
        <color theme="1"/>
        <rFont val="宋体"/>
        <family val="2"/>
        <charset val="134"/>
        <scheme val="minor"/>
      </rPr>
      <t/>
    </r>
  </si>
  <si>
    <r>
      <t>3</t>
    </r>
    <r>
      <rPr>
        <sz val="11"/>
        <color theme="1"/>
        <rFont val="宋体"/>
        <family val="3"/>
        <charset val="134"/>
        <scheme val="minor"/>
      </rPr>
      <t>-1619</t>
    </r>
    <r>
      <rPr>
        <sz val="11"/>
        <color theme="1"/>
        <rFont val="宋体"/>
        <family val="2"/>
        <charset val="134"/>
        <scheme val="minor"/>
      </rPr>
      <t/>
    </r>
  </si>
  <si>
    <r>
      <t>3</t>
    </r>
    <r>
      <rPr>
        <sz val="11"/>
        <color theme="1"/>
        <rFont val="宋体"/>
        <family val="3"/>
        <charset val="134"/>
        <scheme val="minor"/>
      </rPr>
      <t>-1620</t>
    </r>
    <r>
      <rPr>
        <sz val="11"/>
        <color theme="1"/>
        <rFont val="宋体"/>
        <family val="2"/>
        <charset val="134"/>
        <scheme val="minor"/>
      </rPr>
      <t/>
    </r>
  </si>
  <si>
    <r>
      <t>3</t>
    </r>
    <r>
      <rPr>
        <sz val="11"/>
        <color theme="1"/>
        <rFont val="宋体"/>
        <family val="3"/>
        <charset val="134"/>
        <scheme val="minor"/>
      </rPr>
      <t>-1621</t>
    </r>
    <r>
      <rPr>
        <sz val="11"/>
        <color theme="1"/>
        <rFont val="宋体"/>
        <family val="2"/>
        <charset val="134"/>
        <scheme val="minor"/>
      </rPr>
      <t/>
    </r>
  </si>
  <si>
    <r>
      <t>3</t>
    </r>
    <r>
      <rPr>
        <sz val="11"/>
        <color theme="1"/>
        <rFont val="宋体"/>
        <family val="3"/>
        <charset val="134"/>
        <scheme val="minor"/>
      </rPr>
      <t>-1622</t>
    </r>
    <r>
      <rPr>
        <sz val="11"/>
        <color theme="1"/>
        <rFont val="宋体"/>
        <family val="2"/>
        <charset val="134"/>
        <scheme val="minor"/>
      </rPr>
      <t/>
    </r>
  </si>
  <si>
    <r>
      <t>3</t>
    </r>
    <r>
      <rPr>
        <sz val="11"/>
        <color theme="1"/>
        <rFont val="宋体"/>
        <family val="3"/>
        <charset val="134"/>
        <scheme val="minor"/>
      </rPr>
      <t>-1623</t>
    </r>
    <r>
      <rPr>
        <sz val="11"/>
        <color theme="1"/>
        <rFont val="宋体"/>
        <family val="2"/>
        <charset val="134"/>
        <scheme val="minor"/>
      </rPr>
      <t/>
    </r>
  </si>
  <si>
    <r>
      <t>3</t>
    </r>
    <r>
      <rPr>
        <sz val="11"/>
        <color theme="1"/>
        <rFont val="宋体"/>
        <family val="3"/>
        <charset val="134"/>
        <scheme val="minor"/>
      </rPr>
      <t>-1624</t>
    </r>
    <r>
      <rPr>
        <sz val="11"/>
        <color theme="1"/>
        <rFont val="宋体"/>
        <family val="2"/>
        <charset val="134"/>
        <scheme val="minor"/>
      </rPr>
      <t/>
    </r>
  </si>
  <si>
    <r>
      <t>3</t>
    </r>
    <r>
      <rPr>
        <sz val="11"/>
        <color theme="1"/>
        <rFont val="宋体"/>
        <family val="3"/>
        <charset val="134"/>
        <scheme val="minor"/>
      </rPr>
      <t>-1625</t>
    </r>
    <r>
      <rPr>
        <sz val="11"/>
        <color theme="1"/>
        <rFont val="宋体"/>
        <family val="2"/>
        <charset val="134"/>
        <scheme val="minor"/>
      </rPr>
      <t/>
    </r>
  </si>
  <si>
    <r>
      <t>3</t>
    </r>
    <r>
      <rPr>
        <sz val="11"/>
        <color theme="1"/>
        <rFont val="宋体"/>
        <family val="3"/>
        <charset val="134"/>
        <scheme val="minor"/>
      </rPr>
      <t>-1626</t>
    </r>
    <r>
      <rPr>
        <sz val="11"/>
        <color theme="1"/>
        <rFont val="宋体"/>
        <family val="2"/>
        <charset val="134"/>
        <scheme val="minor"/>
      </rPr>
      <t/>
    </r>
  </si>
  <si>
    <r>
      <t>3</t>
    </r>
    <r>
      <rPr>
        <sz val="11"/>
        <color theme="1"/>
        <rFont val="宋体"/>
        <family val="3"/>
        <charset val="134"/>
        <scheme val="minor"/>
      </rPr>
      <t>-1627</t>
    </r>
    <r>
      <rPr>
        <sz val="11"/>
        <color theme="1"/>
        <rFont val="宋体"/>
        <family val="2"/>
        <charset val="134"/>
        <scheme val="minor"/>
      </rPr>
      <t/>
    </r>
  </si>
  <si>
    <r>
      <t>3</t>
    </r>
    <r>
      <rPr>
        <sz val="11"/>
        <color theme="1"/>
        <rFont val="宋体"/>
        <family val="3"/>
        <charset val="134"/>
        <scheme val="minor"/>
      </rPr>
      <t>-1628</t>
    </r>
    <r>
      <rPr>
        <sz val="11"/>
        <color theme="1"/>
        <rFont val="宋体"/>
        <family val="2"/>
        <charset val="134"/>
        <scheme val="minor"/>
      </rPr>
      <t/>
    </r>
  </si>
  <si>
    <r>
      <t>3</t>
    </r>
    <r>
      <rPr>
        <sz val="11"/>
        <color theme="1"/>
        <rFont val="宋体"/>
        <family val="3"/>
        <charset val="134"/>
        <scheme val="minor"/>
      </rPr>
      <t>-1629</t>
    </r>
    <r>
      <rPr>
        <sz val="11"/>
        <color theme="1"/>
        <rFont val="宋体"/>
        <family val="2"/>
        <charset val="134"/>
        <scheme val="minor"/>
      </rPr>
      <t/>
    </r>
  </si>
  <si>
    <r>
      <t>3</t>
    </r>
    <r>
      <rPr>
        <sz val="11"/>
        <color theme="1"/>
        <rFont val="宋体"/>
        <family val="3"/>
        <charset val="134"/>
        <scheme val="minor"/>
      </rPr>
      <t>-1630</t>
    </r>
    <r>
      <rPr>
        <sz val="11"/>
        <color theme="1"/>
        <rFont val="宋体"/>
        <family val="2"/>
        <charset val="134"/>
        <scheme val="minor"/>
      </rPr>
      <t/>
    </r>
  </si>
  <si>
    <r>
      <t>3</t>
    </r>
    <r>
      <rPr>
        <sz val="11"/>
        <color theme="1"/>
        <rFont val="宋体"/>
        <family val="3"/>
        <charset val="134"/>
        <scheme val="minor"/>
      </rPr>
      <t>-1631</t>
    </r>
    <r>
      <rPr>
        <sz val="11"/>
        <color theme="1"/>
        <rFont val="宋体"/>
        <family val="2"/>
        <charset val="134"/>
        <scheme val="minor"/>
      </rPr>
      <t/>
    </r>
  </si>
  <si>
    <r>
      <t>3</t>
    </r>
    <r>
      <rPr>
        <sz val="11"/>
        <color theme="1"/>
        <rFont val="宋体"/>
        <family val="3"/>
        <charset val="134"/>
        <scheme val="minor"/>
      </rPr>
      <t>-1632</t>
    </r>
    <r>
      <rPr>
        <sz val="11"/>
        <color theme="1"/>
        <rFont val="宋体"/>
        <family val="2"/>
        <charset val="134"/>
        <scheme val="minor"/>
      </rPr>
      <t/>
    </r>
  </si>
  <si>
    <r>
      <t>3</t>
    </r>
    <r>
      <rPr>
        <sz val="11"/>
        <color theme="1"/>
        <rFont val="宋体"/>
        <family val="3"/>
        <charset val="134"/>
        <scheme val="minor"/>
      </rPr>
      <t>-1633</t>
    </r>
    <r>
      <rPr>
        <sz val="11"/>
        <color theme="1"/>
        <rFont val="宋体"/>
        <family val="2"/>
        <charset val="134"/>
        <scheme val="minor"/>
      </rPr>
      <t/>
    </r>
  </si>
  <si>
    <r>
      <t>3</t>
    </r>
    <r>
      <rPr>
        <sz val="11"/>
        <color theme="1"/>
        <rFont val="宋体"/>
        <family val="3"/>
        <charset val="134"/>
        <scheme val="minor"/>
      </rPr>
      <t>-1634</t>
    </r>
    <r>
      <rPr>
        <sz val="11"/>
        <color theme="1"/>
        <rFont val="宋体"/>
        <family val="2"/>
        <charset val="134"/>
        <scheme val="minor"/>
      </rPr>
      <t/>
    </r>
  </si>
  <si>
    <r>
      <t>3</t>
    </r>
    <r>
      <rPr>
        <sz val="11"/>
        <color theme="1"/>
        <rFont val="宋体"/>
        <family val="3"/>
        <charset val="134"/>
        <scheme val="minor"/>
      </rPr>
      <t>-1635</t>
    </r>
    <r>
      <rPr>
        <sz val="11"/>
        <color theme="1"/>
        <rFont val="宋体"/>
        <family val="2"/>
        <charset val="134"/>
        <scheme val="minor"/>
      </rPr>
      <t/>
    </r>
  </si>
  <si>
    <r>
      <t>3</t>
    </r>
    <r>
      <rPr>
        <sz val="11"/>
        <color theme="1"/>
        <rFont val="宋体"/>
        <family val="3"/>
        <charset val="134"/>
        <scheme val="minor"/>
      </rPr>
      <t>-1636</t>
    </r>
    <r>
      <rPr>
        <sz val="11"/>
        <color theme="1"/>
        <rFont val="宋体"/>
        <family val="2"/>
        <charset val="134"/>
        <scheme val="minor"/>
      </rPr>
      <t/>
    </r>
  </si>
  <si>
    <r>
      <t>3</t>
    </r>
    <r>
      <rPr>
        <sz val="11"/>
        <color theme="1"/>
        <rFont val="宋体"/>
        <family val="3"/>
        <charset val="134"/>
        <scheme val="minor"/>
      </rPr>
      <t>-1637</t>
    </r>
    <r>
      <rPr>
        <sz val="11"/>
        <color theme="1"/>
        <rFont val="宋体"/>
        <family val="2"/>
        <charset val="134"/>
        <scheme val="minor"/>
      </rPr>
      <t/>
    </r>
  </si>
  <si>
    <r>
      <t>3</t>
    </r>
    <r>
      <rPr>
        <sz val="11"/>
        <color theme="1"/>
        <rFont val="宋体"/>
        <family val="3"/>
        <charset val="134"/>
        <scheme val="minor"/>
      </rPr>
      <t>-1638</t>
    </r>
    <r>
      <rPr>
        <sz val="11"/>
        <color theme="1"/>
        <rFont val="宋体"/>
        <family val="2"/>
        <charset val="134"/>
        <scheme val="minor"/>
      </rPr>
      <t/>
    </r>
  </si>
  <si>
    <r>
      <t>3</t>
    </r>
    <r>
      <rPr>
        <sz val="11"/>
        <color theme="1"/>
        <rFont val="宋体"/>
        <family val="3"/>
        <charset val="134"/>
        <scheme val="minor"/>
      </rPr>
      <t>-1639</t>
    </r>
    <r>
      <rPr>
        <sz val="11"/>
        <color theme="1"/>
        <rFont val="宋体"/>
        <family val="2"/>
        <charset val="134"/>
        <scheme val="minor"/>
      </rPr>
      <t/>
    </r>
  </si>
  <si>
    <r>
      <t>3</t>
    </r>
    <r>
      <rPr>
        <sz val="11"/>
        <color theme="1"/>
        <rFont val="宋体"/>
        <family val="3"/>
        <charset val="134"/>
        <scheme val="minor"/>
      </rPr>
      <t>-1640</t>
    </r>
    <r>
      <rPr>
        <sz val="11"/>
        <color theme="1"/>
        <rFont val="宋体"/>
        <family val="2"/>
        <charset val="134"/>
        <scheme val="minor"/>
      </rPr>
      <t/>
    </r>
  </si>
  <si>
    <r>
      <t>3</t>
    </r>
    <r>
      <rPr>
        <sz val="11"/>
        <color theme="1"/>
        <rFont val="宋体"/>
        <family val="3"/>
        <charset val="134"/>
        <scheme val="minor"/>
      </rPr>
      <t>-1641</t>
    </r>
    <r>
      <rPr>
        <sz val="11"/>
        <color theme="1"/>
        <rFont val="宋体"/>
        <family val="2"/>
        <charset val="134"/>
        <scheme val="minor"/>
      </rPr>
      <t/>
    </r>
  </si>
  <si>
    <r>
      <t>3</t>
    </r>
    <r>
      <rPr>
        <sz val="11"/>
        <color theme="1"/>
        <rFont val="宋体"/>
        <family val="3"/>
        <charset val="134"/>
        <scheme val="minor"/>
      </rPr>
      <t>-1642</t>
    </r>
    <r>
      <rPr>
        <sz val="11"/>
        <color theme="1"/>
        <rFont val="宋体"/>
        <family val="2"/>
        <charset val="134"/>
        <scheme val="minor"/>
      </rPr>
      <t/>
    </r>
  </si>
  <si>
    <r>
      <t>3</t>
    </r>
    <r>
      <rPr>
        <sz val="11"/>
        <color theme="1"/>
        <rFont val="宋体"/>
        <family val="3"/>
        <charset val="134"/>
        <scheme val="minor"/>
      </rPr>
      <t>-1643</t>
    </r>
    <r>
      <rPr>
        <sz val="11"/>
        <color theme="1"/>
        <rFont val="宋体"/>
        <family val="2"/>
        <charset val="134"/>
        <scheme val="minor"/>
      </rPr>
      <t/>
    </r>
  </si>
  <si>
    <r>
      <t>3</t>
    </r>
    <r>
      <rPr>
        <sz val="11"/>
        <color theme="1"/>
        <rFont val="宋体"/>
        <family val="3"/>
        <charset val="134"/>
        <scheme val="minor"/>
      </rPr>
      <t>-1644</t>
    </r>
    <r>
      <rPr>
        <sz val="11"/>
        <color theme="1"/>
        <rFont val="宋体"/>
        <family val="2"/>
        <charset val="134"/>
        <scheme val="minor"/>
      </rPr>
      <t/>
    </r>
  </si>
  <si>
    <r>
      <t>3</t>
    </r>
    <r>
      <rPr>
        <sz val="11"/>
        <color theme="1"/>
        <rFont val="宋体"/>
        <family val="3"/>
        <charset val="134"/>
        <scheme val="minor"/>
      </rPr>
      <t>-1645</t>
    </r>
    <r>
      <rPr>
        <sz val="11"/>
        <color theme="1"/>
        <rFont val="宋体"/>
        <family val="2"/>
        <charset val="134"/>
        <scheme val="minor"/>
      </rPr>
      <t/>
    </r>
  </si>
  <si>
    <r>
      <t>3</t>
    </r>
    <r>
      <rPr>
        <sz val="11"/>
        <color theme="1"/>
        <rFont val="宋体"/>
        <family val="3"/>
        <charset val="134"/>
        <scheme val="minor"/>
      </rPr>
      <t>-1646</t>
    </r>
    <r>
      <rPr>
        <sz val="11"/>
        <color theme="1"/>
        <rFont val="宋体"/>
        <family val="2"/>
        <charset val="134"/>
        <scheme val="minor"/>
      </rPr>
      <t/>
    </r>
  </si>
  <si>
    <r>
      <t>3</t>
    </r>
    <r>
      <rPr>
        <sz val="11"/>
        <color theme="1"/>
        <rFont val="宋体"/>
        <family val="3"/>
        <charset val="134"/>
        <scheme val="minor"/>
      </rPr>
      <t>-1647</t>
    </r>
    <r>
      <rPr>
        <sz val="11"/>
        <color theme="1"/>
        <rFont val="宋体"/>
        <family val="2"/>
        <charset val="134"/>
        <scheme val="minor"/>
      </rPr>
      <t/>
    </r>
  </si>
  <si>
    <r>
      <t>3</t>
    </r>
    <r>
      <rPr>
        <sz val="11"/>
        <color theme="1"/>
        <rFont val="宋体"/>
        <family val="3"/>
        <charset val="134"/>
        <scheme val="minor"/>
      </rPr>
      <t>-1648</t>
    </r>
    <r>
      <rPr>
        <sz val="11"/>
        <color theme="1"/>
        <rFont val="宋体"/>
        <family val="2"/>
        <charset val="134"/>
        <scheme val="minor"/>
      </rPr>
      <t/>
    </r>
  </si>
  <si>
    <r>
      <t>3</t>
    </r>
    <r>
      <rPr>
        <sz val="11"/>
        <color theme="1"/>
        <rFont val="宋体"/>
        <family val="3"/>
        <charset val="134"/>
        <scheme val="minor"/>
      </rPr>
      <t>-1649</t>
    </r>
    <r>
      <rPr>
        <sz val="11"/>
        <color theme="1"/>
        <rFont val="宋体"/>
        <family val="2"/>
        <charset val="134"/>
        <scheme val="minor"/>
      </rPr>
      <t/>
    </r>
  </si>
  <si>
    <r>
      <t>3</t>
    </r>
    <r>
      <rPr>
        <sz val="11"/>
        <color theme="1"/>
        <rFont val="宋体"/>
        <family val="3"/>
        <charset val="134"/>
        <scheme val="minor"/>
      </rPr>
      <t>-1650</t>
    </r>
    <r>
      <rPr>
        <sz val="11"/>
        <color theme="1"/>
        <rFont val="宋体"/>
        <family val="2"/>
        <charset val="134"/>
        <scheme val="minor"/>
      </rPr>
      <t/>
    </r>
  </si>
  <si>
    <r>
      <t>3</t>
    </r>
    <r>
      <rPr>
        <sz val="11"/>
        <color theme="1"/>
        <rFont val="宋体"/>
        <family val="3"/>
        <charset val="134"/>
        <scheme val="minor"/>
      </rPr>
      <t>-1651</t>
    </r>
    <r>
      <rPr>
        <sz val="11"/>
        <color theme="1"/>
        <rFont val="宋体"/>
        <family val="2"/>
        <charset val="134"/>
        <scheme val="minor"/>
      </rPr>
      <t/>
    </r>
  </si>
  <si>
    <r>
      <t>3</t>
    </r>
    <r>
      <rPr>
        <sz val="11"/>
        <color theme="1"/>
        <rFont val="宋体"/>
        <family val="3"/>
        <charset val="134"/>
        <scheme val="minor"/>
      </rPr>
      <t>-1652</t>
    </r>
    <r>
      <rPr>
        <sz val="11"/>
        <color theme="1"/>
        <rFont val="宋体"/>
        <family val="2"/>
        <charset val="134"/>
        <scheme val="minor"/>
      </rPr>
      <t/>
    </r>
  </si>
  <si>
    <r>
      <t>4</t>
    </r>
    <r>
      <rPr>
        <sz val="11"/>
        <color theme="1"/>
        <rFont val="宋体"/>
        <family val="3"/>
        <charset val="134"/>
        <scheme val="minor"/>
      </rPr>
      <t>-1601</t>
    </r>
    <phoneticPr fontId="144" type="noConversion"/>
  </si>
  <si>
    <r>
      <t>4</t>
    </r>
    <r>
      <rPr>
        <sz val="11"/>
        <color theme="1"/>
        <rFont val="宋体"/>
        <family val="3"/>
        <charset val="134"/>
        <scheme val="minor"/>
      </rPr>
      <t>-1602</t>
    </r>
    <r>
      <rPr>
        <sz val="11"/>
        <color theme="1"/>
        <rFont val="宋体"/>
        <family val="2"/>
        <charset val="134"/>
        <scheme val="minor"/>
      </rPr>
      <t/>
    </r>
  </si>
  <si>
    <r>
      <t>4</t>
    </r>
    <r>
      <rPr>
        <sz val="11"/>
        <color theme="1"/>
        <rFont val="宋体"/>
        <family val="3"/>
        <charset val="134"/>
        <scheme val="minor"/>
      </rPr>
      <t>-1603</t>
    </r>
    <r>
      <rPr>
        <sz val="11"/>
        <color theme="1"/>
        <rFont val="宋体"/>
        <family val="2"/>
        <charset val="134"/>
        <scheme val="minor"/>
      </rPr>
      <t/>
    </r>
  </si>
  <si>
    <r>
      <t>4</t>
    </r>
    <r>
      <rPr>
        <sz val="11"/>
        <color theme="1"/>
        <rFont val="宋体"/>
        <family val="3"/>
        <charset val="134"/>
        <scheme val="minor"/>
      </rPr>
      <t>-1604</t>
    </r>
    <r>
      <rPr>
        <sz val="11"/>
        <color theme="1"/>
        <rFont val="宋体"/>
        <family val="2"/>
        <charset val="134"/>
        <scheme val="minor"/>
      </rPr>
      <t/>
    </r>
  </si>
  <si>
    <r>
      <t>4</t>
    </r>
    <r>
      <rPr>
        <sz val="11"/>
        <color theme="1"/>
        <rFont val="宋体"/>
        <family val="3"/>
        <charset val="134"/>
        <scheme val="minor"/>
      </rPr>
      <t>-1605</t>
    </r>
    <r>
      <rPr>
        <sz val="11"/>
        <color theme="1"/>
        <rFont val="宋体"/>
        <family val="2"/>
        <charset val="134"/>
        <scheme val="minor"/>
      </rPr>
      <t/>
    </r>
  </si>
  <si>
    <r>
      <t>4</t>
    </r>
    <r>
      <rPr>
        <sz val="11"/>
        <color theme="1"/>
        <rFont val="宋体"/>
        <family val="3"/>
        <charset val="134"/>
        <scheme val="minor"/>
      </rPr>
      <t>-1606</t>
    </r>
    <r>
      <rPr>
        <sz val="11"/>
        <color theme="1"/>
        <rFont val="宋体"/>
        <family val="2"/>
        <charset val="134"/>
        <scheme val="minor"/>
      </rPr>
      <t/>
    </r>
  </si>
  <si>
    <r>
      <t>4</t>
    </r>
    <r>
      <rPr>
        <sz val="11"/>
        <color theme="1"/>
        <rFont val="宋体"/>
        <family val="3"/>
        <charset val="134"/>
        <scheme val="minor"/>
      </rPr>
      <t>-1607</t>
    </r>
    <r>
      <rPr>
        <sz val="11"/>
        <color theme="1"/>
        <rFont val="宋体"/>
        <family val="2"/>
        <charset val="134"/>
        <scheme val="minor"/>
      </rPr>
      <t/>
    </r>
  </si>
  <si>
    <r>
      <t>4</t>
    </r>
    <r>
      <rPr>
        <sz val="11"/>
        <color theme="1"/>
        <rFont val="宋体"/>
        <family val="3"/>
        <charset val="134"/>
        <scheme val="minor"/>
      </rPr>
      <t>-1608</t>
    </r>
    <r>
      <rPr>
        <sz val="11"/>
        <color theme="1"/>
        <rFont val="宋体"/>
        <family val="2"/>
        <charset val="134"/>
        <scheme val="minor"/>
      </rPr>
      <t/>
    </r>
  </si>
  <si>
    <r>
      <t>4</t>
    </r>
    <r>
      <rPr>
        <sz val="11"/>
        <color theme="1"/>
        <rFont val="宋体"/>
        <family val="3"/>
        <charset val="134"/>
        <scheme val="minor"/>
      </rPr>
      <t>-1609</t>
    </r>
    <r>
      <rPr>
        <sz val="11"/>
        <color theme="1"/>
        <rFont val="宋体"/>
        <family val="2"/>
        <charset val="134"/>
        <scheme val="minor"/>
      </rPr>
      <t/>
    </r>
  </si>
  <si>
    <r>
      <t>4</t>
    </r>
    <r>
      <rPr>
        <sz val="11"/>
        <color theme="1"/>
        <rFont val="宋体"/>
        <family val="3"/>
        <charset val="134"/>
        <scheme val="minor"/>
      </rPr>
      <t>-1610</t>
    </r>
    <r>
      <rPr>
        <sz val="11"/>
        <color theme="1"/>
        <rFont val="宋体"/>
        <family val="2"/>
        <charset val="134"/>
        <scheme val="minor"/>
      </rPr>
      <t/>
    </r>
  </si>
  <si>
    <r>
      <t>4</t>
    </r>
    <r>
      <rPr>
        <sz val="11"/>
        <color theme="1"/>
        <rFont val="宋体"/>
        <family val="3"/>
        <charset val="134"/>
        <scheme val="minor"/>
      </rPr>
      <t>-1611</t>
    </r>
    <r>
      <rPr>
        <sz val="11"/>
        <color theme="1"/>
        <rFont val="宋体"/>
        <family val="2"/>
        <charset val="134"/>
        <scheme val="minor"/>
      </rPr>
      <t/>
    </r>
  </si>
  <si>
    <r>
      <t>4</t>
    </r>
    <r>
      <rPr>
        <sz val="11"/>
        <color theme="1"/>
        <rFont val="宋体"/>
        <family val="3"/>
        <charset val="134"/>
        <scheme val="minor"/>
      </rPr>
      <t>-1612</t>
    </r>
    <r>
      <rPr>
        <sz val="11"/>
        <color theme="1"/>
        <rFont val="宋体"/>
        <family val="2"/>
        <charset val="134"/>
        <scheme val="minor"/>
      </rPr>
      <t/>
    </r>
  </si>
  <si>
    <r>
      <t>4</t>
    </r>
    <r>
      <rPr>
        <sz val="11"/>
        <color theme="1"/>
        <rFont val="宋体"/>
        <family val="3"/>
        <charset val="134"/>
        <scheme val="minor"/>
      </rPr>
      <t>-1613</t>
    </r>
    <r>
      <rPr>
        <sz val="11"/>
        <color theme="1"/>
        <rFont val="宋体"/>
        <family val="2"/>
        <charset val="134"/>
        <scheme val="minor"/>
      </rPr>
      <t/>
    </r>
  </si>
  <si>
    <r>
      <t>4</t>
    </r>
    <r>
      <rPr>
        <sz val="11"/>
        <color theme="1"/>
        <rFont val="宋体"/>
        <family val="3"/>
        <charset val="134"/>
        <scheme val="minor"/>
      </rPr>
      <t>-1614</t>
    </r>
    <r>
      <rPr>
        <sz val="11"/>
        <color theme="1"/>
        <rFont val="宋体"/>
        <family val="2"/>
        <charset val="134"/>
        <scheme val="minor"/>
      </rPr>
      <t/>
    </r>
  </si>
  <si>
    <r>
      <t>4</t>
    </r>
    <r>
      <rPr>
        <sz val="11"/>
        <color theme="1"/>
        <rFont val="宋体"/>
        <family val="3"/>
        <charset val="134"/>
        <scheme val="minor"/>
      </rPr>
      <t>-1615</t>
    </r>
    <r>
      <rPr>
        <sz val="11"/>
        <color theme="1"/>
        <rFont val="宋体"/>
        <family val="2"/>
        <charset val="134"/>
        <scheme val="minor"/>
      </rPr>
      <t/>
    </r>
  </si>
  <si>
    <r>
      <t>4</t>
    </r>
    <r>
      <rPr>
        <sz val="11"/>
        <color theme="1"/>
        <rFont val="宋体"/>
        <family val="3"/>
        <charset val="134"/>
        <scheme val="minor"/>
      </rPr>
      <t>-1616</t>
    </r>
    <r>
      <rPr>
        <sz val="11"/>
        <color theme="1"/>
        <rFont val="宋体"/>
        <family val="2"/>
        <charset val="134"/>
        <scheme val="minor"/>
      </rPr>
      <t/>
    </r>
  </si>
  <si>
    <r>
      <t>4</t>
    </r>
    <r>
      <rPr>
        <sz val="11"/>
        <color theme="1"/>
        <rFont val="宋体"/>
        <family val="3"/>
        <charset val="134"/>
        <scheme val="minor"/>
      </rPr>
      <t>-1617</t>
    </r>
    <r>
      <rPr>
        <sz val="11"/>
        <color theme="1"/>
        <rFont val="宋体"/>
        <family val="2"/>
        <charset val="134"/>
        <scheme val="minor"/>
      </rPr>
      <t/>
    </r>
  </si>
  <si>
    <r>
      <t>4</t>
    </r>
    <r>
      <rPr>
        <sz val="11"/>
        <color theme="1"/>
        <rFont val="宋体"/>
        <family val="3"/>
        <charset val="134"/>
        <scheme val="minor"/>
      </rPr>
      <t>-1618</t>
    </r>
    <r>
      <rPr>
        <sz val="11"/>
        <color theme="1"/>
        <rFont val="宋体"/>
        <family val="2"/>
        <charset val="134"/>
        <scheme val="minor"/>
      </rPr>
      <t/>
    </r>
  </si>
  <si>
    <r>
      <t>4</t>
    </r>
    <r>
      <rPr>
        <sz val="11"/>
        <color theme="1"/>
        <rFont val="宋体"/>
        <family val="3"/>
        <charset val="134"/>
        <scheme val="minor"/>
      </rPr>
      <t>-1619</t>
    </r>
    <r>
      <rPr>
        <sz val="11"/>
        <color theme="1"/>
        <rFont val="宋体"/>
        <family val="2"/>
        <charset val="134"/>
        <scheme val="minor"/>
      </rPr>
      <t/>
    </r>
  </si>
  <si>
    <r>
      <t>4</t>
    </r>
    <r>
      <rPr>
        <sz val="11"/>
        <color theme="1"/>
        <rFont val="宋体"/>
        <family val="3"/>
        <charset val="134"/>
        <scheme val="minor"/>
      </rPr>
      <t>-1620</t>
    </r>
    <r>
      <rPr>
        <sz val="11"/>
        <color theme="1"/>
        <rFont val="宋体"/>
        <family val="2"/>
        <charset val="134"/>
        <scheme val="minor"/>
      </rPr>
      <t/>
    </r>
  </si>
  <si>
    <r>
      <t>4</t>
    </r>
    <r>
      <rPr>
        <sz val="11"/>
        <color theme="1"/>
        <rFont val="宋体"/>
        <family val="3"/>
        <charset val="134"/>
        <scheme val="minor"/>
      </rPr>
      <t>-1621</t>
    </r>
    <r>
      <rPr>
        <sz val="11"/>
        <color theme="1"/>
        <rFont val="宋体"/>
        <family val="2"/>
        <charset val="134"/>
        <scheme val="minor"/>
      </rPr>
      <t/>
    </r>
  </si>
  <si>
    <r>
      <t>4</t>
    </r>
    <r>
      <rPr>
        <sz val="11"/>
        <color theme="1"/>
        <rFont val="宋体"/>
        <family val="3"/>
        <charset val="134"/>
        <scheme val="minor"/>
      </rPr>
      <t>-1622</t>
    </r>
    <r>
      <rPr>
        <sz val="11"/>
        <color theme="1"/>
        <rFont val="宋体"/>
        <family val="2"/>
        <charset val="134"/>
        <scheme val="minor"/>
      </rPr>
      <t/>
    </r>
  </si>
  <si>
    <r>
      <t>4</t>
    </r>
    <r>
      <rPr>
        <sz val="11"/>
        <color theme="1"/>
        <rFont val="宋体"/>
        <family val="3"/>
        <charset val="134"/>
        <scheme val="minor"/>
      </rPr>
      <t>-1623</t>
    </r>
    <r>
      <rPr>
        <sz val="11"/>
        <color theme="1"/>
        <rFont val="宋体"/>
        <family val="2"/>
        <charset val="134"/>
        <scheme val="minor"/>
      </rPr>
      <t/>
    </r>
  </si>
  <si>
    <r>
      <t>4</t>
    </r>
    <r>
      <rPr>
        <sz val="11"/>
        <color theme="1"/>
        <rFont val="宋体"/>
        <family val="3"/>
        <charset val="134"/>
        <scheme val="minor"/>
      </rPr>
      <t>-1624</t>
    </r>
    <r>
      <rPr>
        <sz val="11"/>
        <color theme="1"/>
        <rFont val="宋体"/>
        <family val="2"/>
        <charset val="134"/>
        <scheme val="minor"/>
      </rPr>
      <t/>
    </r>
  </si>
  <si>
    <r>
      <t>4</t>
    </r>
    <r>
      <rPr>
        <sz val="11"/>
        <color theme="1"/>
        <rFont val="宋体"/>
        <family val="3"/>
        <charset val="134"/>
        <scheme val="minor"/>
      </rPr>
      <t>-1625</t>
    </r>
    <r>
      <rPr>
        <sz val="11"/>
        <color theme="1"/>
        <rFont val="宋体"/>
        <family val="2"/>
        <charset val="134"/>
        <scheme val="minor"/>
      </rPr>
      <t/>
    </r>
  </si>
  <si>
    <r>
      <t>4</t>
    </r>
    <r>
      <rPr>
        <sz val="11"/>
        <color theme="1"/>
        <rFont val="宋体"/>
        <family val="3"/>
        <charset val="134"/>
        <scheme val="minor"/>
      </rPr>
      <t>-1626</t>
    </r>
    <r>
      <rPr>
        <sz val="11"/>
        <color theme="1"/>
        <rFont val="宋体"/>
        <family val="2"/>
        <charset val="134"/>
        <scheme val="minor"/>
      </rPr>
      <t/>
    </r>
  </si>
  <si>
    <r>
      <t>4</t>
    </r>
    <r>
      <rPr>
        <sz val="11"/>
        <color theme="1"/>
        <rFont val="宋体"/>
        <family val="3"/>
        <charset val="134"/>
        <scheme val="minor"/>
      </rPr>
      <t>-1627</t>
    </r>
    <r>
      <rPr>
        <sz val="11"/>
        <color theme="1"/>
        <rFont val="宋体"/>
        <family val="2"/>
        <charset val="134"/>
        <scheme val="minor"/>
      </rPr>
      <t/>
    </r>
  </si>
  <si>
    <r>
      <t>4</t>
    </r>
    <r>
      <rPr>
        <sz val="11"/>
        <color theme="1"/>
        <rFont val="宋体"/>
        <family val="3"/>
        <charset val="134"/>
        <scheme val="minor"/>
      </rPr>
      <t>-1628</t>
    </r>
    <r>
      <rPr>
        <sz val="11"/>
        <color theme="1"/>
        <rFont val="宋体"/>
        <family val="2"/>
        <charset val="134"/>
        <scheme val="minor"/>
      </rPr>
      <t/>
    </r>
  </si>
  <si>
    <r>
      <t>4</t>
    </r>
    <r>
      <rPr>
        <sz val="11"/>
        <color theme="1"/>
        <rFont val="宋体"/>
        <family val="3"/>
        <charset val="134"/>
        <scheme val="minor"/>
      </rPr>
      <t>-1629</t>
    </r>
    <r>
      <rPr>
        <sz val="11"/>
        <color theme="1"/>
        <rFont val="宋体"/>
        <family val="2"/>
        <charset val="134"/>
        <scheme val="minor"/>
      </rPr>
      <t/>
    </r>
  </si>
  <si>
    <r>
      <t>4</t>
    </r>
    <r>
      <rPr>
        <sz val="11"/>
        <color theme="1"/>
        <rFont val="宋体"/>
        <family val="3"/>
        <charset val="134"/>
        <scheme val="minor"/>
      </rPr>
      <t>-1630</t>
    </r>
    <r>
      <rPr>
        <sz val="11"/>
        <color theme="1"/>
        <rFont val="宋体"/>
        <family val="2"/>
        <charset val="134"/>
        <scheme val="minor"/>
      </rPr>
      <t/>
    </r>
  </si>
  <si>
    <r>
      <t>4</t>
    </r>
    <r>
      <rPr>
        <sz val="11"/>
        <color theme="1"/>
        <rFont val="宋体"/>
        <family val="3"/>
        <charset val="134"/>
        <scheme val="minor"/>
      </rPr>
      <t>-1631</t>
    </r>
    <r>
      <rPr>
        <sz val="11"/>
        <color theme="1"/>
        <rFont val="宋体"/>
        <family val="2"/>
        <charset val="134"/>
        <scheme val="minor"/>
      </rPr>
      <t/>
    </r>
  </si>
  <si>
    <r>
      <t>4</t>
    </r>
    <r>
      <rPr>
        <sz val="11"/>
        <color theme="1"/>
        <rFont val="宋体"/>
        <family val="3"/>
        <charset val="134"/>
        <scheme val="minor"/>
      </rPr>
      <t>-1632</t>
    </r>
    <r>
      <rPr>
        <sz val="11"/>
        <color theme="1"/>
        <rFont val="宋体"/>
        <family val="2"/>
        <charset val="134"/>
        <scheme val="minor"/>
      </rPr>
      <t/>
    </r>
  </si>
  <si>
    <r>
      <t>4</t>
    </r>
    <r>
      <rPr>
        <sz val="11"/>
        <color theme="1"/>
        <rFont val="宋体"/>
        <family val="3"/>
        <charset val="134"/>
        <scheme val="minor"/>
      </rPr>
      <t>-1633</t>
    </r>
    <r>
      <rPr>
        <sz val="11"/>
        <color theme="1"/>
        <rFont val="宋体"/>
        <family val="2"/>
        <charset val="134"/>
        <scheme val="minor"/>
      </rPr>
      <t/>
    </r>
  </si>
  <si>
    <r>
      <t>4</t>
    </r>
    <r>
      <rPr>
        <sz val="11"/>
        <color theme="1"/>
        <rFont val="宋体"/>
        <family val="3"/>
        <charset val="134"/>
        <scheme val="minor"/>
      </rPr>
      <t>-1634</t>
    </r>
    <r>
      <rPr>
        <sz val="11"/>
        <color theme="1"/>
        <rFont val="宋体"/>
        <family val="2"/>
        <charset val="134"/>
        <scheme val="minor"/>
      </rPr>
      <t/>
    </r>
  </si>
  <si>
    <r>
      <t>4</t>
    </r>
    <r>
      <rPr>
        <sz val="11"/>
        <color theme="1"/>
        <rFont val="宋体"/>
        <family val="3"/>
        <charset val="134"/>
        <scheme val="minor"/>
      </rPr>
      <t>-1635</t>
    </r>
    <r>
      <rPr>
        <sz val="11"/>
        <color theme="1"/>
        <rFont val="宋体"/>
        <family val="2"/>
        <charset val="134"/>
        <scheme val="minor"/>
      </rPr>
      <t/>
    </r>
  </si>
  <si>
    <r>
      <t>4</t>
    </r>
    <r>
      <rPr>
        <sz val="11"/>
        <color theme="1"/>
        <rFont val="宋体"/>
        <family val="3"/>
        <charset val="134"/>
        <scheme val="minor"/>
      </rPr>
      <t>-1636</t>
    </r>
    <r>
      <rPr>
        <sz val="11"/>
        <color theme="1"/>
        <rFont val="宋体"/>
        <family val="2"/>
        <charset val="134"/>
        <scheme val="minor"/>
      </rPr>
      <t/>
    </r>
  </si>
  <si>
    <r>
      <t>4</t>
    </r>
    <r>
      <rPr>
        <sz val="11"/>
        <color theme="1"/>
        <rFont val="宋体"/>
        <family val="3"/>
        <charset val="134"/>
        <scheme val="minor"/>
      </rPr>
      <t>-1637</t>
    </r>
    <r>
      <rPr>
        <sz val="11"/>
        <color theme="1"/>
        <rFont val="宋体"/>
        <family val="2"/>
        <charset val="134"/>
        <scheme val="minor"/>
      </rPr>
      <t/>
    </r>
  </si>
  <si>
    <r>
      <t>4</t>
    </r>
    <r>
      <rPr>
        <sz val="11"/>
        <color theme="1"/>
        <rFont val="宋体"/>
        <family val="3"/>
        <charset val="134"/>
        <scheme val="minor"/>
      </rPr>
      <t>-1638</t>
    </r>
    <r>
      <rPr>
        <sz val="11"/>
        <color theme="1"/>
        <rFont val="宋体"/>
        <family val="2"/>
        <charset val="134"/>
        <scheme val="minor"/>
      </rPr>
      <t/>
    </r>
  </si>
  <si>
    <r>
      <t>4</t>
    </r>
    <r>
      <rPr>
        <sz val="11"/>
        <color theme="1"/>
        <rFont val="宋体"/>
        <family val="3"/>
        <charset val="134"/>
        <scheme val="minor"/>
      </rPr>
      <t>-1639</t>
    </r>
    <r>
      <rPr>
        <sz val="11"/>
        <color theme="1"/>
        <rFont val="宋体"/>
        <family val="2"/>
        <charset val="134"/>
        <scheme val="minor"/>
      </rPr>
      <t/>
    </r>
  </si>
  <si>
    <r>
      <t>4</t>
    </r>
    <r>
      <rPr>
        <sz val="11"/>
        <color theme="1"/>
        <rFont val="宋体"/>
        <family val="3"/>
        <charset val="134"/>
        <scheme val="minor"/>
      </rPr>
      <t>-1640</t>
    </r>
    <r>
      <rPr>
        <sz val="11"/>
        <color theme="1"/>
        <rFont val="宋体"/>
        <family val="2"/>
        <charset val="134"/>
        <scheme val="minor"/>
      </rPr>
      <t/>
    </r>
  </si>
  <si>
    <r>
      <t>4</t>
    </r>
    <r>
      <rPr>
        <sz val="11"/>
        <color theme="1"/>
        <rFont val="宋体"/>
        <family val="3"/>
        <charset val="134"/>
        <scheme val="minor"/>
      </rPr>
      <t>-1641</t>
    </r>
    <r>
      <rPr>
        <sz val="11"/>
        <color theme="1"/>
        <rFont val="宋体"/>
        <family val="2"/>
        <charset val="134"/>
        <scheme val="minor"/>
      </rPr>
      <t/>
    </r>
  </si>
  <si>
    <r>
      <t>4</t>
    </r>
    <r>
      <rPr>
        <sz val="11"/>
        <color theme="1"/>
        <rFont val="宋体"/>
        <family val="3"/>
        <charset val="134"/>
        <scheme val="minor"/>
      </rPr>
      <t>-1642</t>
    </r>
    <r>
      <rPr>
        <sz val="11"/>
        <color theme="1"/>
        <rFont val="宋体"/>
        <family val="2"/>
        <charset val="134"/>
        <scheme val="minor"/>
      </rPr>
      <t/>
    </r>
  </si>
  <si>
    <r>
      <t>4</t>
    </r>
    <r>
      <rPr>
        <sz val="11"/>
        <color theme="1"/>
        <rFont val="宋体"/>
        <family val="3"/>
        <charset val="134"/>
        <scheme val="minor"/>
      </rPr>
      <t>-1643</t>
    </r>
    <r>
      <rPr>
        <sz val="11"/>
        <color theme="1"/>
        <rFont val="宋体"/>
        <family val="2"/>
        <charset val="134"/>
        <scheme val="minor"/>
      </rPr>
      <t/>
    </r>
  </si>
  <si>
    <r>
      <t>4</t>
    </r>
    <r>
      <rPr>
        <sz val="11"/>
        <color theme="1"/>
        <rFont val="宋体"/>
        <family val="3"/>
        <charset val="134"/>
        <scheme val="minor"/>
      </rPr>
      <t>-1644</t>
    </r>
    <r>
      <rPr>
        <sz val="11"/>
        <color theme="1"/>
        <rFont val="宋体"/>
        <family val="2"/>
        <charset val="134"/>
        <scheme val="minor"/>
      </rPr>
      <t/>
    </r>
  </si>
  <si>
    <r>
      <t>4</t>
    </r>
    <r>
      <rPr>
        <sz val="11"/>
        <color theme="1"/>
        <rFont val="宋体"/>
        <family val="3"/>
        <charset val="134"/>
        <scheme val="minor"/>
      </rPr>
      <t>-1645</t>
    </r>
    <r>
      <rPr>
        <sz val="11"/>
        <color theme="1"/>
        <rFont val="宋体"/>
        <family val="2"/>
        <charset val="134"/>
        <scheme val="minor"/>
      </rPr>
      <t/>
    </r>
  </si>
  <si>
    <r>
      <t>1</t>
    </r>
    <r>
      <rPr>
        <sz val="11"/>
        <color theme="1"/>
        <rFont val="宋体"/>
        <family val="3"/>
        <charset val="134"/>
        <scheme val="minor"/>
      </rPr>
      <t>-1701</t>
    </r>
    <phoneticPr fontId="144" type="noConversion"/>
  </si>
  <si>
    <r>
      <t>1</t>
    </r>
    <r>
      <rPr>
        <sz val="11"/>
        <color theme="1"/>
        <rFont val="宋体"/>
        <family val="3"/>
        <charset val="134"/>
        <scheme val="minor"/>
      </rPr>
      <t>-1702</t>
    </r>
    <r>
      <rPr>
        <sz val="11"/>
        <color theme="1"/>
        <rFont val="宋体"/>
        <family val="2"/>
        <charset val="134"/>
        <scheme val="minor"/>
      </rPr>
      <t/>
    </r>
  </si>
  <si>
    <r>
      <t>1</t>
    </r>
    <r>
      <rPr>
        <sz val="11"/>
        <color theme="1"/>
        <rFont val="宋体"/>
        <family val="3"/>
        <charset val="134"/>
        <scheme val="minor"/>
      </rPr>
      <t>-1703</t>
    </r>
    <r>
      <rPr>
        <sz val="11"/>
        <color theme="1"/>
        <rFont val="宋体"/>
        <family val="2"/>
        <charset val="134"/>
        <scheme val="minor"/>
      </rPr>
      <t/>
    </r>
  </si>
  <si>
    <r>
      <t>1</t>
    </r>
    <r>
      <rPr>
        <sz val="11"/>
        <color theme="1"/>
        <rFont val="宋体"/>
        <family val="3"/>
        <charset val="134"/>
        <scheme val="minor"/>
      </rPr>
      <t>-1704</t>
    </r>
    <r>
      <rPr>
        <sz val="11"/>
        <color theme="1"/>
        <rFont val="宋体"/>
        <family val="2"/>
        <charset val="134"/>
        <scheme val="minor"/>
      </rPr>
      <t/>
    </r>
  </si>
  <si>
    <r>
      <t>1</t>
    </r>
    <r>
      <rPr>
        <sz val="11"/>
        <color theme="1"/>
        <rFont val="宋体"/>
        <family val="3"/>
        <charset val="134"/>
        <scheme val="minor"/>
      </rPr>
      <t>-1705</t>
    </r>
    <r>
      <rPr>
        <sz val="11"/>
        <color theme="1"/>
        <rFont val="宋体"/>
        <family val="2"/>
        <charset val="134"/>
        <scheme val="minor"/>
      </rPr>
      <t/>
    </r>
  </si>
  <si>
    <r>
      <t>1</t>
    </r>
    <r>
      <rPr>
        <sz val="11"/>
        <color theme="1"/>
        <rFont val="宋体"/>
        <family val="3"/>
        <charset val="134"/>
        <scheme val="minor"/>
      </rPr>
      <t>-1706</t>
    </r>
    <r>
      <rPr>
        <sz val="11"/>
        <color theme="1"/>
        <rFont val="宋体"/>
        <family val="2"/>
        <charset val="134"/>
        <scheme val="minor"/>
      </rPr>
      <t/>
    </r>
  </si>
  <si>
    <r>
      <t>1</t>
    </r>
    <r>
      <rPr>
        <sz val="11"/>
        <color theme="1"/>
        <rFont val="宋体"/>
        <family val="3"/>
        <charset val="134"/>
        <scheme val="minor"/>
      </rPr>
      <t>-1707</t>
    </r>
    <r>
      <rPr>
        <sz val="11"/>
        <color theme="1"/>
        <rFont val="宋体"/>
        <family val="2"/>
        <charset val="134"/>
        <scheme val="minor"/>
      </rPr>
      <t/>
    </r>
  </si>
  <si>
    <r>
      <t>1</t>
    </r>
    <r>
      <rPr>
        <sz val="11"/>
        <color theme="1"/>
        <rFont val="宋体"/>
        <family val="3"/>
        <charset val="134"/>
        <scheme val="minor"/>
      </rPr>
      <t>-1708</t>
    </r>
    <r>
      <rPr>
        <sz val="11"/>
        <color theme="1"/>
        <rFont val="宋体"/>
        <family val="2"/>
        <charset val="134"/>
        <scheme val="minor"/>
      </rPr>
      <t/>
    </r>
  </si>
  <si>
    <r>
      <t>1</t>
    </r>
    <r>
      <rPr>
        <sz val="11"/>
        <color theme="1"/>
        <rFont val="宋体"/>
        <family val="3"/>
        <charset val="134"/>
        <scheme val="minor"/>
      </rPr>
      <t>-1709</t>
    </r>
    <r>
      <rPr>
        <sz val="11"/>
        <color theme="1"/>
        <rFont val="宋体"/>
        <family val="2"/>
        <charset val="134"/>
        <scheme val="minor"/>
      </rPr>
      <t/>
    </r>
  </si>
  <si>
    <r>
      <t>1</t>
    </r>
    <r>
      <rPr>
        <sz val="11"/>
        <color theme="1"/>
        <rFont val="宋体"/>
        <family val="3"/>
        <charset val="134"/>
        <scheme val="minor"/>
      </rPr>
      <t>-1710</t>
    </r>
    <r>
      <rPr>
        <sz val="11"/>
        <color theme="1"/>
        <rFont val="宋体"/>
        <family val="2"/>
        <charset val="134"/>
        <scheme val="minor"/>
      </rPr>
      <t/>
    </r>
  </si>
  <si>
    <r>
      <t>1</t>
    </r>
    <r>
      <rPr>
        <sz val="11"/>
        <color theme="1"/>
        <rFont val="宋体"/>
        <family val="3"/>
        <charset val="134"/>
        <scheme val="minor"/>
      </rPr>
      <t>-1711</t>
    </r>
    <r>
      <rPr>
        <sz val="11"/>
        <color theme="1"/>
        <rFont val="宋体"/>
        <family val="2"/>
        <charset val="134"/>
        <scheme val="minor"/>
      </rPr>
      <t/>
    </r>
  </si>
  <si>
    <r>
      <t>1</t>
    </r>
    <r>
      <rPr>
        <sz val="11"/>
        <color theme="1"/>
        <rFont val="宋体"/>
        <family val="3"/>
        <charset val="134"/>
        <scheme val="minor"/>
      </rPr>
      <t>-1712</t>
    </r>
    <r>
      <rPr>
        <sz val="11"/>
        <color theme="1"/>
        <rFont val="宋体"/>
        <family val="2"/>
        <charset val="134"/>
        <scheme val="minor"/>
      </rPr>
      <t/>
    </r>
  </si>
  <si>
    <r>
      <t>1</t>
    </r>
    <r>
      <rPr>
        <sz val="11"/>
        <color theme="1"/>
        <rFont val="宋体"/>
        <family val="3"/>
        <charset val="134"/>
        <scheme val="minor"/>
      </rPr>
      <t>-1713</t>
    </r>
    <r>
      <rPr>
        <sz val="11"/>
        <color theme="1"/>
        <rFont val="宋体"/>
        <family val="2"/>
        <charset val="134"/>
        <scheme val="minor"/>
      </rPr>
      <t/>
    </r>
  </si>
  <si>
    <r>
      <t>1</t>
    </r>
    <r>
      <rPr>
        <sz val="11"/>
        <color theme="1"/>
        <rFont val="宋体"/>
        <family val="3"/>
        <charset val="134"/>
        <scheme val="minor"/>
      </rPr>
      <t>-1714</t>
    </r>
    <r>
      <rPr>
        <sz val="11"/>
        <color theme="1"/>
        <rFont val="宋体"/>
        <family val="2"/>
        <charset val="134"/>
        <scheme val="minor"/>
      </rPr>
      <t/>
    </r>
  </si>
  <si>
    <r>
      <t>1</t>
    </r>
    <r>
      <rPr>
        <sz val="11"/>
        <color theme="1"/>
        <rFont val="宋体"/>
        <family val="3"/>
        <charset val="134"/>
        <scheme val="minor"/>
      </rPr>
      <t>-1715</t>
    </r>
    <r>
      <rPr>
        <sz val="11"/>
        <color theme="1"/>
        <rFont val="宋体"/>
        <family val="2"/>
        <charset val="134"/>
        <scheme val="minor"/>
      </rPr>
      <t/>
    </r>
  </si>
  <si>
    <r>
      <t>1</t>
    </r>
    <r>
      <rPr>
        <sz val="11"/>
        <color theme="1"/>
        <rFont val="宋体"/>
        <family val="3"/>
        <charset val="134"/>
        <scheme val="minor"/>
      </rPr>
      <t>-1716</t>
    </r>
    <r>
      <rPr>
        <sz val="11"/>
        <color theme="1"/>
        <rFont val="宋体"/>
        <family val="2"/>
        <charset val="134"/>
        <scheme val="minor"/>
      </rPr>
      <t/>
    </r>
  </si>
  <si>
    <r>
      <t>1</t>
    </r>
    <r>
      <rPr>
        <sz val="11"/>
        <color theme="1"/>
        <rFont val="宋体"/>
        <family val="3"/>
        <charset val="134"/>
        <scheme val="minor"/>
      </rPr>
      <t>-1717</t>
    </r>
    <r>
      <rPr>
        <sz val="11"/>
        <color theme="1"/>
        <rFont val="宋体"/>
        <family val="2"/>
        <charset val="134"/>
        <scheme val="minor"/>
      </rPr>
      <t/>
    </r>
  </si>
  <si>
    <r>
      <t>1</t>
    </r>
    <r>
      <rPr>
        <sz val="11"/>
        <color theme="1"/>
        <rFont val="宋体"/>
        <family val="3"/>
        <charset val="134"/>
        <scheme val="minor"/>
      </rPr>
      <t>-1718</t>
    </r>
    <r>
      <rPr>
        <sz val="11"/>
        <color theme="1"/>
        <rFont val="宋体"/>
        <family val="2"/>
        <charset val="134"/>
        <scheme val="minor"/>
      </rPr>
      <t/>
    </r>
  </si>
  <si>
    <r>
      <t>1</t>
    </r>
    <r>
      <rPr>
        <sz val="11"/>
        <color theme="1"/>
        <rFont val="宋体"/>
        <family val="3"/>
        <charset val="134"/>
        <scheme val="minor"/>
      </rPr>
      <t>-1719</t>
    </r>
    <r>
      <rPr>
        <sz val="11"/>
        <color theme="1"/>
        <rFont val="宋体"/>
        <family val="2"/>
        <charset val="134"/>
        <scheme val="minor"/>
      </rPr>
      <t/>
    </r>
  </si>
  <si>
    <r>
      <t>1</t>
    </r>
    <r>
      <rPr>
        <sz val="11"/>
        <color theme="1"/>
        <rFont val="宋体"/>
        <family val="3"/>
        <charset val="134"/>
        <scheme val="minor"/>
      </rPr>
      <t>-1720</t>
    </r>
    <r>
      <rPr>
        <sz val="11"/>
        <color theme="1"/>
        <rFont val="宋体"/>
        <family val="2"/>
        <charset val="134"/>
        <scheme val="minor"/>
      </rPr>
      <t/>
    </r>
  </si>
  <si>
    <r>
      <t>2</t>
    </r>
    <r>
      <rPr>
        <sz val="11"/>
        <color theme="1"/>
        <rFont val="宋体"/>
        <family val="3"/>
        <charset val="134"/>
        <scheme val="minor"/>
      </rPr>
      <t>-1701</t>
    </r>
    <phoneticPr fontId="144" type="noConversion"/>
  </si>
  <si>
    <r>
      <t>2</t>
    </r>
    <r>
      <rPr>
        <sz val="11"/>
        <color theme="1"/>
        <rFont val="宋体"/>
        <family val="3"/>
        <charset val="134"/>
        <scheme val="minor"/>
      </rPr>
      <t>-1702</t>
    </r>
    <r>
      <rPr>
        <sz val="11"/>
        <color theme="1"/>
        <rFont val="宋体"/>
        <family val="2"/>
        <charset val="134"/>
        <scheme val="minor"/>
      </rPr>
      <t/>
    </r>
  </si>
  <si>
    <r>
      <t>2</t>
    </r>
    <r>
      <rPr>
        <sz val="11"/>
        <color theme="1"/>
        <rFont val="宋体"/>
        <family val="3"/>
        <charset val="134"/>
        <scheme val="minor"/>
      </rPr>
      <t>-1703</t>
    </r>
    <r>
      <rPr>
        <sz val="11"/>
        <color theme="1"/>
        <rFont val="宋体"/>
        <family val="2"/>
        <charset val="134"/>
        <scheme val="minor"/>
      </rPr>
      <t/>
    </r>
  </si>
  <si>
    <r>
      <t>2</t>
    </r>
    <r>
      <rPr>
        <sz val="11"/>
        <color theme="1"/>
        <rFont val="宋体"/>
        <family val="3"/>
        <charset val="134"/>
        <scheme val="minor"/>
      </rPr>
      <t>-1704</t>
    </r>
    <r>
      <rPr>
        <sz val="11"/>
        <color theme="1"/>
        <rFont val="宋体"/>
        <family val="2"/>
        <charset val="134"/>
        <scheme val="minor"/>
      </rPr>
      <t/>
    </r>
  </si>
  <si>
    <r>
      <t>2</t>
    </r>
    <r>
      <rPr>
        <sz val="11"/>
        <color theme="1"/>
        <rFont val="宋体"/>
        <family val="3"/>
        <charset val="134"/>
        <scheme val="minor"/>
      </rPr>
      <t>-1705</t>
    </r>
    <r>
      <rPr>
        <sz val="11"/>
        <color theme="1"/>
        <rFont val="宋体"/>
        <family val="2"/>
        <charset val="134"/>
        <scheme val="minor"/>
      </rPr>
      <t/>
    </r>
  </si>
  <si>
    <r>
      <t>2</t>
    </r>
    <r>
      <rPr>
        <sz val="11"/>
        <color theme="1"/>
        <rFont val="宋体"/>
        <family val="3"/>
        <charset val="134"/>
        <scheme val="minor"/>
      </rPr>
      <t>-1706</t>
    </r>
    <r>
      <rPr>
        <sz val="11"/>
        <color theme="1"/>
        <rFont val="宋体"/>
        <family val="2"/>
        <charset val="134"/>
        <scheme val="minor"/>
      </rPr>
      <t/>
    </r>
  </si>
  <si>
    <r>
      <t>2</t>
    </r>
    <r>
      <rPr>
        <sz val="11"/>
        <color theme="1"/>
        <rFont val="宋体"/>
        <family val="3"/>
        <charset val="134"/>
        <scheme val="minor"/>
      </rPr>
      <t>-1707</t>
    </r>
    <r>
      <rPr>
        <sz val="11"/>
        <color theme="1"/>
        <rFont val="宋体"/>
        <family val="2"/>
        <charset val="134"/>
        <scheme val="minor"/>
      </rPr>
      <t/>
    </r>
  </si>
  <si>
    <r>
      <t>2</t>
    </r>
    <r>
      <rPr>
        <sz val="11"/>
        <color theme="1"/>
        <rFont val="宋体"/>
        <family val="3"/>
        <charset val="134"/>
        <scheme val="minor"/>
      </rPr>
      <t>-1708</t>
    </r>
    <r>
      <rPr>
        <sz val="11"/>
        <color theme="1"/>
        <rFont val="宋体"/>
        <family val="2"/>
        <charset val="134"/>
        <scheme val="minor"/>
      </rPr>
      <t/>
    </r>
  </si>
  <si>
    <r>
      <t>2</t>
    </r>
    <r>
      <rPr>
        <sz val="11"/>
        <color theme="1"/>
        <rFont val="宋体"/>
        <family val="3"/>
        <charset val="134"/>
        <scheme val="minor"/>
      </rPr>
      <t>-1709</t>
    </r>
    <r>
      <rPr>
        <sz val="11"/>
        <color theme="1"/>
        <rFont val="宋体"/>
        <family val="2"/>
        <charset val="134"/>
        <scheme val="minor"/>
      </rPr>
      <t/>
    </r>
  </si>
  <si>
    <r>
      <t>2</t>
    </r>
    <r>
      <rPr>
        <sz val="11"/>
        <color theme="1"/>
        <rFont val="宋体"/>
        <family val="3"/>
        <charset val="134"/>
        <scheme val="minor"/>
      </rPr>
      <t>-1710</t>
    </r>
    <r>
      <rPr>
        <sz val="11"/>
        <color theme="1"/>
        <rFont val="宋体"/>
        <family val="2"/>
        <charset val="134"/>
        <scheme val="minor"/>
      </rPr>
      <t/>
    </r>
  </si>
  <si>
    <r>
      <t>2</t>
    </r>
    <r>
      <rPr>
        <sz val="11"/>
        <color theme="1"/>
        <rFont val="宋体"/>
        <family val="3"/>
        <charset val="134"/>
        <scheme val="minor"/>
      </rPr>
      <t>-1711</t>
    </r>
    <r>
      <rPr>
        <sz val="11"/>
        <color theme="1"/>
        <rFont val="宋体"/>
        <family val="2"/>
        <charset val="134"/>
        <scheme val="minor"/>
      </rPr>
      <t/>
    </r>
  </si>
  <si>
    <r>
      <t>2</t>
    </r>
    <r>
      <rPr>
        <sz val="11"/>
        <color theme="1"/>
        <rFont val="宋体"/>
        <family val="3"/>
        <charset val="134"/>
        <scheme val="minor"/>
      </rPr>
      <t>-1712</t>
    </r>
    <r>
      <rPr>
        <sz val="11"/>
        <color theme="1"/>
        <rFont val="宋体"/>
        <family val="2"/>
        <charset val="134"/>
        <scheme val="minor"/>
      </rPr>
      <t/>
    </r>
  </si>
  <si>
    <r>
      <t>2</t>
    </r>
    <r>
      <rPr>
        <sz val="11"/>
        <color theme="1"/>
        <rFont val="宋体"/>
        <family val="3"/>
        <charset val="134"/>
        <scheme val="minor"/>
      </rPr>
      <t>-1713</t>
    </r>
    <r>
      <rPr>
        <sz val="11"/>
        <color theme="1"/>
        <rFont val="宋体"/>
        <family val="2"/>
        <charset val="134"/>
        <scheme val="minor"/>
      </rPr>
      <t/>
    </r>
  </si>
  <si>
    <r>
      <t>2</t>
    </r>
    <r>
      <rPr>
        <sz val="11"/>
        <color theme="1"/>
        <rFont val="宋体"/>
        <family val="3"/>
        <charset val="134"/>
        <scheme val="minor"/>
      </rPr>
      <t>-1714</t>
    </r>
    <r>
      <rPr>
        <sz val="11"/>
        <color theme="1"/>
        <rFont val="宋体"/>
        <family val="2"/>
        <charset val="134"/>
        <scheme val="minor"/>
      </rPr>
      <t/>
    </r>
  </si>
  <si>
    <r>
      <t>2</t>
    </r>
    <r>
      <rPr>
        <sz val="11"/>
        <color theme="1"/>
        <rFont val="宋体"/>
        <family val="3"/>
        <charset val="134"/>
        <scheme val="minor"/>
      </rPr>
      <t>-1715</t>
    </r>
    <r>
      <rPr>
        <sz val="11"/>
        <color theme="1"/>
        <rFont val="宋体"/>
        <family val="2"/>
        <charset val="134"/>
        <scheme val="minor"/>
      </rPr>
      <t/>
    </r>
  </si>
  <si>
    <r>
      <t>2</t>
    </r>
    <r>
      <rPr>
        <sz val="11"/>
        <color theme="1"/>
        <rFont val="宋体"/>
        <family val="3"/>
        <charset val="134"/>
        <scheme val="minor"/>
      </rPr>
      <t>-1716</t>
    </r>
    <r>
      <rPr>
        <sz val="11"/>
        <color theme="1"/>
        <rFont val="宋体"/>
        <family val="2"/>
        <charset val="134"/>
        <scheme val="minor"/>
      </rPr>
      <t/>
    </r>
  </si>
  <si>
    <r>
      <t>2</t>
    </r>
    <r>
      <rPr>
        <sz val="11"/>
        <color theme="1"/>
        <rFont val="宋体"/>
        <family val="3"/>
        <charset val="134"/>
        <scheme val="minor"/>
      </rPr>
      <t>-1717</t>
    </r>
    <r>
      <rPr>
        <sz val="11"/>
        <color theme="1"/>
        <rFont val="宋体"/>
        <family val="2"/>
        <charset val="134"/>
        <scheme val="minor"/>
      </rPr>
      <t/>
    </r>
  </si>
  <si>
    <r>
      <t>2</t>
    </r>
    <r>
      <rPr>
        <sz val="11"/>
        <color theme="1"/>
        <rFont val="宋体"/>
        <family val="3"/>
        <charset val="134"/>
        <scheme val="minor"/>
      </rPr>
      <t>-1718</t>
    </r>
    <r>
      <rPr>
        <sz val="11"/>
        <color theme="1"/>
        <rFont val="宋体"/>
        <family val="2"/>
        <charset val="134"/>
        <scheme val="minor"/>
      </rPr>
      <t/>
    </r>
  </si>
  <si>
    <r>
      <t>2</t>
    </r>
    <r>
      <rPr>
        <sz val="11"/>
        <color theme="1"/>
        <rFont val="宋体"/>
        <family val="3"/>
        <charset val="134"/>
        <scheme val="minor"/>
      </rPr>
      <t>-1719</t>
    </r>
    <r>
      <rPr>
        <sz val="11"/>
        <color theme="1"/>
        <rFont val="宋体"/>
        <family val="2"/>
        <charset val="134"/>
        <scheme val="minor"/>
      </rPr>
      <t/>
    </r>
  </si>
  <si>
    <r>
      <t>2</t>
    </r>
    <r>
      <rPr>
        <sz val="11"/>
        <color theme="1"/>
        <rFont val="宋体"/>
        <family val="3"/>
        <charset val="134"/>
        <scheme val="minor"/>
      </rPr>
      <t>-1720</t>
    </r>
    <r>
      <rPr>
        <sz val="11"/>
        <color theme="1"/>
        <rFont val="宋体"/>
        <family val="2"/>
        <charset val="134"/>
        <scheme val="minor"/>
      </rPr>
      <t/>
    </r>
  </si>
  <si>
    <r>
      <t>4</t>
    </r>
    <r>
      <rPr>
        <sz val="11"/>
        <color theme="1"/>
        <rFont val="宋体"/>
        <family val="3"/>
        <charset val="134"/>
        <scheme val="minor"/>
      </rPr>
      <t>-1701</t>
    </r>
    <phoneticPr fontId="144" type="noConversion"/>
  </si>
  <si>
    <r>
      <t>4</t>
    </r>
    <r>
      <rPr>
        <sz val="11"/>
        <color theme="1"/>
        <rFont val="宋体"/>
        <family val="3"/>
        <charset val="134"/>
        <scheme val="minor"/>
      </rPr>
      <t>-1702</t>
    </r>
    <r>
      <rPr>
        <sz val="11"/>
        <color theme="1"/>
        <rFont val="宋体"/>
        <family val="2"/>
        <charset val="134"/>
        <scheme val="minor"/>
      </rPr>
      <t/>
    </r>
  </si>
  <si>
    <r>
      <t>4</t>
    </r>
    <r>
      <rPr>
        <sz val="11"/>
        <color theme="1"/>
        <rFont val="宋体"/>
        <family val="3"/>
        <charset val="134"/>
        <scheme val="minor"/>
      </rPr>
      <t>-1703</t>
    </r>
    <r>
      <rPr>
        <sz val="11"/>
        <color theme="1"/>
        <rFont val="宋体"/>
        <family val="2"/>
        <charset val="134"/>
        <scheme val="minor"/>
      </rPr>
      <t/>
    </r>
  </si>
  <si>
    <r>
      <t>4</t>
    </r>
    <r>
      <rPr>
        <sz val="11"/>
        <color theme="1"/>
        <rFont val="宋体"/>
        <family val="3"/>
        <charset val="134"/>
        <scheme val="minor"/>
      </rPr>
      <t>-1704</t>
    </r>
    <r>
      <rPr>
        <sz val="11"/>
        <color theme="1"/>
        <rFont val="宋体"/>
        <family val="2"/>
        <charset val="134"/>
        <scheme val="minor"/>
      </rPr>
      <t/>
    </r>
  </si>
  <si>
    <r>
      <t>4</t>
    </r>
    <r>
      <rPr>
        <sz val="11"/>
        <color theme="1"/>
        <rFont val="宋体"/>
        <family val="3"/>
        <charset val="134"/>
        <scheme val="minor"/>
      </rPr>
      <t>-1705</t>
    </r>
    <r>
      <rPr>
        <sz val="11"/>
        <color theme="1"/>
        <rFont val="宋体"/>
        <family val="2"/>
        <charset val="134"/>
        <scheme val="minor"/>
      </rPr>
      <t/>
    </r>
  </si>
  <si>
    <r>
      <t>4</t>
    </r>
    <r>
      <rPr>
        <sz val="11"/>
        <color theme="1"/>
        <rFont val="宋体"/>
        <family val="3"/>
        <charset val="134"/>
        <scheme val="minor"/>
      </rPr>
      <t>-1706</t>
    </r>
    <r>
      <rPr>
        <sz val="11"/>
        <color theme="1"/>
        <rFont val="宋体"/>
        <family val="2"/>
        <charset val="134"/>
        <scheme val="minor"/>
      </rPr>
      <t/>
    </r>
  </si>
  <si>
    <r>
      <t>4</t>
    </r>
    <r>
      <rPr>
        <sz val="11"/>
        <color theme="1"/>
        <rFont val="宋体"/>
        <family val="3"/>
        <charset val="134"/>
        <scheme val="minor"/>
      </rPr>
      <t>-1707</t>
    </r>
    <r>
      <rPr>
        <sz val="11"/>
        <color theme="1"/>
        <rFont val="宋体"/>
        <family val="2"/>
        <charset val="134"/>
        <scheme val="minor"/>
      </rPr>
      <t/>
    </r>
  </si>
  <si>
    <r>
      <t>4</t>
    </r>
    <r>
      <rPr>
        <sz val="11"/>
        <color theme="1"/>
        <rFont val="宋体"/>
        <family val="3"/>
        <charset val="134"/>
        <scheme val="minor"/>
      </rPr>
      <t>-1708</t>
    </r>
    <r>
      <rPr>
        <sz val="11"/>
        <color theme="1"/>
        <rFont val="宋体"/>
        <family val="2"/>
        <charset val="134"/>
        <scheme val="minor"/>
      </rPr>
      <t/>
    </r>
  </si>
  <si>
    <r>
      <t>4</t>
    </r>
    <r>
      <rPr>
        <sz val="11"/>
        <color theme="1"/>
        <rFont val="宋体"/>
        <family val="3"/>
        <charset val="134"/>
        <scheme val="minor"/>
      </rPr>
      <t>-1709</t>
    </r>
    <r>
      <rPr>
        <sz val="11"/>
        <color theme="1"/>
        <rFont val="宋体"/>
        <family val="2"/>
        <charset val="134"/>
        <scheme val="minor"/>
      </rPr>
      <t/>
    </r>
  </si>
  <si>
    <r>
      <t>4</t>
    </r>
    <r>
      <rPr>
        <sz val="11"/>
        <color theme="1"/>
        <rFont val="宋体"/>
        <family val="3"/>
        <charset val="134"/>
        <scheme val="minor"/>
      </rPr>
      <t>-1710</t>
    </r>
    <r>
      <rPr>
        <sz val="11"/>
        <color theme="1"/>
        <rFont val="宋体"/>
        <family val="2"/>
        <charset val="134"/>
        <scheme val="minor"/>
      </rPr>
      <t/>
    </r>
  </si>
  <si>
    <r>
      <t>4</t>
    </r>
    <r>
      <rPr>
        <sz val="11"/>
        <color theme="1"/>
        <rFont val="宋体"/>
        <family val="3"/>
        <charset val="134"/>
        <scheme val="minor"/>
      </rPr>
      <t>-1711</t>
    </r>
    <r>
      <rPr>
        <sz val="11"/>
        <color theme="1"/>
        <rFont val="宋体"/>
        <family val="2"/>
        <charset val="134"/>
        <scheme val="minor"/>
      </rPr>
      <t/>
    </r>
  </si>
  <si>
    <r>
      <t>4</t>
    </r>
    <r>
      <rPr>
        <sz val="11"/>
        <color theme="1"/>
        <rFont val="宋体"/>
        <family val="3"/>
        <charset val="134"/>
        <scheme val="minor"/>
      </rPr>
      <t>-1712</t>
    </r>
    <r>
      <rPr>
        <sz val="11"/>
        <color theme="1"/>
        <rFont val="宋体"/>
        <family val="2"/>
        <charset val="134"/>
        <scheme val="minor"/>
      </rPr>
      <t/>
    </r>
  </si>
  <si>
    <r>
      <t>4</t>
    </r>
    <r>
      <rPr>
        <sz val="11"/>
        <color theme="1"/>
        <rFont val="宋体"/>
        <family val="3"/>
        <charset val="134"/>
        <scheme val="minor"/>
      </rPr>
      <t>-1713</t>
    </r>
    <r>
      <rPr>
        <sz val="11"/>
        <color theme="1"/>
        <rFont val="宋体"/>
        <family val="2"/>
        <charset val="134"/>
        <scheme val="minor"/>
      </rPr>
      <t/>
    </r>
  </si>
  <si>
    <r>
      <t>4</t>
    </r>
    <r>
      <rPr>
        <sz val="11"/>
        <color theme="1"/>
        <rFont val="宋体"/>
        <family val="3"/>
        <charset val="134"/>
        <scheme val="minor"/>
      </rPr>
      <t>-1714</t>
    </r>
    <r>
      <rPr>
        <sz val="11"/>
        <color theme="1"/>
        <rFont val="宋体"/>
        <family val="2"/>
        <charset val="134"/>
        <scheme val="minor"/>
      </rPr>
      <t/>
    </r>
  </si>
  <si>
    <r>
      <t>4</t>
    </r>
    <r>
      <rPr>
        <sz val="11"/>
        <color theme="1"/>
        <rFont val="宋体"/>
        <family val="3"/>
        <charset val="134"/>
        <scheme val="minor"/>
      </rPr>
      <t>-1715</t>
    </r>
    <r>
      <rPr>
        <sz val="11"/>
        <color theme="1"/>
        <rFont val="宋体"/>
        <family val="2"/>
        <charset val="134"/>
        <scheme val="minor"/>
      </rPr>
      <t/>
    </r>
  </si>
  <si>
    <r>
      <t>4</t>
    </r>
    <r>
      <rPr>
        <sz val="11"/>
        <color theme="1"/>
        <rFont val="宋体"/>
        <family val="3"/>
        <charset val="134"/>
        <scheme val="minor"/>
      </rPr>
      <t>-1716</t>
    </r>
    <r>
      <rPr>
        <sz val="11"/>
        <color theme="1"/>
        <rFont val="宋体"/>
        <family val="2"/>
        <charset val="134"/>
        <scheme val="minor"/>
      </rPr>
      <t/>
    </r>
  </si>
  <si>
    <r>
      <t>4</t>
    </r>
    <r>
      <rPr>
        <sz val="11"/>
        <color theme="1"/>
        <rFont val="宋体"/>
        <family val="3"/>
        <charset val="134"/>
        <scheme val="minor"/>
      </rPr>
      <t>-1717</t>
    </r>
    <r>
      <rPr>
        <sz val="11"/>
        <color theme="1"/>
        <rFont val="宋体"/>
        <family val="2"/>
        <charset val="134"/>
        <scheme val="minor"/>
      </rPr>
      <t/>
    </r>
  </si>
  <si>
    <r>
      <t>4</t>
    </r>
    <r>
      <rPr>
        <sz val="11"/>
        <color theme="1"/>
        <rFont val="宋体"/>
        <family val="3"/>
        <charset val="134"/>
        <scheme val="minor"/>
      </rPr>
      <t>-1718</t>
    </r>
    <r>
      <rPr>
        <sz val="11"/>
        <color theme="1"/>
        <rFont val="宋体"/>
        <family val="2"/>
        <charset val="134"/>
        <scheme val="minor"/>
      </rPr>
      <t/>
    </r>
  </si>
  <si>
    <r>
      <t>4</t>
    </r>
    <r>
      <rPr>
        <sz val="11"/>
        <color theme="1"/>
        <rFont val="宋体"/>
        <family val="3"/>
        <charset val="134"/>
        <scheme val="minor"/>
      </rPr>
      <t>-1719</t>
    </r>
    <r>
      <rPr>
        <sz val="11"/>
        <color theme="1"/>
        <rFont val="宋体"/>
        <family val="2"/>
        <charset val="134"/>
        <scheme val="minor"/>
      </rPr>
      <t/>
    </r>
  </si>
  <si>
    <r>
      <t>4</t>
    </r>
    <r>
      <rPr>
        <sz val="11"/>
        <color theme="1"/>
        <rFont val="宋体"/>
        <family val="3"/>
        <charset val="134"/>
        <scheme val="minor"/>
      </rPr>
      <t>-1720</t>
    </r>
    <r>
      <rPr>
        <sz val="11"/>
        <color theme="1"/>
        <rFont val="宋体"/>
        <family val="2"/>
        <charset val="134"/>
        <scheme val="minor"/>
      </rPr>
      <t/>
    </r>
  </si>
  <si>
    <r>
      <t>4</t>
    </r>
    <r>
      <rPr>
        <sz val="11"/>
        <color theme="1"/>
        <rFont val="宋体"/>
        <family val="3"/>
        <charset val="134"/>
        <scheme val="minor"/>
      </rPr>
      <t>-1721</t>
    </r>
    <r>
      <rPr>
        <sz val="11"/>
        <color theme="1"/>
        <rFont val="宋体"/>
        <family val="2"/>
        <charset val="134"/>
        <scheme val="minor"/>
      </rPr>
      <t/>
    </r>
  </si>
  <si>
    <r>
      <t>4</t>
    </r>
    <r>
      <rPr>
        <sz val="11"/>
        <color theme="1"/>
        <rFont val="宋体"/>
        <family val="3"/>
        <charset val="134"/>
        <scheme val="minor"/>
      </rPr>
      <t>-1722</t>
    </r>
    <r>
      <rPr>
        <sz val="11"/>
        <color theme="1"/>
        <rFont val="宋体"/>
        <family val="2"/>
        <charset val="134"/>
        <scheme val="minor"/>
      </rPr>
      <t/>
    </r>
  </si>
  <si>
    <r>
      <t>4</t>
    </r>
    <r>
      <rPr>
        <sz val="11"/>
        <color theme="1"/>
        <rFont val="宋体"/>
        <family val="3"/>
        <charset val="134"/>
        <scheme val="minor"/>
      </rPr>
      <t>-1723</t>
    </r>
    <r>
      <rPr>
        <sz val="11"/>
        <color theme="1"/>
        <rFont val="宋体"/>
        <family val="2"/>
        <charset val="134"/>
        <scheme val="minor"/>
      </rPr>
      <t/>
    </r>
  </si>
  <si>
    <r>
      <t>4</t>
    </r>
    <r>
      <rPr>
        <sz val="11"/>
        <color theme="1"/>
        <rFont val="宋体"/>
        <family val="3"/>
        <charset val="134"/>
        <scheme val="minor"/>
      </rPr>
      <t>-1724</t>
    </r>
    <r>
      <rPr>
        <sz val="11"/>
        <color theme="1"/>
        <rFont val="宋体"/>
        <family val="2"/>
        <charset val="134"/>
        <scheme val="minor"/>
      </rPr>
      <t/>
    </r>
  </si>
  <si>
    <r>
      <t>4</t>
    </r>
    <r>
      <rPr>
        <sz val="11"/>
        <color theme="1"/>
        <rFont val="宋体"/>
        <family val="3"/>
        <charset val="134"/>
        <scheme val="minor"/>
      </rPr>
      <t>-1725</t>
    </r>
    <r>
      <rPr>
        <sz val="11"/>
        <color theme="1"/>
        <rFont val="宋体"/>
        <family val="2"/>
        <charset val="134"/>
        <scheme val="minor"/>
      </rPr>
      <t/>
    </r>
  </si>
  <si>
    <r>
      <t>4</t>
    </r>
    <r>
      <rPr>
        <sz val="11"/>
        <color theme="1"/>
        <rFont val="宋体"/>
        <family val="3"/>
        <charset val="134"/>
        <scheme val="minor"/>
      </rPr>
      <t>-1726</t>
    </r>
    <r>
      <rPr>
        <sz val="11"/>
        <color theme="1"/>
        <rFont val="宋体"/>
        <family val="2"/>
        <charset val="134"/>
        <scheme val="minor"/>
      </rPr>
      <t/>
    </r>
  </si>
  <si>
    <r>
      <t>4</t>
    </r>
    <r>
      <rPr>
        <sz val="11"/>
        <color theme="1"/>
        <rFont val="宋体"/>
        <family val="3"/>
        <charset val="134"/>
        <scheme val="minor"/>
      </rPr>
      <t>-1727</t>
    </r>
    <r>
      <rPr>
        <sz val="11"/>
        <color theme="1"/>
        <rFont val="宋体"/>
        <family val="2"/>
        <charset val="134"/>
        <scheme val="minor"/>
      </rPr>
      <t/>
    </r>
  </si>
  <si>
    <r>
      <t>4</t>
    </r>
    <r>
      <rPr>
        <sz val="11"/>
        <color theme="1"/>
        <rFont val="宋体"/>
        <family val="3"/>
        <charset val="134"/>
        <scheme val="minor"/>
      </rPr>
      <t>-1728</t>
    </r>
    <r>
      <rPr>
        <sz val="11"/>
        <color theme="1"/>
        <rFont val="宋体"/>
        <family val="2"/>
        <charset val="134"/>
        <scheme val="minor"/>
      </rPr>
      <t/>
    </r>
  </si>
  <si>
    <r>
      <t>4</t>
    </r>
    <r>
      <rPr>
        <sz val="11"/>
        <color theme="1"/>
        <rFont val="宋体"/>
        <family val="3"/>
        <charset val="134"/>
        <scheme val="minor"/>
      </rPr>
      <t>-1729</t>
    </r>
    <r>
      <rPr>
        <sz val="11"/>
        <color theme="1"/>
        <rFont val="宋体"/>
        <family val="2"/>
        <charset val="134"/>
        <scheme val="minor"/>
      </rPr>
      <t/>
    </r>
  </si>
  <si>
    <r>
      <t>4</t>
    </r>
    <r>
      <rPr>
        <sz val="11"/>
        <color theme="1"/>
        <rFont val="宋体"/>
        <family val="3"/>
        <charset val="134"/>
        <scheme val="minor"/>
      </rPr>
      <t>-1730</t>
    </r>
    <r>
      <rPr>
        <sz val="11"/>
        <color theme="1"/>
        <rFont val="宋体"/>
        <family val="2"/>
        <charset val="134"/>
        <scheme val="minor"/>
      </rPr>
      <t/>
    </r>
  </si>
  <si>
    <r>
      <t>4</t>
    </r>
    <r>
      <rPr>
        <sz val="11"/>
        <color theme="1"/>
        <rFont val="宋体"/>
        <family val="3"/>
        <charset val="134"/>
        <scheme val="minor"/>
      </rPr>
      <t>-1731</t>
    </r>
    <r>
      <rPr>
        <sz val="11"/>
        <color theme="1"/>
        <rFont val="宋体"/>
        <family val="2"/>
        <charset val="134"/>
        <scheme val="minor"/>
      </rPr>
      <t/>
    </r>
  </si>
  <si>
    <r>
      <t>4</t>
    </r>
    <r>
      <rPr>
        <sz val="11"/>
        <color theme="1"/>
        <rFont val="宋体"/>
        <family val="3"/>
        <charset val="134"/>
        <scheme val="minor"/>
      </rPr>
      <t>-1732</t>
    </r>
    <r>
      <rPr>
        <sz val="11"/>
        <color theme="1"/>
        <rFont val="宋体"/>
        <family val="2"/>
        <charset val="134"/>
        <scheme val="minor"/>
      </rPr>
      <t/>
    </r>
  </si>
  <si>
    <r>
      <t>4</t>
    </r>
    <r>
      <rPr>
        <sz val="11"/>
        <color theme="1"/>
        <rFont val="宋体"/>
        <family val="3"/>
        <charset val="134"/>
        <scheme val="minor"/>
      </rPr>
      <t>-1733</t>
    </r>
    <r>
      <rPr>
        <sz val="11"/>
        <color theme="1"/>
        <rFont val="宋体"/>
        <family val="2"/>
        <charset val="134"/>
        <scheme val="minor"/>
      </rPr>
      <t/>
    </r>
  </si>
  <si>
    <r>
      <t>4</t>
    </r>
    <r>
      <rPr>
        <sz val="11"/>
        <color theme="1"/>
        <rFont val="宋体"/>
        <family val="3"/>
        <charset val="134"/>
        <scheme val="minor"/>
      </rPr>
      <t>-1734</t>
    </r>
    <r>
      <rPr>
        <sz val="11"/>
        <color theme="1"/>
        <rFont val="宋体"/>
        <family val="2"/>
        <charset val="134"/>
        <scheme val="minor"/>
      </rPr>
      <t/>
    </r>
  </si>
  <si>
    <r>
      <t>4</t>
    </r>
    <r>
      <rPr>
        <sz val="11"/>
        <color theme="1"/>
        <rFont val="宋体"/>
        <family val="3"/>
        <charset val="134"/>
        <scheme val="minor"/>
      </rPr>
      <t>-1735</t>
    </r>
    <r>
      <rPr>
        <sz val="11"/>
        <color theme="1"/>
        <rFont val="宋体"/>
        <family val="2"/>
        <charset val="134"/>
        <scheme val="minor"/>
      </rPr>
      <t/>
    </r>
  </si>
  <si>
    <r>
      <t>4</t>
    </r>
    <r>
      <rPr>
        <sz val="11"/>
        <color theme="1"/>
        <rFont val="宋体"/>
        <family val="3"/>
        <charset val="134"/>
        <scheme val="minor"/>
      </rPr>
      <t>-1736</t>
    </r>
    <r>
      <rPr>
        <sz val="11"/>
        <color theme="1"/>
        <rFont val="宋体"/>
        <family val="2"/>
        <charset val="134"/>
        <scheme val="minor"/>
      </rPr>
      <t/>
    </r>
  </si>
  <si>
    <r>
      <t>4</t>
    </r>
    <r>
      <rPr>
        <sz val="11"/>
        <color theme="1"/>
        <rFont val="宋体"/>
        <family val="3"/>
        <charset val="134"/>
        <scheme val="minor"/>
      </rPr>
      <t>-1737</t>
    </r>
    <r>
      <rPr>
        <sz val="11"/>
        <color theme="1"/>
        <rFont val="宋体"/>
        <family val="2"/>
        <charset val="134"/>
        <scheme val="minor"/>
      </rPr>
      <t/>
    </r>
  </si>
  <si>
    <r>
      <t>4</t>
    </r>
    <r>
      <rPr>
        <sz val="11"/>
        <color theme="1"/>
        <rFont val="宋体"/>
        <family val="3"/>
        <charset val="134"/>
        <scheme val="minor"/>
      </rPr>
      <t>-1738</t>
    </r>
    <r>
      <rPr>
        <sz val="11"/>
        <color theme="1"/>
        <rFont val="宋体"/>
        <family val="2"/>
        <charset val="134"/>
        <scheme val="minor"/>
      </rPr>
      <t/>
    </r>
  </si>
  <si>
    <r>
      <t>4</t>
    </r>
    <r>
      <rPr>
        <sz val="11"/>
        <color theme="1"/>
        <rFont val="宋体"/>
        <family val="3"/>
        <charset val="134"/>
        <scheme val="minor"/>
      </rPr>
      <t>-1739</t>
    </r>
    <r>
      <rPr>
        <sz val="11"/>
        <color theme="1"/>
        <rFont val="宋体"/>
        <family val="2"/>
        <charset val="134"/>
        <scheme val="minor"/>
      </rPr>
      <t/>
    </r>
  </si>
  <si>
    <r>
      <t>4</t>
    </r>
    <r>
      <rPr>
        <sz val="11"/>
        <color theme="1"/>
        <rFont val="宋体"/>
        <family val="3"/>
        <charset val="134"/>
        <scheme val="minor"/>
      </rPr>
      <t>-1740</t>
    </r>
    <r>
      <rPr>
        <sz val="11"/>
        <color theme="1"/>
        <rFont val="宋体"/>
        <family val="2"/>
        <charset val="134"/>
        <scheme val="minor"/>
      </rPr>
      <t/>
    </r>
  </si>
  <si>
    <r>
      <t>4</t>
    </r>
    <r>
      <rPr>
        <sz val="11"/>
        <color theme="1"/>
        <rFont val="宋体"/>
        <family val="3"/>
        <charset val="134"/>
        <scheme val="minor"/>
      </rPr>
      <t>-1741</t>
    </r>
    <r>
      <rPr>
        <sz val="11"/>
        <color theme="1"/>
        <rFont val="宋体"/>
        <family val="2"/>
        <charset val="134"/>
        <scheme val="minor"/>
      </rPr>
      <t/>
    </r>
  </si>
  <si>
    <r>
      <t>4</t>
    </r>
    <r>
      <rPr>
        <sz val="11"/>
        <color theme="1"/>
        <rFont val="宋体"/>
        <family val="3"/>
        <charset val="134"/>
        <scheme val="minor"/>
      </rPr>
      <t>-1742</t>
    </r>
    <r>
      <rPr>
        <sz val="11"/>
        <color theme="1"/>
        <rFont val="宋体"/>
        <family val="2"/>
        <charset val="134"/>
        <scheme val="minor"/>
      </rPr>
      <t/>
    </r>
  </si>
  <si>
    <r>
      <t>4</t>
    </r>
    <r>
      <rPr>
        <sz val="11"/>
        <color theme="1"/>
        <rFont val="宋体"/>
        <family val="3"/>
        <charset val="134"/>
        <scheme val="minor"/>
      </rPr>
      <t>-1743</t>
    </r>
    <r>
      <rPr>
        <sz val="11"/>
        <color theme="1"/>
        <rFont val="宋体"/>
        <family val="2"/>
        <charset val="134"/>
        <scheme val="minor"/>
      </rPr>
      <t/>
    </r>
  </si>
  <si>
    <r>
      <t>4</t>
    </r>
    <r>
      <rPr>
        <sz val="11"/>
        <color theme="1"/>
        <rFont val="宋体"/>
        <family val="3"/>
        <charset val="134"/>
        <scheme val="minor"/>
      </rPr>
      <t>-1744</t>
    </r>
    <r>
      <rPr>
        <sz val="11"/>
        <color theme="1"/>
        <rFont val="宋体"/>
        <family val="2"/>
        <charset val="134"/>
        <scheme val="minor"/>
      </rPr>
      <t/>
    </r>
  </si>
  <si>
    <r>
      <t>4</t>
    </r>
    <r>
      <rPr>
        <sz val="11"/>
        <color theme="1"/>
        <rFont val="宋体"/>
        <family val="3"/>
        <charset val="134"/>
        <scheme val="minor"/>
      </rPr>
      <t>-1745</t>
    </r>
    <r>
      <rPr>
        <sz val="11"/>
        <color theme="1"/>
        <rFont val="宋体"/>
        <family val="2"/>
        <charset val="134"/>
        <scheme val="minor"/>
      </rPr>
      <t/>
    </r>
  </si>
  <si>
    <t>合计</t>
    <phoneticPr fontId="144" type="noConversion"/>
  </si>
  <si>
    <t>办公楼</t>
  </si>
  <si>
    <t>总土地面积</t>
    <phoneticPr fontId="144" type="noConversion"/>
  </si>
  <si>
    <t>总地上规划建筑面积</t>
    <phoneticPr fontId="144" type="noConversion"/>
  </si>
  <si>
    <t>分摊土地面积</t>
    <phoneticPr fontId="144" type="noConversion"/>
  </si>
  <si>
    <t>本次规划建筑面积</t>
    <phoneticPr fontId="144" type="noConversion"/>
  </si>
  <si>
    <t>地上办公3-301</t>
  </si>
  <si>
    <t>地上办公3-301</t>
    <phoneticPr fontId="8" type="noConversion"/>
  </si>
  <si>
    <t>地上办公</t>
    <phoneticPr fontId="8" type="noConversion"/>
  </si>
  <si>
    <t>下城区杭州新天地项目D地块办公用房房地产</t>
    <phoneticPr fontId="7" type="noConversion"/>
  </si>
  <si>
    <t>2017-1-0966-P01DYGJ3</t>
    <phoneticPr fontId="7" type="noConversion"/>
  </si>
  <si>
    <r>
      <rPr>
        <sz val="12"/>
        <color theme="9" tint="-0.249977111117893"/>
        <rFont val="宋体"/>
        <family val="3"/>
        <charset val="134"/>
      </rPr>
      <t>《房地产测绘成果报告》</t>
    </r>
    <r>
      <rPr>
        <sz val="12"/>
        <color theme="9" tint="-0.249977111117893"/>
        <rFont val="Arial"/>
        <family val="2"/>
      </rPr>
      <t>[</t>
    </r>
    <r>
      <rPr>
        <sz val="12"/>
        <color theme="9" tint="-0.249977111117893"/>
        <rFont val="宋体"/>
        <family val="3"/>
        <charset val="134"/>
      </rPr>
      <t>杭测字</t>
    </r>
    <r>
      <rPr>
        <sz val="12"/>
        <color theme="9" tint="-0.249977111117893"/>
        <rFont val="Arial"/>
        <family val="2"/>
      </rPr>
      <t>K2017</t>
    </r>
    <r>
      <rPr>
        <sz val="12"/>
        <color theme="9" tint="-0.249977111117893"/>
        <rFont val="宋体"/>
        <family val="3"/>
        <charset val="134"/>
      </rPr>
      <t>第</t>
    </r>
    <r>
      <rPr>
        <sz val="12"/>
        <color theme="9" tint="-0.249977111117893"/>
        <rFont val="Arial"/>
        <family val="2"/>
      </rPr>
      <t>113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</si>
  <si>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《国有土地使用权证》[杭下国用（2010）第100061号]、《房地产测绘成果报告》[杭测字K2017第113号]及《抵押物清单》</t>
    <phoneticPr fontId="7" type="noConversion"/>
  </si>
  <si>
    <t>《国有土地使用权》</t>
  </si>
  <si>
    <t>分摊土地面积</t>
    <phoneticPr fontId="144" type="noConversion"/>
  </si>
  <si>
    <t>蔚蓝国际大厦</t>
    <phoneticPr fontId="4" type="noConversion"/>
  </si>
  <si>
    <t>杭州市下城区东新路533号</t>
    <phoneticPr fontId="4" type="noConversion"/>
  </si>
  <si>
    <t>办公</t>
    <phoneticPr fontId="33" type="noConversion"/>
  </si>
  <si>
    <t>标准写字楼</t>
  </si>
  <si>
    <t>标准写字楼</t>
    <phoneticPr fontId="33" type="noConversion"/>
  </si>
  <si>
    <t>公寓</t>
    <phoneticPr fontId="33" type="noConversion"/>
  </si>
  <si>
    <t>钢混</t>
    <phoneticPr fontId="33" type="noConversion"/>
  </si>
  <si>
    <t>混合</t>
    <phoneticPr fontId="33" type="noConversion"/>
  </si>
  <si>
    <t>砖</t>
    <phoneticPr fontId="33" type="noConversion"/>
  </si>
  <si>
    <t>精装修</t>
    <phoneticPr fontId="33" type="noConversion"/>
  </si>
  <si>
    <t>普通装修</t>
  </si>
  <si>
    <t>普通装修</t>
    <phoneticPr fontId="33" type="noConversion"/>
  </si>
  <si>
    <t>毛坯</t>
    <phoneticPr fontId="33" type="noConversion"/>
  </si>
  <si>
    <t>甲级</t>
  </si>
  <si>
    <t>甲级</t>
    <phoneticPr fontId="33" type="noConversion"/>
  </si>
  <si>
    <t>乙级</t>
    <phoneticPr fontId="33" type="noConversion"/>
  </si>
  <si>
    <t>丙级</t>
    <phoneticPr fontId="33" type="noConversion"/>
  </si>
  <si>
    <t>专业</t>
  </si>
  <si>
    <t>专业</t>
    <phoneticPr fontId="33" type="noConversion"/>
  </si>
  <si>
    <t>非专业</t>
    <phoneticPr fontId="33" type="noConversion"/>
  </si>
  <si>
    <t>六通</t>
    <phoneticPr fontId="33" type="noConversion"/>
  </si>
  <si>
    <t>五通</t>
    <phoneticPr fontId="33" type="noConversion"/>
  </si>
  <si>
    <t>四通</t>
    <phoneticPr fontId="33" type="noConversion"/>
  </si>
  <si>
    <t>三通</t>
    <phoneticPr fontId="33" type="noConversion"/>
  </si>
  <si>
    <t>标准层高</t>
    <phoneticPr fontId="33" type="noConversion"/>
  </si>
  <si>
    <t>挑高层高</t>
    <phoneticPr fontId="33" type="noConversion"/>
  </si>
  <si>
    <t>30-500</t>
    <phoneticPr fontId="33" type="noConversion"/>
  </si>
  <si>
    <t>30-500</t>
    <phoneticPr fontId="33" type="noConversion"/>
  </si>
  <si>
    <t>杭州市下城区白石路与西文路交叉口</t>
    <phoneticPr fontId="4" type="noConversion"/>
  </si>
  <si>
    <t>海蓝财富中心</t>
    <phoneticPr fontId="4" type="noConversion"/>
  </si>
  <si>
    <t>中大银泰城</t>
    <phoneticPr fontId="4" type="noConversion"/>
  </si>
  <si>
    <t>杭州市下城区东新路石祥路口</t>
    <phoneticPr fontId="4" type="noConversion"/>
  </si>
  <si>
    <t>比较法-办公</t>
  </si>
  <si>
    <t>收益法 (元)</t>
  </si>
  <si>
    <t>位置</t>
  </si>
  <si>
    <t>建筑面积</t>
  </si>
  <si>
    <t>修正系数</t>
  </si>
  <si>
    <t>修正单价</t>
  </si>
  <si>
    <t>总价</t>
  </si>
  <si>
    <t>3-301</t>
  </si>
  <si>
    <t>4-301</t>
  </si>
  <si>
    <t>3-401</t>
  </si>
  <si>
    <t>4-401</t>
  </si>
  <si>
    <t>3-501</t>
  </si>
  <si>
    <t>3-502</t>
  </si>
  <si>
    <t>3-503</t>
  </si>
  <si>
    <t>3-504</t>
  </si>
  <si>
    <t>3-505</t>
  </si>
  <si>
    <t>3-506</t>
  </si>
  <si>
    <t>3-507</t>
  </si>
  <si>
    <t>3-508</t>
  </si>
  <si>
    <t>3-509</t>
  </si>
  <si>
    <t>3-510</t>
  </si>
  <si>
    <t>3-511</t>
  </si>
  <si>
    <t>3-512</t>
  </si>
  <si>
    <t>3-513</t>
  </si>
  <si>
    <t>3-514</t>
  </si>
  <si>
    <t>3-515</t>
  </si>
  <si>
    <t>3-516</t>
  </si>
  <si>
    <t>3-517</t>
  </si>
  <si>
    <t>3-518</t>
  </si>
  <si>
    <t>3-519</t>
  </si>
  <si>
    <t>4-501</t>
  </si>
  <si>
    <t>4-502</t>
  </si>
  <si>
    <t>4-503</t>
  </si>
  <si>
    <t>4-504</t>
  </si>
  <si>
    <t>4-505</t>
  </si>
  <si>
    <t>4-506</t>
  </si>
  <si>
    <t>4-507</t>
  </si>
  <si>
    <t>4-508</t>
  </si>
  <si>
    <t>4-509</t>
  </si>
  <si>
    <t>4-510</t>
  </si>
  <si>
    <t>4-511</t>
  </si>
  <si>
    <t>4-512</t>
  </si>
  <si>
    <t>4-513</t>
  </si>
  <si>
    <t>4-514</t>
  </si>
  <si>
    <t>4-515</t>
  </si>
  <si>
    <t>4-516</t>
  </si>
  <si>
    <t>4-517</t>
  </si>
  <si>
    <t>1-601</t>
  </si>
  <si>
    <t>1-602</t>
  </si>
  <si>
    <t>1-603</t>
  </si>
  <si>
    <t>1-604</t>
  </si>
  <si>
    <t>1-605</t>
  </si>
  <si>
    <t>1-606</t>
  </si>
  <si>
    <t>1-607</t>
  </si>
  <si>
    <t>1-608</t>
  </si>
  <si>
    <t>1-609</t>
  </si>
  <si>
    <t>1-610</t>
  </si>
  <si>
    <t>1-611</t>
  </si>
  <si>
    <t>1-612</t>
  </si>
  <si>
    <t>1-613</t>
  </si>
  <si>
    <t>1-614</t>
  </si>
  <si>
    <t>1-615</t>
  </si>
  <si>
    <t>1-616</t>
  </si>
  <si>
    <t>1-617</t>
  </si>
  <si>
    <t>1-618</t>
  </si>
  <si>
    <t>1-619</t>
  </si>
  <si>
    <t>1-620</t>
  </si>
  <si>
    <t>2-601</t>
  </si>
  <si>
    <t>2-602</t>
  </si>
  <si>
    <t>2-603</t>
  </si>
  <si>
    <t>2-604</t>
  </si>
  <si>
    <t>2-605</t>
  </si>
  <si>
    <t>2-606</t>
  </si>
  <si>
    <t>2-607</t>
  </si>
  <si>
    <t>2-608</t>
  </si>
  <si>
    <t>2-609</t>
  </si>
  <si>
    <t>2-610</t>
  </si>
  <si>
    <t>2-611</t>
  </si>
  <si>
    <t>2-612</t>
  </si>
  <si>
    <t>2-613</t>
  </si>
  <si>
    <t>2-614</t>
  </si>
  <si>
    <t>2-615</t>
  </si>
  <si>
    <t>2-616</t>
  </si>
  <si>
    <t>2-617</t>
  </si>
  <si>
    <t>2-618</t>
  </si>
  <si>
    <t>2-619</t>
  </si>
  <si>
    <t>2-620</t>
  </si>
  <si>
    <t>3-601</t>
  </si>
  <si>
    <t>3-602</t>
  </si>
  <si>
    <t>3-603</t>
  </si>
  <si>
    <t>3-604</t>
  </si>
  <si>
    <t>3-605</t>
  </si>
  <si>
    <t>3-606</t>
  </si>
  <si>
    <t>3-607</t>
  </si>
  <si>
    <t>3-608</t>
  </si>
  <si>
    <t>3-609</t>
  </si>
  <si>
    <t>3-610</t>
  </si>
  <si>
    <t>3-611</t>
  </si>
  <si>
    <t>3-612</t>
  </si>
  <si>
    <t>3-613</t>
  </si>
  <si>
    <t>3-614</t>
  </si>
  <si>
    <t>3-615</t>
  </si>
  <si>
    <t>3-616</t>
  </si>
  <si>
    <t>3-617</t>
  </si>
  <si>
    <t>3-618</t>
  </si>
  <si>
    <t>3-619</t>
  </si>
  <si>
    <t>4-601</t>
  </si>
  <si>
    <t>4-602</t>
  </si>
  <si>
    <t>4-603</t>
  </si>
  <si>
    <t>4-604</t>
  </si>
  <si>
    <t>4-605</t>
  </si>
  <si>
    <t>4-606</t>
  </si>
  <si>
    <t>4-607</t>
  </si>
  <si>
    <t>4-608</t>
  </si>
  <si>
    <t>4-609</t>
  </si>
  <si>
    <t>4-610</t>
  </si>
  <si>
    <t>4-611</t>
  </si>
  <si>
    <t>4-612</t>
  </si>
  <si>
    <t>4-613</t>
  </si>
  <si>
    <t>4-614</t>
  </si>
  <si>
    <t>4-615</t>
  </si>
  <si>
    <t>4-616</t>
  </si>
  <si>
    <t>4-617</t>
  </si>
  <si>
    <t>1-701</t>
  </si>
  <si>
    <t>1-702</t>
  </si>
  <si>
    <t>1-703</t>
  </si>
  <si>
    <t>1-704</t>
  </si>
  <si>
    <t>1-705</t>
  </si>
  <si>
    <t>1-706</t>
  </si>
  <si>
    <t>1-707</t>
  </si>
  <si>
    <t>1-708</t>
  </si>
  <si>
    <t>1-709</t>
  </si>
  <si>
    <t>1-710</t>
  </si>
  <si>
    <t>1-711</t>
  </si>
  <si>
    <t>1-712</t>
  </si>
  <si>
    <t>1-713</t>
  </si>
  <si>
    <t>1-714</t>
  </si>
  <si>
    <t>1-715</t>
  </si>
  <si>
    <t>1-716</t>
  </si>
  <si>
    <t>1-717</t>
  </si>
  <si>
    <t>1-718</t>
  </si>
  <si>
    <t>1-719</t>
  </si>
  <si>
    <t>1-720</t>
  </si>
  <si>
    <t>2-701</t>
  </si>
  <si>
    <t>2-702</t>
  </si>
  <si>
    <t>2-703</t>
  </si>
  <si>
    <t>2-704</t>
  </si>
  <si>
    <t>2-705</t>
  </si>
  <si>
    <t>2-706</t>
  </si>
  <si>
    <t>2-707</t>
  </si>
  <si>
    <t>2-708</t>
  </si>
  <si>
    <t>2-709</t>
  </si>
  <si>
    <t>2-710</t>
  </si>
  <si>
    <t>2-711</t>
  </si>
  <si>
    <t>2-712</t>
  </si>
  <si>
    <t>2-713</t>
  </si>
  <si>
    <t>2-714</t>
  </si>
  <si>
    <t>2-715</t>
  </si>
  <si>
    <t>2-716</t>
  </si>
  <si>
    <t>2-717</t>
  </si>
  <si>
    <t>2-718</t>
  </si>
  <si>
    <t>2-719</t>
  </si>
  <si>
    <t>2-720</t>
  </si>
  <si>
    <t>3-701</t>
  </si>
  <si>
    <t>3-702</t>
  </si>
  <si>
    <t>3-703</t>
  </si>
  <si>
    <t>3-704</t>
  </si>
  <si>
    <t>3-705</t>
  </si>
  <si>
    <t>3-706</t>
  </si>
  <si>
    <t>3-707</t>
  </si>
  <si>
    <t>3-708</t>
  </si>
  <si>
    <t>3-709</t>
  </si>
  <si>
    <t>3-710</t>
  </si>
  <si>
    <t>3-711</t>
  </si>
  <si>
    <t>3-712</t>
  </si>
  <si>
    <t>3-713</t>
  </si>
  <si>
    <t>3-714</t>
  </si>
  <si>
    <t>3-715</t>
  </si>
  <si>
    <t>3-716</t>
  </si>
  <si>
    <t>3-717</t>
  </si>
  <si>
    <t>3-718</t>
  </si>
  <si>
    <t>3-719</t>
  </si>
  <si>
    <t>4-701</t>
  </si>
  <si>
    <t>4-702</t>
  </si>
  <si>
    <t>4-703</t>
  </si>
  <si>
    <t>4-704</t>
  </si>
  <si>
    <t>4-705</t>
  </si>
  <si>
    <t>4-706</t>
  </si>
  <si>
    <t>4-707</t>
  </si>
  <si>
    <t>4-708</t>
  </si>
  <si>
    <t>4-709</t>
  </si>
  <si>
    <t>4-710</t>
  </si>
  <si>
    <t>4-711</t>
  </si>
  <si>
    <t>4-712</t>
  </si>
  <si>
    <t>4-713</t>
  </si>
  <si>
    <t>4-714</t>
  </si>
  <si>
    <t>4-715</t>
  </si>
  <si>
    <t>4-716</t>
  </si>
  <si>
    <t>4-717</t>
  </si>
  <si>
    <t>1-801</t>
  </si>
  <si>
    <t>1-802</t>
  </si>
  <si>
    <t>1-803</t>
  </si>
  <si>
    <t>1-804</t>
  </si>
  <si>
    <t>1-805</t>
  </si>
  <si>
    <t>1-806</t>
  </si>
  <si>
    <t>1-807</t>
  </si>
  <si>
    <t>1-808</t>
  </si>
  <si>
    <t>1-809</t>
  </si>
  <si>
    <t>1-810</t>
  </si>
  <si>
    <t>1-811</t>
  </si>
  <si>
    <t>1-812</t>
  </si>
  <si>
    <t>1-813</t>
  </si>
  <si>
    <t>1-814</t>
  </si>
  <si>
    <t>1-815</t>
  </si>
  <si>
    <t>1-816</t>
  </si>
  <si>
    <t>1-817</t>
  </si>
  <si>
    <t>1-818</t>
  </si>
  <si>
    <t>1-819</t>
  </si>
  <si>
    <t>1-820</t>
  </si>
  <si>
    <t>2-801</t>
  </si>
  <si>
    <t>2-802</t>
  </si>
  <si>
    <t>2-803</t>
  </si>
  <si>
    <t>2-804</t>
  </si>
  <si>
    <t>2-805</t>
  </si>
  <si>
    <t>2-806</t>
  </si>
  <si>
    <t>2-807</t>
  </si>
  <si>
    <t>2-808</t>
  </si>
  <si>
    <t>2-809</t>
  </si>
  <si>
    <t>2-810</t>
  </si>
  <si>
    <t>2-811</t>
  </si>
  <si>
    <t>2-812</t>
  </si>
  <si>
    <t>2-813</t>
  </si>
  <si>
    <t>2-814</t>
  </si>
  <si>
    <t>2-815</t>
  </si>
  <si>
    <t>2-816</t>
  </si>
  <si>
    <t>2-817</t>
  </si>
  <si>
    <t>2-818</t>
  </si>
  <si>
    <t>2-819</t>
  </si>
  <si>
    <t>2-820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</si>
  <si>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</si>
  <si>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</si>
  <si>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</si>
  <si>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</si>
  <si>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</si>
  <si>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</si>
  <si>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</si>
  <si>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</si>
  <si>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</si>
  <si>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</si>
  <si>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</si>
  <si>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</si>
  <si>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</si>
  <si>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</si>
  <si>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</si>
  <si>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</si>
  <si>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</si>
  <si>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</si>
  <si>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</si>
  <si>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</si>
  <si>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</si>
  <si>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</si>
  <si>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</si>
  <si>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</si>
  <si>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</si>
  <si>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</si>
  <si>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</si>
  <si>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</si>
  <si>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</si>
  <si>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</si>
  <si>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</si>
  <si>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</si>
  <si>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</si>
  <si>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</si>
  <si>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</si>
  <si>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</si>
  <si>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</si>
  <si>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</si>
  <si>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</si>
  <si>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</si>
  <si>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</si>
  <si>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</si>
  <si>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</si>
  <si>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</si>
  <si>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</si>
  <si>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</si>
  <si>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</si>
  <si>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</si>
  <si>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</si>
  <si>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</si>
  <si>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</si>
  <si>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</si>
  <si>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4-801</t>
  </si>
  <si>
    <t>4-802</t>
  </si>
  <si>
    <t>4-803</t>
  </si>
  <si>
    <t>4-804</t>
  </si>
  <si>
    <t>4-805</t>
  </si>
  <si>
    <t>4-806</t>
  </si>
  <si>
    <t>4-807</t>
  </si>
  <si>
    <t>4-808</t>
  </si>
  <si>
    <t>4-809</t>
  </si>
  <si>
    <t>4-810</t>
  </si>
  <si>
    <t>4-811</t>
  </si>
  <si>
    <t>4-812</t>
  </si>
  <si>
    <t>4-813</t>
  </si>
  <si>
    <t>4-814</t>
  </si>
  <si>
    <t>4-815</t>
  </si>
  <si>
    <t>4-816</t>
  </si>
  <si>
    <t>4-817</t>
  </si>
  <si>
    <t>1-901</t>
  </si>
  <si>
    <t>1-902</t>
  </si>
  <si>
    <t>1-903</t>
  </si>
  <si>
    <t>1-904</t>
  </si>
  <si>
    <t>1-905</t>
  </si>
  <si>
    <t>1-906</t>
  </si>
  <si>
    <t>1-907</t>
  </si>
  <si>
    <t>1-908</t>
  </si>
  <si>
    <t>1-909</t>
  </si>
  <si>
    <t>1-910</t>
  </si>
  <si>
    <t>1-911</t>
  </si>
  <si>
    <t>1-912</t>
  </si>
  <si>
    <t>1-913</t>
  </si>
  <si>
    <t>1-914</t>
  </si>
  <si>
    <t>1-915</t>
  </si>
  <si>
    <t>1-916</t>
  </si>
  <si>
    <t>1-917</t>
  </si>
  <si>
    <t>1-918</t>
  </si>
  <si>
    <t>1-919</t>
  </si>
  <si>
    <t>1-920</t>
  </si>
  <si>
    <t>2-901</t>
  </si>
  <si>
    <t>2-902</t>
  </si>
  <si>
    <t>2-903</t>
  </si>
  <si>
    <t>2-904</t>
  </si>
  <si>
    <t>2-905</t>
  </si>
  <si>
    <t>2-906</t>
  </si>
  <si>
    <t>2-907</t>
  </si>
  <si>
    <t>2-908</t>
  </si>
  <si>
    <t>2-909</t>
  </si>
  <si>
    <t>2-910</t>
  </si>
  <si>
    <t>2-911</t>
  </si>
  <si>
    <t>2-912</t>
  </si>
  <si>
    <t>2-913</t>
  </si>
  <si>
    <t>2-914</t>
  </si>
  <si>
    <t>2-915</t>
  </si>
  <si>
    <t>2-916</t>
  </si>
  <si>
    <t>2-917</t>
  </si>
  <si>
    <t>2-918</t>
  </si>
  <si>
    <t>2-919</t>
  </si>
  <si>
    <t>2-920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</si>
  <si>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</si>
  <si>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</si>
  <si>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</si>
  <si>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</si>
  <si>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</si>
  <si>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</si>
  <si>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</si>
  <si>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</si>
  <si>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</si>
  <si>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</si>
  <si>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</si>
  <si>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</si>
  <si>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</si>
  <si>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</si>
  <si>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</si>
  <si>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</si>
  <si>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</si>
  <si>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</si>
  <si>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</si>
  <si>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</si>
  <si>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</si>
  <si>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</si>
  <si>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</si>
  <si>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</si>
  <si>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</si>
  <si>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</si>
  <si>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</si>
  <si>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</si>
  <si>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</si>
  <si>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</si>
  <si>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</si>
  <si>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</si>
  <si>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</si>
  <si>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</si>
  <si>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</si>
  <si>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</si>
  <si>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</si>
  <si>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</si>
  <si>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</si>
  <si>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</si>
  <si>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</si>
  <si>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</si>
  <si>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</si>
  <si>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</si>
  <si>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</si>
  <si>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</si>
  <si>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</si>
  <si>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</si>
  <si>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</si>
  <si>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</si>
  <si>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</si>
  <si>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</si>
  <si>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</si>
  <si>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</si>
  <si>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</si>
  <si>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</si>
  <si>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</si>
  <si>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</si>
  <si>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</si>
  <si>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</si>
  <si>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</si>
  <si>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</si>
  <si>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</si>
  <si>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</si>
  <si>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</si>
  <si>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</si>
  <si>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</si>
  <si>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</si>
  <si>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</si>
  <si>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</si>
  <si>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</si>
  <si>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</si>
  <si>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</si>
  <si>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</si>
  <si>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</si>
  <si>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</si>
  <si>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</si>
  <si>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</si>
  <si>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</si>
  <si>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</si>
  <si>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</si>
  <si>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</si>
  <si>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</si>
  <si>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</si>
  <si>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</si>
  <si>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</si>
  <si>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</si>
  <si>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</si>
  <si>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</si>
  <si>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</si>
  <si>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</si>
  <si>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</si>
  <si>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</si>
  <si>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</si>
  <si>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</si>
  <si>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</si>
  <si>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</si>
  <si>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</si>
  <si>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</si>
  <si>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</si>
  <si>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</si>
  <si>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</si>
  <si>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</si>
  <si>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</si>
  <si>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</si>
  <si>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</si>
  <si>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</si>
  <si>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</si>
  <si>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</si>
  <si>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</si>
  <si>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</si>
  <si>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</si>
  <si>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</si>
  <si>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</si>
  <si>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</si>
  <si>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</si>
  <si>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</si>
  <si>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2-1001</t>
  </si>
  <si>
    <t>2-1002</t>
  </si>
  <si>
    <t>2-1003</t>
  </si>
  <si>
    <t>2-1004</t>
  </si>
  <si>
    <t>2-1005</t>
  </si>
  <si>
    <t>2-1006</t>
  </si>
  <si>
    <t>2-1007</t>
  </si>
  <si>
    <t>2-1008</t>
  </si>
  <si>
    <t>2-1009</t>
  </si>
  <si>
    <t>2-1010</t>
  </si>
  <si>
    <t>2-1011</t>
  </si>
  <si>
    <t>2-1012</t>
  </si>
  <si>
    <t>2-1013</t>
  </si>
  <si>
    <t>2-1014</t>
  </si>
  <si>
    <t>2-1015</t>
  </si>
  <si>
    <t>2-1016</t>
  </si>
  <si>
    <t>2-1017</t>
  </si>
  <si>
    <t>2-1018</t>
  </si>
  <si>
    <t>2-1019</t>
  </si>
  <si>
    <t>2-1020</t>
  </si>
  <si>
    <t>3-1001</t>
  </si>
  <si>
    <t>3-1002</t>
  </si>
  <si>
    <t>3-1003</t>
  </si>
  <si>
    <t>3-1004</t>
  </si>
  <si>
    <t>3-1005</t>
  </si>
  <si>
    <t>3-1006</t>
  </si>
  <si>
    <t>3-1007</t>
  </si>
  <si>
    <t>3-1008</t>
  </si>
  <si>
    <t>3-1009</t>
  </si>
  <si>
    <t>3-1010</t>
  </si>
  <si>
    <t>3-1011</t>
  </si>
  <si>
    <t>3-1012</t>
  </si>
  <si>
    <t>3-1013</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</si>
  <si>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</si>
  <si>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</si>
  <si>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</si>
  <si>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</si>
  <si>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</si>
  <si>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</si>
  <si>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</si>
  <si>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</si>
  <si>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</si>
  <si>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</si>
  <si>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</si>
  <si>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</si>
  <si>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</si>
  <si>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</si>
  <si>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</si>
  <si>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</si>
  <si>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</si>
  <si>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</si>
  <si>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</si>
  <si>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</si>
  <si>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</si>
  <si>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</si>
  <si>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</si>
  <si>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</si>
  <si>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</si>
  <si>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</si>
  <si>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</si>
  <si>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</si>
  <si>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</si>
  <si>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3-1043</t>
  </si>
  <si>
    <t>3-1044</t>
  </si>
  <si>
    <t>3-1045</t>
  </si>
  <si>
    <t>3-1046</t>
  </si>
  <si>
    <t>3-1047</t>
  </si>
  <si>
    <t>3-1048</t>
  </si>
  <si>
    <t>3-1049</t>
  </si>
  <si>
    <t>3-1050</t>
  </si>
  <si>
    <t>3-1051</t>
  </si>
  <si>
    <t>3-1052</t>
  </si>
  <si>
    <t>4-1001</t>
  </si>
  <si>
    <t>4-1002</t>
  </si>
  <si>
    <t>4-1003</t>
  </si>
  <si>
    <t>4-1004</t>
  </si>
  <si>
    <t>4-1005</t>
  </si>
  <si>
    <t>4-1006</t>
  </si>
  <si>
    <t>4-1007</t>
  </si>
  <si>
    <t>4-1008</t>
  </si>
  <si>
    <t>4-1009</t>
  </si>
  <si>
    <t>4-1010</t>
  </si>
  <si>
    <t>4-1011</t>
  </si>
  <si>
    <t>4-1012</t>
  </si>
  <si>
    <t>4-1013</t>
  </si>
  <si>
    <t>4-1014</t>
  </si>
  <si>
    <t>4-1015</t>
  </si>
  <si>
    <t>4-1016</t>
  </si>
  <si>
    <t>4-1017</t>
  </si>
  <si>
    <t>4-1018</t>
  </si>
  <si>
    <t>4-1019</t>
  </si>
  <si>
    <t>4-1020</t>
  </si>
  <si>
    <t>4-1021</t>
  </si>
  <si>
    <t>4-1022</t>
  </si>
  <si>
    <t>4-1023</t>
  </si>
  <si>
    <t>4-1024</t>
  </si>
  <si>
    <t>4-1025</t>
  </si>
  <si>
    <t>4-1026</t>
  </si>
  <si>
    <t>4-1027</t>
  </si>
  <si>
    <t>4-1028</t>
  </si>
  <si>
    <t>4-1029</t>
  </si>
  <si>
    <t>4-1030</t>
  </si>
  <si>
    <t>4-1031</t>
  </si>
  <si>
    <t>4-1032</t>
  </si>
  <si>
    <t>4-1033</t>
  </si>
  <si>
    <t>4-1034</t>
  </si>
  <si>
    <t>4-1035</t>
  </si>
  <si>
    <t>4-1036</t>
  </si>
  <si>
    <t>4-1037</t>
  </si>
  <si>
    <t>4-1038</t>
  </si>
  <si>
    <t>4-1039</t>
  </si>
  <si>
    <t>4-1040</t>
  </si>
  <si>
    <t>4-1041</t>
  </si>
  <si>
    <t>4-1042</t>
  </si>
  <si>
    <t>4-1043</t>
  </si>
  <si>
    <t>4-1044</t>
  </si>
  <si>
    <t>4-1045</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</si>
  <si>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</si>
  <si>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</si>
  <si>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</si>
  <si>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</si>
  <si>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</si>
  <si>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</si>
  <si>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</si>
  <si>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</si>
  <si>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</si>
  <si>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</si>
  <si>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</si>
  <si>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</si>
  <si>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</si>
  <si>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</si>
  <si>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</si>
  <si>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</si>
  <si>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</si>
  <si>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</si>
  <si>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</si>
  <si>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</si>
  <si>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</si>
  <si>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</si>
  <si>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</si>
  <si>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</si>
  <si>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</si>
  <si>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</si>
  <si>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</si>
  <si>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</si>
  <si>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</si>
  <si>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</si>
  <si>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</si>
  <si>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</si>
  <si>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</si>
  <si>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</si>
  <si>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</si>
  <si>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</si>
  <si>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</si>
  <si>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</si>
  <si>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</si>
  <si>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</si>
  <si>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3-1101</t>
  </si>
  <si>
    <t>3-1102</t>
  </si>
  <si>
    <t>3-1103</t>
  </si>
  <si>
    <t>3-1104</t>
  </si>
  <si>
    <t>3-1105</t>
  </si>
  <si>
    <t>3-1106</t>
  </si>
  <si>
    <t>3-1107</t>
  </si>
  <si>
    <t>3-1108</t>
  </si>
  <si>
    <t>3-1109</t>
  </si>
  <si>
    <t>3-1110</t>
  </si>
  <si>
    <t>3-1111</t>
  </si>
  <si>
    <t>3-1112</t>
  </si>
  <si>
    <t>3-1113</t>
  </si>
  <si>
    <t>3-1114</t>
  </si>
  <si>
    <t>3-1115</t>
  </si>
  <si>
    <t>3-1116</t>
  </si>
  <si>
    <t>3-1117</t>
  </si>
  <si>
    <t>3-1118</t>
  </si>
  <si>
    <t>3-1119</t>
  </si>
  <si>
    <t>3-1120</t>
  </si>
  <si>
    <t>3-1121</t>
  </si>
  <si>
    <t>3-1122</t>
  </si>
  <si>
    <t>3-1123</t>
  </si>
  <si>
    <t>3-1124</t>
  </si>
  <si>
    <t>3-1125</t>
  </si>
  <si>
    <t>3-1126</t>
  </si>
  <si>
    <t>3-1127</t>
  </si>
  <si>
    <t>3-1128</t>
  </si>
  <si>
    <t>3-1129</t>
  </si>
  <si>
    <t>3-1130</t>
  </si>
  <si>
    <t>3-1131</t>
  </si>
  <si>
    <t>3-1132</t>
  </si>
  <si>
    <t>3-1133</t>
  </si>
  <si>
    <t>3-1134</t>
  </si>
  <si>
    <t>3-1135</t>
  </si>
  <si>
    <t>3-1136</t>
  </si>
  <si>
    <t>3-1137</t>
  </si>
  <si>
    <t>3-1138</t>
  </si>
  <si>
    <t>3-1139</t>
  </si>
  <si>
    <t>3-1140</t>
  </si>
  <si>
    <t>3-1141</t>
  </si>
  <si>
    <t>3-1142</t>
  </si>
  <si>
    <t>3-1143</t>
  </si>
  <si>
    <t>3-1144</t>
  </si>
  <si>
    <t>3-1145</t>
  </si>
  <si>
    <t>3-1146</t>
  </si>
  <si>
    <t>3-1147</t>
  </si>
  <si>
    <t>3-1148</t>
  </si>
  <si>
    <t>3-1149</t>
  </si>
  <si>
    <t>3-1150</t>
  </si>
  <si>
    <t>3-1151</t>
  </si>
  <si>
    <t>3-1152</t>
  </si>
  <si>
    <t>4-1101</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</si>
  <si>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</si>
  <si>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</si>
  <si>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</si>
  <si>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</si>
  <si>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</si>
  <si>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</si>
  <si>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</si>
  <si>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</si>
  <si>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</si>
  <si>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</si>
  <si>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</si>
  <si>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</si>
  <si>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</si>
  <si>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</si>
  <si>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</si>
  <si>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</si>
  <si>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</si>
  <si>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</si>
  <si>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</si>
  <si>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</si>
  <si>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</si>
  <si>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</si>
  <si>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</si>
  <si>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</si>
  <si>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</si>
  <si>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</si>
  <si>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</si>
  <si>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</si>
  <si>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</si>
  <si>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</si>
  <si>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</si>
  <si>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</si>
  <si>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</si>
  <si>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</si>
  <si>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</si>
  <si>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</si>
  <si>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</si>
  <si>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</si>
  <si>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</si>
  <si>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</si>
  <si>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3-1201</t>
  </si>
  <si>
    <t>3-1202</t>
  </si>
  <si>
    <t>3-1203</t>
  </si>
  <si>
    <t>3-1204</t>
  </si>
  <si>
    <t>3-1205</t>
  </si>
  <si>
    <t>3-1206</t>
  </si>
  <si>
    <t>3-1207</t>
  </si>
  <si>
    <t>3-1208</t>
  </si>
  <si>
    <t>3-1209</t>
  </si>
  <si>
    <t>3-1210</t>
  </si>
  <si>
    <t>3-1211</t>
  </si>
  <si>
    <t>3-1212</t>
  </si>
  <si>
    <t>3-1213</t>
  </si>
  <si>
    <t>3-1214</t>
  </si>
  <si>
    <t>3-1215</t>
  </si>
  <si>
    <t>3-1216</t>
  </si>
  <si>
    <t>3-1217</t>
  </si>
  <si>
    <t>3-1218</t>
  </si>
  <si>
    <t>3-1219</t>
  </si>
  <si>
    <t>3-1220</t>
  </si>
  <si>
    <t>3-1221</t>
  </si>
  <si>
    <t>3-1222</t>
  </si>
  <si>
    <t>3-1223</t>
  </si>
  <si>
    <t>3-1224</t>
  </si>
  <si>
    <t>3-1225</t>
  </si>
  <si>
    <t>3-1226</t>
  </si>
  <si>
    <t>3-1227</t>
  </si>
  <si>
    <t>3-1228</t>
  </si>
  <si>
    <t>3-1229</t>
  </si>
  <si>
    <t>3-1230</t>
  </si>
  <si>
    <t>3-1231</t>
  </si>
  <si>
    <t>3-1232</t>
  </si>
  <si>
    <t>3-1233</t>
  </si>
  <si>
    <t>3-1234</t>
  </si>
  <si>
    <t>3-1235</t>
  </si>
  <si>
    <t>3-1236</t>
  </si>
  <si>
    <t>3-1237</t>
  </si>
  <si>
    <t>3-1238</t>
  </si>
  <si>
    <t>3-1239</t>
  </si>
  <si>
    <t>3-1240</t>
  </si>
  <si>
    <t>3-1241</t>
  </si>
  <si>
    <t>3-1242</t>
  </si>
  <si>
    <t>3-1243</t>
  </si>
  <si>
    <t>3-1244</t>
  </si>
  <si>
    <t>3-1245</t>
  </si>
  <si>
    <t>3-1246</t>
  </si>
  <si>
    <t>3-1247</t>
  </si>
  <si>
    <t>3-1248</t>
  </si>
  <si>
    <t>3-1249</t>
  </si>
  <si>
    <t>3-1250</t>
  </si>
  <si>
    <t>3-1251</t>
  </si>
  <si>
    <t>3-1252</t>
  </si>
  <si>
    <t>4-1201</t>
  </si>
  <si>
    <t>4-1202</t>
  </si>
  <si>
    <t>4-1203</t>
  </si>
  <si>
    <t>4-1204</t>
  </si>
  <si>
    <t>4-1205</t>
  </si>
  <si>
    <t>4-1206</t>
  </si>
  <si>
    <t>4-1207</t>
  </si>
  <si>
    <t>4-1208</t>
  </si>
  <si>
    <t>4-1209</t>
  </si>
  <si>
    <t>4-1210</t>
  </si>
  <si>
    <t>4-1211</t>
  </si>
  <si>
    <t>4-1212</t>
  </si>
  <si>
    <t>4-1213</t>
  </si>
  <si>
    <t>4-1214</t>
  </si>
  <si>
    <t>4-1215</t>
  </si>
  <si>
    <t>4-1216</t>
  </si>
  <si>
    <t>4-1217</t>
  </si>
  <si>
    <t>4-1218</t>
  </si>
  <si>
    <t>4-1219</t>
  </si>
  <si>
    <t>4-1220</t>
  </si>
  <si>
    <t>4-1221</t>
  </si>
  <si>
    <t>4-1222</t>
  </si>
  <si>
    <t>4-1223</t>
  </si>
  <si>
    <t>4-1224</t>
  </si>
  <si>
    <t>4-1225</t>
  </si>
  <si>
    <t>4-1226</t>
  </si>
  <si>
    <t>4-1227</t>
  </si>
  <si>
    <t>4-1228</t>
  </si>
  <si>
    <t>4-1229</t>
  </si>
  <si>
    <t>4-1230</t>
  </si>
  <si>
    <t>4-1231</t>
  </si>
  <si>
    <t>4-1232</t>
  </si>
  <si>
    <t>4-1233</t>
  </si>
  <si>
    <t>4-1234</t>
  </si>
  <si>
    <t>4-1235</t>
  </si>
  <si>
    <t>4-1236</t>
  </si>
  <si>
    <t>4-1237</t>
  </si>
  <si>
    <t>4-1238</t>
  </si>
  <si>
    <t>4-1239</t>
  </si>
  <si>
    <t>4-1240</t>
  </si>
  <si>
    <t>4-1241</t>
  </si>
  <si>
    <t>4-1242</t>
  </si>
  <si>
    <t>4-1243</t>
  </si>
  <si>
    <t>4-1244</t>
  </si>
  <si>
    <t>4-1245</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</si>
  <si>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</si>
  <si>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</si>
  <si>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</si>
  <si>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</si>
  <si>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</si>
  <si>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</si>
  <si>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</si>
  <si>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</si>
  <si>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</si>
  <si>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</si>
  <si>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</si>
  <si>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</si>
  <si>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</si>
  <si>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</si>
  <si>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</si>
  <si>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</si>
  <si>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</si>
  <si>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</si>
  <si>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</si>
  <si>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</si>
  <si>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2-1301</t>
  </si>
  <si>
    <t>2-1302</t>
  </si>
  <si>
    <t>2-1303</t>
  </si>
  <si>
    <t>2-1304</t>
  </si>
  <si>
    <t>2-1305</t>
  </si>
  <si>
    <t>2-1306</t>
  </si>
  <si>
    <t>2-1307</t>
  </si>
  <si>
    <t>2-1308</t>
  </si>
  <si>
    <t>2-1309</t>
  </si>
  <si>
    <t>2-1310</t>
  </si>
  <si>
    <t>2-1311</t>
  </si>
  <si>
    <t>2-1312</t>
  </si>
  <si>
    <t>2-1313</t>
  </si>
  <si>
    <t>2-1314</t>
  </si>
  <si>
    <t>2-1315</t>
  </si>
  <si>
    <t>2-1316</t>
  </si>
  <si>
    <t>2-1317</t>
  </si>
  <si>
    <t>2-1318</t>
  </si>
  <si>
    <t>2-1319</t>
  </si>
  <si>
    <t>2-1320</t>
  </si>
  <si>
    <t>3-1301</t>
  </si>
  <si>
    <t>3-1302</t>
  </si>
  <si>
    <t>3-1303</t>
  </si>
  <si>
    <t>3-1304</t>
  </si>
  <si>
    <t>3-1305</t>
  </si>
  <si>
    <t>3-1306</t>
  </si>
  <si>
    <t>3-1307</t>
  </si>
  <si>
    <t>3-1308</t>
  </si>
  <si>
    <t>3-1309</t>
  </si>
  <si>
    <t>3-1310</t>
  </si>
  <si>
    <t>3-1311</t>
  </si>
  <si>
    <t>3-1312</t>
  </si>
  <si>
    <t>3-1313</t>
  </si>
  <si>
    <t>3-1314</t>
  </si>
  <si>
    <t>3-1315</t>
  </si>
  <si>
    <t>3-1316</t>
  </si>
  <si>
    <t>3-1317</t>
  </si>
  <si>
    <t>3-1318</t>
  </si>
  <si>
    <t>3-1319</t>
  </si>
  <si>
    <t>3-1320</t>
  </si>
  <si>
    <t>3-1321</t>
  </si>
  <si>
    <t>3-1322</t>
  </si>
  <si>
    <t>3-1323</t>
  </si>
  <si>
    <t>3-1324</t>
  </si>
  <si>
    <t>3-1325</t>
  </si>
  <si>
    <t>3-1326</t>
  </si>
  <si>
    <t>3-1327</t>
  </si>
  <si>
    <t>3-1328</t>
  </si>
  <si>
    <t>3-1329</t>
  </si>
  <si>
    <t>3-1330</t>
  </si>
  <si>
    <t>3-1331</t>
  </si>
  <si>
    <t>3-1332</t>
  </si>
  <si>
    <t>3-1333</t>
  </si>
  <si>
    <t>3-1334</t>
  </si>
  <si>
    <t>3-1335</t>
  </si>
  <si>
    <t>3-1336</t>
  </si>
  <si>
    <t>3-1337</t>
  </si>
  <si>
    <t>3-1338</t>
  </si>
  <si>
    <t>3-1339</t>
  </si>
  <si>
    <t>3-1340</t>
  </si>
  <si>
    <t>3-1341</t>
  </si>
  <si>
    <t>3-1342</t>
  </si>
  <si>
    <t>3-1343</t>
  </si>
  <si>
    <t>3-1344</t>
  </si>
  <si>
    <t>3-1345</t>
  </si>
  <si>
    <t>3-1346</t>
  </si>
  <si>
    <t>3-1347</t>
  </si>
  <si>
    <t>3-1348</t>
  </si>
  <si>
    <t>3-1349</t>
  </si>
  <si>
    <t>3-1350</t>
  </si>
  <si>
    <t>3-1351</t>
  </si>
  <si>
    <t>3-1352</t>
  </si>
  <si>
    <t>4-1301</t>
  </si>
  <si>
    <t>4-1302</t>
  </si>
  <si>
    <t>4-1303</t>
  </si>
  <si>
    <t>4-1304</t>
  </si>
  <si>
    <t>4-1305</t>
  </si>
  <si>
    <t>4-1306</t>
  </si>
  <si>
    <t>4-1307</t>
  </si>
  <si>
    <t>4-1308</t>
  </si>
  <si>
    <t>4-1309</t>
  </si>
  <si>
    <t>4-1310</t>
  </si>
  <si>
    <t>4-1311</t>
  </si>
  <si>
    <t>4-1312</t>
  </si>
  <si>
    <t>4-1313</t>
  </si>
  <si>
    <t>4-1314</t>
  </si>
  <si>
    <t>4-1315</t>
  </si>
  <si>
    <t>4-1316</t>
  </si>
  <si>
    <t>4-1317</t>
  </si>
  <si>
    <t>4-1318</t>
  </si>
  <si>
    <t>4-1319</t>
  </si>
  <si>
    <t>4-1320</t>
  </si>
  <si>
    <t>4-1321</t>
  </si>
  <si>
    <t>4-1322</t>
  </si>
  <si>
    <t>4-1323</t>
  </si>
  <si>
    <t>4-1324</t>
  </si>
  <si>
    <t>4-1325</t>
  </si>
  <si>
    <t>4-1326</t>
  </si>
  <si>
    <t>4-1327</t>
  </si>
  <si>
    <t>4-1328</t>
  </si>
  <si>
    <t>4-1329</t>
  </si>
  <si>
    <t>4-1330</t>
  </si>
  <si>
    <t>4-1331</t>
  </si>
  <si>
    <t>4-1332</t>
  </si>
  <si>
    <t>4-1333</t>
  </si>
  <si>
    <t>4-1334</t>
  </si>
  <si>
    <t>4-1335</t>
  </si>
  <si>
    <t>4-1336</t>
  </si>
  <si>
    <t>4-1337</t>
  </si>
  <si>
    <t>4-1338</t>
  </si>
  <si>
    <t>4-1339</t>
  </si>
  <si>
    <t>4-1340</t>
  </si>
  <si>
    <t>4-1341</t>
  </si>
  <si>
    <t>4-1342</t>
  </si>
  <si>
    <t>4-1343</t>
  </si>
  <si>
    <t>4-1344</t>
  </si>
  <si>
    <t>4-1345</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</si>
  <si>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</si>
  <si>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</si>
  <si>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</si>
  <si>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</si>
  <si>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</si>
  <si>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</si>
  <si>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</si>
  <si>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</si>
  <si>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</si>
  <si>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</si>
  <si>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</si>
  <si>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</si>
  <si>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</si>
  <si>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</si>
  <si>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</si>
  <si>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</si>
  <si>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</si>
  <si>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</si>
  <si>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</si>
  <si>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</si>
  <si>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2-1401</t>
  </si>
  <si>
    <t>2-1402</t>
  </si>
  <si>
    <t>2-1403</t>
  </si>
  <si>
    <t>2-1404</t>
  </si>
  <si>
    <t>2-1405</t>
  </si>
  <si>
    <t>2-1406</t>
  </si>
  <si>
    <t>2-1407</t>
  </si>
  <si>
    <t>2-1408</t>
  </si>
  <si>
    <t>2-1409</t>
  </si>
  <si>
    <t>2-1410</t>
  </si>
  <si>
    <t>2-1411</t>
  </si>
  <si>
    <t>2-1412</t>
  </si>
  <si>
    <t>2-1413</t>
  </si>
  <si>
    <t>2-1414</t>
  </si>
  <si>
    <t>2-1415</t>
  </si>
  <si>
    <t>2-1416</t>
  </si>
  <si>
    <t>2-1417</t>
  </si>
  <si>
    <t>2-1418</t>
  </si>
  <si>
    <t>2-1419</t>
  </si>
  <si>
    <t>2-1420</t>
  </si>
  <si>
    <t>3-1401</t>
  </si>
  <si>
    <t>3-1402</t>
  </si>
  <si>
    <t>3-1403</t>
  </si>
  <si>
    <t>3-1404</t>
  </si>
  <si>
    <t>3-1405</t>
  </si>
  <si>
    <t>3-1406</t>
  </si>
  <si>
    <t>3-1407</t>
  </si>
  <si>
    <t>3-1408</t>
  </si>
  <si>
    <t>3-1409</t>
  </si>
  <si>
    <t>3-1410</t>
  </si>
  <si>
    <t>3-1411</t>
  </si>
  <si>
    <t>3-1412</t>
  </si>
  <si>
    <t>3-1413</t>
  </si>
  <si>
    <t>3-1414</t>
  </si>
  <si>
    <t>3-1415</t>
  </si>
  <si>
    <t>3-1416</t>
  </si>
  <si>
    <t>3-1417</t>
  </si>
  <si>
    <t>3-1418</t>
  </si>
  <si>
    <t>3-1419</t>
  </si>
  <si>
    <t>3-1420</t>
  </si>
  <si>
    <t>3-1421</t>
  </si>
  <si>
    <t>3-1422</t>
  </si>
  <si>
    <t>3-1423</t>
  </si>
  <si>
    <t>3-1424</t>
  </si>
  <si>
    <t>3-1425</t>
  </si>
  <si>
    <t>3-1426</t>
  </si>
  <si>
    <t>3-1427</t>
  </si>
  <si>
    <t>3-1428</t>
  </si>
  <si>
    <t>3-1429</t>
  </si>
  <si>
    <t>3-1430</t>
  </si>
  <si>
    <t>3-1431</t>
  </si>
  <si>
    <t>3-1432</t>
  </si>
  <si>
    <t>3-1433</t>
  </si>
  <si>
    <t>3-1434</t>
  </si>
  <si>
    <t>3-1435</t>
  </si>
  <si>
    <t>3-1436</t>
  </si>
  <si>
    <t>3-1437</t>
  </si>
  <si>
    <t>3-1438</t>
  </si>
  <si>
    <t>3-1439</t>
  </si>
  <si>
    <t>3-1440</t>
  </si>
  <si>
    <t>3-1441</t>
  </si>
  <si>
    <t>3-1442</t>
  </si>
  <si>
    <t>3-1443</t>
  </si>
  <si>
    <t>3-1444</t>
  </si>
  <si>
    <t>3-1445</t>
  </si>
  <si>
    <t>3-1446</t>
  </si>
  <si>
    <t>3-1447</t>
  </si>
  <si>
    <t>3-1448</t>
  </si>
  <si>
    <t>3-1449</t>
  </si>
  <si>
    <t>3-1450</t>
  </si>
  <si>
    <t>3-1451</t>
  </si>
  <si>
    <t>3-1452</t>
  </si>
  <si>
    <t>4-1401</t>
  </si>
  <si>
    <t>4-1402</t>
  </si>
  <si>
    <t>4-1403</t>
  </si>
  <si>
    <t>4-1404</t>
  </si>
  <si>
    <t>4-1405</t>
  </si>
  <si>
    <t>4-1406</t>
  </si>
  <si>
    <t>4-1407</t>
  </si>
  <si>
    <t>4-1408</t>
  </si>
  <si>
    <t>4-1409</t>
  </si>
  <si>
    <t>4-1410</t>
  </si>
  <si>
    <t>4-1411</t>
  </si>
  <si>
    <t>4-1412</t>
  </si>
  <si>
    <t>4-1413</t>
  </si>
  <si>
    <t>4-1414</t>
  </si>
  <si>
    <t>4-1415</t>
  </si>
  <si>
    <t>4-1416</t>
  </si>
  <si>
    <t>4-1417</t>
  </si>
  <si>
    <t>4-1418</t>
  </si>
  <si>
    <t>4-1419</t>
  </si>
  <si>
    <t>4-1420</t>
  </si>
  <si>
    <t>4-1421</t>
  </si>
  <si>
    <t>4-1422</t>
  </si>
  <si>
    <t>4-1423</t>
  </si>
  <si>
    <t>4-1424</t>
  </si>
  <si>
    <t>4-1425</t>
  </si>
  <si>
    <t>4-1426</t>
  </si>
  <si>
    <t>4-1427</t>
  </si>
  <si>
    <t>4-1428</t>
  </si>
  <si>
    <t>4-1429</t>
  </si>
  <si>
    <t>4-1430</t>
  </si>
  <si>
    <t>4-1431</t>
  </si>
  <si>
    <t>4-1432</t>
  </si>
  <si>
    <t>4-1433</t>
  </si>
  <si>
    <t>4-1434</t>
  </si>
  <si>
    <t>4-1435</t>
  </si>
  <si>
    <t>4-1436</t>
  </si>
  <si>
    <t>4-1437</t>
  </si>
  <si>
    <t>4-1438</t>
  </si>
  <si>
    <t>4-1439</t>
  </si>
  <si>
    <t>4-1440</t>
  </si>
  <si>
    <t>4-1441</t>
  </si>
  <si>
    <t>4-1442</t>
  </si>
  <si>
    <t>4-1443</t>
  </si>
  <si>
    <t>4-1444</t>
  </si>
  <si>
    <t>4-1445</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</si>
  <si>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</si>
  <si>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</si>
  <si>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</si>
  <si>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</si>
  <si>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</si>
  <si>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</si>
  <si>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</si>
  <si>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</si>
  <si>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</si>
  <si>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</si>
  <si>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</si>
  <si>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</si>
  <si>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</si>
  <si>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</si>
  <si>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</si>
  <si>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</si>
  <si>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</si>
  <si>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</si>
  <si>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</si>
  <si>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</si>
  <si>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2-1501</t>
  </si>
  <si>
    <t>2-1502</t>
  </si>
  <si>
    <t>2-1503</t>
  </si>
  <si>
    <t>2-1504</t>
  </si>
  <si>
    <t>2-1505</t>
  </si>
  <si>
    <t>2-1506</t>
  </si>
  <si>
    <t>2-1507</t>
  </si>
  <si>
    <t>2-1508</t>
  </si>
  <si>
    <t>2-1509</t>
  </si>
  <si>
    <t>2-1510</t>
  </si>
  <si>
    <t>2-1511</t>
  </si>
  <si>
    <t>2-1512</t>
  </si>
  <si>
    <t>2-1513</t>
  </si>
  <si>
    <t>2-1514</t>
  </si>
  <si>
    <t>2-1515</t>
  </si>
  <si>
    <t>2-1516</t>
  </si>
  <si>
    <t>2-1517</t>
  </si>
  <si>
    <t>2-1518</t>
  </si>
  <si>
    <t>2-1519</t>
  </si>
  <si>
    <t>2-1520</t>
  </si>
  <si>
    <t>3-1501</t>
  </si>
  <si>
    <t>3-1502</t>
  </si>
  <si>
    <t>3-1503</t>
  </si>
  <si>
    <t>3-1504</t>
  </si>
  <si>
    <t>3-1505</t>
  </si>
  <si>
    <t>3-1506</t>
  </si>
  <si>
    <t>3-1507</t>
  </si>
  <si>
    <t>3-1508</t>
  </si>
  <si>
    <t>3-1509</t>
  </si>
  <si>
    <t>3-1510</t>
  </si>
  <si>
    <t>3-1511</t>
  </si>
  <si>
    <t>3-1512</t>
  </si>
  <si>
    <t>3-1513</t>
  </si>
  <si>
    <t>3-1514</t>
  </si>
  <si>
    <t>3-1515</t>
  </si>
  <si>
    <t>3-1516</t>
  </si>
  <si>
    <t>3-1517</t>
  </si>
  <si>
    <t>3-1518</t>
  </si>
  <si>
    <t>3-1519</t>
  </si>
  <si>
    <t>3-1520</t>
  </si>
  <si>
    <t>3-1521</t>
  </si>
  <si>
    <t>3-1522</t>
  </si>
  <si>
    <t>3-1523</t>
  </si>
  <si>
    <t>3-1524</t>
  </si>
  <si>
    <t>3-1525</t>
  </si>
  <si>
    <t>3-1526</t>
  </si>
  <si>
    <t>3-1527</t>
  </si>
  <si>
    <t>3-1528</t>
  </si>
  <si>
    <t>3-1529</t>
  </si>
  <si>
    <t>3-1530</t>
  </si>
  <si>
    <t>3-1531</t>
  </si>
  <si>
    <t>3-1532</t>
  </si>
  <si>
    <t>3-1533</t>
  </si>
  <si>
    <t>3-1534</t>
  </si>
  <si>
    <t>3-1535</t>
  </si>
  <si>
    <t>3-1536</t>
  </si>
  <si>
    <t>3-1537</t>
  </si>
  <si>
    <t>3-1538</t>
  </si>
  <si>
    <t>3-1539</t>
  </si>
  <si>
    <t>3-1540</t>
  </si>
  <si>
    <t>3-1541</t>
  </si>
  <si>
    <t>3-1542</t>
  </si>
  <si>
    <t>3-1543</t>
  </si>
  <si>
    <t>3-1544</t>
  </si>
  <si>
    <t>3-1545</t>
  </si>
  <si>
    <t>3-1546</t>
  </si>
  <si>
    <t>3-1547</t>
  </si>
  <si>
    <t>3-1548</t>
  </si>
  <si>
    <t>3-1549</t>
  </si>
  <si>
    <t>3-1550</t>
  </si>
  <si>
    <t>3-1551</t>
  </si>
  <si>
    <t>3-1552</t>
  </si>
  <si>
    <t>4-1501</t>
  </si>
  <si>
    <t>4-1502</t>
  </si>
  <si>
    <t>4-1503</t>
  </si>
  <si>
    <t>4-1504</t>
  </si>
  <si>
    <t>4-1505</t>
  </si>
  <si>
    <t>4-1506</t>
  </si>
  <si>
    <t>4-1507</t>
  </si>
  <si>
    <t>4-1508</t>
  </si>
  <si>
    <t>4-1509</t>
  </si>
  <si>
    <t>4-1510</t>
  </si>
  <si>
    <t>4-1511</t>
  </si>
  <si>
    <t>4-1512</t>
  </si>
  <si>
    <t>4-1513</t>
  </si>
  <si>
    <t>4-1514</t>
  </si>
  <si>
    <t>4-1515</t>
  </si>
  <si>
    <t>4-1516</t>
  </si>
  <si>
    <t>4-1517</t>
  </si>
  <si>
    <t>4-1518</t>
  </si>
  <si>
    <t>4-1519</t>
  </si>
  <si>
    <t>4-1520</t>
  </si>
  <si>
    <t>4-1521</t>
  </si>
  <si>
    <t>4-1522</t>
  </si>
  <si>
    <t>4-1523</t>
  </si>
  <si>
    <t>4-1524</t>
  </si>
  <si>
    <t>4-1525</t>
  </si>
  <si>
    <t>4-1526</t>
  </si>
  <si>
    <t>4-1527</t>
  </si>
  <si>
    <t>4-1528</t>
  </si>
  <si>
    <t>4-1529</t>
  </si>
  <si>
    <t>4-1530</t>
  </si>
  <si>
    <t>4-1531</t>
  </si>
  <si>
    <t>4-1532</t>
  </si>
  <si>
    <t>4-1533</t>
  </si>
  <si>
    <t>4-1534</t>
  </si>
  <si>
    <t>4-1535</t>
  </si>
  <si>
    <t>4-1536</t>
  </si>
  <si>
    <t>4-1537</t>
  </si>
  <si>
    <t>4-1538</t>
  </si>
  <si>
    <t>4-1539</t>
  </si>
  <si>
    <t>4-1540</t>
  </si>
  <si>
    <t>4-1541</t>
  </si>
  <si>
    <t>4-1542</t>
  </si>
  <si>
    <t>4-1543</t>
  </si>
  <si>
    <t>4-1544</t>
  </si>
  <si>
    <t>4-1545</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</si>
  <si>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</si>
  <si>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</si>
  <si>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</si>
  <si>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</si>
  <si>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</si>
  <si>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</si>
  <si>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</si>
  <si>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</si>
  <si>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</si>
  <si>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</si>
  <si>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</si>
  <si>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</si>
  <si>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</si>
  <si>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</si>
  <si>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</si>
  <si>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</si>
  <si>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</si>
  <si>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</si>
  <si>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</si>
  <si>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</si>
  <si>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2-1601</t>
  </si>
  <si>
    <t>2-1602</t>
  </si>
  <si>
    <t>2-1603</t>
  </si>
  <si>
    <t>2-1604</t>
  </si>
  <si>
    <t>2-1605</t>
  </si>
  <si>
    <t>2-1606</t>
  </si>
  <si>
    <t>2-1607</t>
  </si>
  <si>
    <t>2-1608</t>
  </si>
  <si>
    <t>2-1609</t>
  </si>
  <si>
    <t>2-1610</t>
  </si>
  <si>
    <t>2-1611</t>
  </si>
  <si>
    <t>2-1612</t>
  </si>
  <si>
    <t>2-1613</t>
  </si>
  <si>
    <t>2-1614</t>
  </si>
  <si>
    <t>2-1615</t>
  </si>
  <si>
    <t>2-1616</t>
  </si>
  <si>
    <t>2-1617</t>
  </si>
  <si>
    <t>2-1618</t>
  </si>
  <si>
    <t>2-1619</t>
  </si>
  <si>
    <t>2-1620</t>
  </si>
  <si>
    <t>3-1601</t>
  </si>
  <si>
    <t>3-1602</t>
  </si>
  <si>
    <t>3-1603</t>
  </si>
  <si>
    <t>3-1604</t>
  </si>
  <si>
    <t>3-1605</t>
  </si>
  <si>
    <t>3-1606</t>
  </si>
  <si>
    <t>3-1607</t>
  </si>
  <si>
    <t>3-1608</t>
  </si>
  <si>
    <t>3-1609</t>
  </si>
  <si>
    <t>3-1610</t>
  </si>
  <si>
    <t>3-1611</t>
  </si>
  <si>
    <t>3-1612</t>
  </si>
  <si>
    <t>3-1613</t>
  </si>
  <si>
    <t>3-1614</t>
  </si>
  <si>
    <t>3-1615</t>
  </si>
  <si>
    <t>3-1616</t>
  </si>
  <si>
    <t>3-1617</t>
  </si>
  <si>
    <t>3-1618</t>
  </si>
  <si>
    <t>3-1619</t>
  </si>
  <si>
    <t>3-1620</t>
  </si>
  <si>
    <t>3-1621</t>
  </si>
  <si>
    <t>3-1622</t>
  </si>
  <si>
    <t>3-1623</t>
  </si>
  <si>
    <t>3-1624</t>
  </si>
  <si>
    <t>3-1625</t>
  </si>
  <si>
    <t>3-1626</t>
  </si>
  <si>
    <t>3-1627</t>
  </si>
  <si>
    <t>3-1628</t>
  </si>
  <si>
    <t>3-1629</t>
  </si>
  <si>
    <t>3-1630</t>
  </si>
  <si>
    <t>3-1631</t>
  </si>
  <si>
    <t>3-1632</t>
  </si>
  <si>
    <t>3-1633</t>
  </si>
  <si>
    <t>3-1634</t>
  </si>
  <si>
    <t>3-1635</t>
  </si>
  <si>
    <t>3-1636</t>
  </si>
  <si>
    <t>3-1637</t>
  </si>
  <si>
    <t>3-1638</t>
  </si>
  <si>
    <t>3-1639</t>
  </si>
  <si>
    <t>3-1640</t>
  </si>
  <si>
    <t>3-1641</t>
  </si>
  <si>
    <t>3-1642</t>
  </si>
  <si>
    <t>3-1643</t>
  </si>
  <si>
    <t>3-1644</t>
  </si>
  <si>
    <t>3-1645</t>
  </si>
  <si>
    <t>3-1646</t>
  </si>
  <si>
    <t>3-1647</t>
  </si>
  <si>
    <t>3-1648</t>
  </si>
  <si>
    <t>3-1649</t>
  </si>
  <si>
    <t>3-1650</t>
  </si>
  <si>
    <t>3-1651</t>
  </si>
  <si>
    <t>3-1652</t>
  </si>
  <si>
    <t>4-1601</t>
  </si>
  <si>
    <t>4-1602</t>
  </si>
  <si>
    <t>4-1603</t>
  </si>
  <si>
    <t>4-1604</t>
  </si>
  <si>
    <t>4-1605</t>
  </si>
  <si>
    <t>4-1606</t>
  </si>
  <si>
    <t>4-1607</t>
  </si>
  <si>
    <t>4-1608</t>
  </si>
  <si>
    <t>4-1609</t>
  </si>
  <si>
    <t>4-1610</t>
  </si>
  <si>
    <t>4-1611</t>
  </si>
  <si>
    <t>4-1612</t>
  </si>
  <si>
    <t>4-1613</t>
  </si>
  <si>
    <t>4-1614</t>
  </si>
  <si>
    <t>4-1615</t>
  </si>
  <si>
    <t>4-1616</t>
  </si>
  <si>
    <t>4-1617</t>
  </si>
  <si>
    <t>4-1618</t>
  </si>
  <si>
    <t>4-1619</t>
  </si>
  <si>
    <t>4-1620</t>
  </si>
  <si>
    <t>4-1621</t>
  </si>
  <si>
    <t>4-1622</t>
  </si>
  <si>
    <t>4-1623</t>
  </si>
  <si>
    <t>4-1624</t>
  </si>
  <si>
    <t>4-1625</t>
  </si>
  <si>
    <t>4-1626</t>
  </si>
  <si>
    <t>4-1627</t>
  </si>
  <si>
    <t>4-1628</t>
  </si>
  <si>
    <t>4-1629</t>
  </si>
  <si>
    <t>4-1630</t>
  </si>
  <si>
    <t>4-1631</t>
  </si>
  <si>
    <t>4-1632</t>
  </si>
  <si>
    <t>4-1633</t>
  </si>
  <si>
    <t>4-1634</t>
  </si>
  <si>
    <t>4-1635</t>
  </si>
  <si>
    <t>4-1636</t>
  </si>
  <si>
    <t>4-1637</t>
  </si>
  <si>
    <t>4-1638</t>
  </si>
  <si>
    <t>4-1639</t>
  </si>
  <si>
    <t>4-1640</t>
  </si>
  <si>
    <t>4-1641</t>
  </si>
  <si>
    <t>4-1642</t>
  </si>
  <si>
    <t>4-1643</t>
  </si>
  <si>
    <t>4-1644</t>
  </si>
  <si>
    <t>4-1645</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</si>
  <si>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</si>
  <si>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</si>
  <si>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</si>
  <si>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</si>
  <si>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</si>
  <si>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</si>
  <si>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</si>
  <si>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</si>
  <si>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</si>
  <si>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</si>
  <si>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</si>
  <si>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</si>
  <si>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</si>
  <si>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</si>
  <si>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</si>
  <si>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</si>
  <si>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</si>
  <si>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</si>
  <si>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</si>
  <si>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</si>
  <si>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2-1701</t>
  </si>
  <si>
    <t>2-1702</t>
  </si>
  <si>
    <t>2-1703</t>
  </si>
  <si>
    <t>2-1704</t>
  </si>
  <si>
    <t>2-1705</t>
  </si>
  <si>
    <t>2-1706</t>
  </si>
  <si>
    <t>2-1707</t>
  </si>
  <si>
    <t>2-1708</t>
  </si>
  <si>
    <t>2-1709</t>
  </si>
  <si>
    <t>2-1710</t>
  </si>
  <si>
    <t>2-1711</t>
  </si>
  <si>
    <t>2-1712</t>
  </si>
  <si>
    <t>2-1713</t>
  </si>
  <si>
    <t>2-1714</t>
  </si>
  <si>
    <t>2-1715</t>
  </si>
  <si>
    <t>2-1716</t>
  </si>
  <si>
    <t>2-1717</t>
  </si>
  <si>
    <t>2-1718</t>
  </si>
  <si>
    <t>2-1719</t>
  </si>
  <si>
    <t>2-1720</t>
  </si>
  <si>
    <t>4-1701</t>
  </si>
  <si>
    <t>4-1702</t>
  </si>
  <si>
    <t>4-1703</t>
  </si>
  <si>
    <t>4-1704</t>
  </si>
  <si>
    <t>4-1705</t>
  </si>
  <si>
    <t>4-1706</t>
  </si>
  <si>
    <t>4-1707</t>
  </si>
  <si>
    <t>4-1708</t>
  </si>
  <si>
    <t>4-1709</t>
  </si>
  <si>
    <t>4-1710</t>
  </si>
  <si>
    <t>4-1711</t>
  </si>
  <si>
    <t>4-1712</t>
  </si>
  <si>
    <t>4-1713</t>
  </si>
  <si>
    <t>4-1714</t>
  </si>
  <si>
    <t>4-1715</t>
  </si>
  <si>
    <t>4-1716</t>
  </si>
  <si>
    <t>4-1717</t>
  </si>
  <si>
    <t>4-1718</t>
  </si>
  <si>
    <t>4-1719</t>
  </si>
  <si>
    <t>4-1720</t>
  </si>
  <si>
    <t>4-1721</t>
  </si>
  <si>
    <t>4-1722</t>
  </si>
  <si>
    <t>4-1723</t>
  </si>
  <si>
    <t>4-1724</t>
  </si>
  <si>
    <t>4-1725</t>
  </si>
  <si>
    <t>4-1726</t>
  </si>
  <si>
    <t>4-1727</t>
  </si>
  <si>
    <t>4-1728</t>
  </si>
  <si>
    <t>4-1729</t>
  </si>
  <si>
    <t>4-1730</t>
  </si>
  <si>
    <t>4-1731</t>
  </si>
  <si>
    <t>4-1732</t>
  </si>
  <si>
    <t>4-1733</t>
  </si>
  <si>
    <t>4-1734</t>
  </si>
  <si>
    <t>4-1735</t>
  </si>
  <si>
    <t>4-1736</t>
  </si>
  <si>
    <t>4-1737</t>
  </si>
  <si>
    <t>4-1738</t>
  </si>
  <si>
    <t>4-1739</t>
  </si>
  <si>
    <t>4-1740</t>
  </si>
  <si>
    <t>4-1741</t>
  </si>
  <si>
    <t>4-1742</t>
  </si>
  <si>
    <t>4-1743</t>
  </si>
  <si>
    <t>4-1744</t>
  </si>
  <si>
    <t>4-1745</t>
  </si>
  <si>
    <t>序号</t>
    <phoneticPr fontId="144" type="noConversion"/>
  </si>
  <si>
    <t>合计</t>
    <phoneticPr fontId="144"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</si>
</sst>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33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00" fillId="0" borderId="0" xfId="0" applyFont="1" applyAlignment="1">
      <alignment vertical="center" wrapText="1"/>
    </xf>
    <xf numFmtId="0" fontId="100" fillId="0" borderId="1" xfId="0" applyFont="1" applyBorder="1" applyAlignment="1">
      <alignment vertical="center" wrapText="1"/>
    </xf>
    <xf numFmtId="0" fontId="0" fillId="0" borderId="1" xfId="0" applyBorder="1" applyAlignment="1">
      <alignment vertical="center" wrapText="1"/>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protection locked="0"/>
    </xf>
    <xf numFmtId="0" fontId="192" fillId="7" borderId="5" xfId="0" applyFont="1" applyFill="1" applyBorder="1" applyAlignment="1" applyProtection="1">
      <alignment vertical="center" wrapText="1"/>
      <protection locked="0"/>
    </xf>
    <xf numFmtId="0" fontId="192" fillId="7" borderId="60" xfId="0" applyFont="1" applyFill="1" applyBorder="1" applyAlignment="1" applyProtection="1">
      <alignment vertical="center" wrapText="1"/>
      <protection locked="0"/>
    </xf>
    <xf numFmtId="0" fontId="192" fillId="7" borderId="54" xfId="0" applyFont="1" applyFill="1" applyBorder="1" applyAlignment="1" applyProtection="1">
      <alignment vertical="center" wrapText="1"/>
      <protection locked="0"/>
    </xf>
    <xf numFmtId="0" fontId="192" fillId="0" borderId="1" xfId="0" applyNumberFormat="1"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38" fillId="0" borderId="23" xfId="0" applyFont="1" applyBorder="1" applyAlignment="1" applyProtection="1">
      <alignment horizontal="right" vertical="center" wrapText="1"/>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48" fillId="7"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176" fontId="53" fillId="0" borderId="37" xfId="0" applyNumberFormat="1" applyFont="1" applyFill="1" applyBorder="1" applyAlignment="1" applyProtection="1">
      <alignment horizontal="center" vertical="center" wrapText="1"/>
      <protection locked="0"/>
    </xf>
    <xf numFmtId="0" fontId="243"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protection locked="0"/>
    </xf>
    <xf numFmtId="49" fontId="226" fillId="0" borderId="4" xfId="0" applyNumberFormat="1"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54" xfId="0" applyFont="1" applyFill="1" applyBorder="1" applyAlignment="1" applyProtection="1">
      <alignment horizontal="center" vertical="center" wrapText="1"/>
    </xf>
    <xf numFmtId="0" fontId="51" fillId="6" borderId="32" xfId="0" applyFont="1" applyFill="1" applyBorder="1" applyAlignment="1" applyProtection="1">
      <alignment horizontal="left" vertical="center" wrapText="1"/>
    </xf>
    <xf numFmtId="49" fontId="51" fillId="6" borderId="6" xfId="0" applyNumberFormat="1"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right" vertical="center" wrapText="1"/>
    </xf>
    <xf numFmtId="0" fontId="51" fillId="6" borderId="21" xfId="0" applyFont="1" applyFill="1" applyBorder="1" applyAlignment="1" applyProtection="1">
      <alignment horizontal="center" vertical="center" wrapText="1"/>
    </xf>
    <xf numFmtId="49" fontId="56" fillId="6" borderId="11" xfId="0" applyNumberFormat="1" applyFont="1" applyFill="1" applyBorder="1" applyAlignment="1" applyProtection="1">
      <alignment vertical="center" wrapText="1"/>
    </xf>
    <xf numFmtId="0" fontId="51" fillId="6" borderId="4" xfId="0" applyFont="1" applyFill="1" applyBorder="1" applyAlignment="1" applyProtection="1">
      <alignment horizontal="right" vertical="center" wrapText="1"/>
    </xf>
    <xf numFmtId="49" fontId="51" fillId="6" borderId="11"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center" vertical="center" wrapText="1"/>
    </xf>
    <xf numFmtId="0" fontId="51" fillId="6" borderId="13" xfId="0" applyFont="1" applyFill="1" applyBorder="1" applyAlignment="1" applyProtection="1">
      <alignment vertical="center" wrapText="1"/>
    </xf>
    <xf numFmtId="0" fontId="56" fillId="6" borderId="24" xfId="0" applyFont="1" applyFill="1" applyBorder="1" applyAlignment="1" applyProtection="1">
      <alignment horizontal="center" vertical="center" wrapText="1"/>
    </xf>
    <xf numFmtId="49" fontId="51" fillId="6" borderId="35"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center" vertical="center" wrapText="1"/>
    </xf>
    <xf numFmtId="0" fontId="51" fillId="6" borderId="15" xfId="0" applyFont="1" applyFill="1" applyBorder="1" applyAlignment="1" applyProtection="1">
      <alignment vertical="center" wrapText="1"/>
    </xf>
    <xf numFmtId="49" fontId="56" fillId="6" borderId="14" xfId="0" applyNumberFormat="1" applyFont="1" applyFill="1" applyBorder="1" applyAlignment="1" applyProtection="1">
      <alignment vertical="center" wrapText="1"/>
    </xf>
    <xf numFmtId="0" fontId="56" fillId="6" borderId="15" xfId="0" applyFont="1" applyFill="1" applyBorder="1" applyAlignment="1" applyProtection="1">
      <alignment horizontal="center" vertical="center" wrapText="1"/>
    </xf>
    <xf numFmtId="181" fontId="56" fillId="6" borderId="24"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181" fontId="56" fillId="5" borderId="61" xfId="0" applyNumberFormat="1" applyFont="1" applyFill="1" applyBorder="1" applyAlignment="1" applyProtection="1">
      <alignment horizontal="center" vertical="center" wrapText="1"/>
      <protection locked="0"/>
    </xf>
    <xf numFmtId="49" fontId="56" fillId="6" borderId="41" xfId="0" applyNumberFormat="1" applyFont="1" applyFill="1" applyBorder="1" applyAlignment="1" applyProtection="1">
      <alignment vertical="center" wrapText="1"/>
    </xf>
    <xf numFmtId="0" fontId="56" fillId="6" borderId="1" xfId="0" applyFont="1" applyFill="1" applyBorder="1" applyAlignment="1" applyProtection="1">
      <alignment horizontal="center" vertical="center" wrapText="1"/>
      <protection locked="0"/>
    </xf>
    <xf numFmtId="0" fontId="121" fillId="6" borderId="15" xfId="0" applyFont="1" applyFill="1" applyBorder="1" applyAlignment="1" applyProtection="1">
      <alignment vertical="center" wrapText="1"/>
    </xf>
    <xf numFmtId="181" fontId="56" fillId="6" borderId="61" xfId="0" applyNumberFormat="1" applyFont="1" applyFill="1" applyBorder="1" applyAlignment="1" applyProtection="1">
      <alignment horizontal="center" vertical="center" wrapText="1"/>
    </xf>
    <xf numFmtId="49" fontId="51" fillId="6" borderId="91" xfId="0" applyNumberFormat="1" applyFont="1" applyFill="1" applyBorder="1" applyAlignment="1" applyProtection="1">
      <alignment vertical="center" wrapText="1"/>
    </xf>
    <xf numFmtId="0" fontId="56" fillId="0" borderId="78" xfId="0" applyFont="1" applyFill="1" applyBorder="1" applyAlignment="1" applyProtection="1">
      <alignment horizontal="center" vertical="center" wrapText="1"/>
      <protection locked="0"/>
    </xf>
    <xf numFmtId="0" fontId="51" fillId="6" borderId="78" xfId="0" applyFont="1" applyFill="1" applyBorder="1" applyAlignment="1" applyProtection="1">
      <alignment vertical="center" wrapText="1"/>
    </xf>
    <xf numFmtId="181" fontId="56" fillId="6" borderId="79" xfId="0" applyNumberFormat="1" applyFont="1" applyFill="1" applyBorder="1" applyAlignment="1" applyProtection="1">
      <alignment horizontal="center" vertical="center" wrapText="1"/>
    </xf>
    <xf numFmtId="49" fontId="56" fillId="6" borderId="4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181" fontId="51" fillId="6" borderId="53" xfId="0" applyNumberFormat="1" applyFont="1" applyFill="1" applyBorder="1" applyAlignment="1" applyProtection="1">
      <alignment horizontal="center" vertical="center" wrapText="1"/>
    </xf>
    <xf numFmtId="179" fontId="56" fillId="6" borderId="48" xfId="0" applyNumberFormat="1" applyFont="1" applyFill="1" applyBorder="1" applyAlignment="1" applyProtection="1">
      <alignment horizontal="center" vertical="center" wrapText="1"/>
    </xf>
    <xf numFmtId="181" fontId="51" fillId="6" borderId="8" xfId="0" applyNumberFormat="1" applyFont="1" applyFill="1" applyBorder="1" applyAlignment="1" applyProtection="1">
      <alignment horizontal="center" vertical="center" wrapText="1"/>
    </xf>
    <xf numFmtId="181" fontId="51" fillId="6" borderId="24" xfId="0" applyNumberFormat="1" applyFont="1" applyFill="1" applyBorder="1" applyAlignment="1" applyProtection="1">
      <alignment horizontal="center" vertical="center" wrapText="1"/>
    </xf>
    <xf numFmtId="0" fontId="51" fillId="6" borderId="48" xfId="0" applyFont="1" applyFill="1" applyBorder="1" applyAlignment="1" applyProtection="1">
      <alignment horizontal="center" vertical="center" wrapText="1"/>
    </xf>
    <xf numFmtId="0" fontId="51" fillId="6" borderId="5" xfId="0" applyFont="1" applyFill="1" applyBorder="1" applyAlignment="1" applyProtection="1">
      <alignment vertical="center" wrapText="1"/>
    </xf>
    <xf numFmtId="0" fontId="51" fillId="6" borderId="24" xfId="0" applyFont="1" applyFill="1" applyBorder="1" applyAlignment="1" applyProtection="1">
      <alignment horizontal="center" vertical="center" wrapText="1"/>
    </xf>
    <xf numFmtId="10" fontId="51" fillId="6" borderId="24" xfId="0" applyNumberFormat="1" applyFont="1" applyFill="1" applyBorder="1" applyAlignment="1" applyProtection="1">
      <alignment horizontal="center" vertical="center" wrapText="1"/>
    </xf>
    <xf numFmtId="49" fontId="51" fillId="6" borderId="91" xfId="0" applyNumberFormat="1" applyFont="1" applyFill="1" applyBorder="1" applyAlignment="1" applyProtection="1">
      <alignment horizontal="left" vertical="center" wrapText="1"/>
    </xf>
    <xf numFmtId="0" fontId="51" fillId="6" borderId="78" xfId="0" applyFont="1" applyFill="1" applyBorder="1" applyAlignment="1" applyProtection="1">
      <alignment horizontal="center" vertical="center" wrapText="1"/>
    </xf>
    <xf numFmtId="181" fontId="51" fillId="6" borderId="79" xfId="0" applyNumberFormat="1" applyFont="1" applyFill="1" applyBorder="1" applyAlignment="1" applyProtection="1">
      <alignment horizontal="center" vertical="center" wrapText="1"/>
    </xf>
    <xf numFmtId="49" fontId="51" fillId="6" borderId="7" xfId="0" applyNumberFormat="1" applyFont="1" applyFill="1" applyBorder="1" applyAlignment="1" applyProtection="1">
      <alignment vertical="center" wrapText="1"/>
    </xf>
    <xf numFmtId="0" fontId="51" fillId="6" borderId="7" xfId="0" applyFont="1" applyFill="1" applyBorder="1" applyAlignment="1" applyProtection="1">
      <alignment vertical="center" wrapText="1"/>
    </xf>
    <xf numFmtId="49" fontId="51" fillId="6" borderId="41" xfId="0" applyNumberFormat="1"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wrapText="1"/>
    </xf>
    <xf numFmtId="183" fontId="56" fillId="6" borderId="24"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79" fontId="56" fillId="6" borderId="24"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left" vertical="center" wrapText="1"/>
    </xf>
    <xf numFmtId="0" fontId="51" fillId="6" borderId="32" xfId="0" applyFont="1" applyFill="1" applyBorder="1" applyAlignment="1" applyProtection="1">
      <alignment vertical="center" wrapText="1"/>
    </xf>
    <xf numFmtId="179" fontId="56" fillId="6" borderId="49"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protection locked="0"/>
    </xf>
    <xf numFmtId="0" fontId="64" fillId="6" borderId="1"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protection locked="0"/>
    </xf>
    <xf numFmtId="0" fontId="64" fillId="0" borderId="1" xfId="0" applyNumberFormat="1" applyFont="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protection locked="0"/>
    </xf>
    <xf numFmtId="0" fontId="256" fillId="0" borderId="65" xfId="0" applyFont="1" applyBorder="1" applyAlignment="1">
      <alignment horizontal="center" vertical="center" wrapText="1"/>
    </xf>
    <xf numFmtId="0" fontId="106" fillId="0" borderId="81" xfId="0" applyFont="1" applyBorder="1" applyAlignment="1">
      <alignment horizontal="center" vertical="center" wrapText="1"/>
    </xf>
    <xf numFmtId="0" fontId="106" fillId="0" borderId="43" xfId="0" applyFont="1" applyBorder="1" applyAlignment="1">
      <alignment horizontal="center" vertical="center" wrapText="1"/>
    </xf>
    <xf numFmtId="0" fontId="106" fillId="0" borderId="80" xfId="0" applyFont="1" applyBorder="1" applyAlignment="1">
      <alignment horizontal="center" vertical="center" wrapText="1"/>
    </xf>
    <xf numFmtId="0" fontId="106" fillId="0" borderId="56" xfId="0" applyFont="1" applyBorder="1" applyAlignment="1">
      <alignment horizontal="center" vertical="center" wrapText="1"/>
    </xf>
    <xf numFmtId="0" fontId="100"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3" xfId="0" applyBorder="1" applyAlignment="1">
      <alignment horizontal="center" vertical="center" wrapText="1"/>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26"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7" fillId="0" borderId="11" xfId="0" applyFont="1" applyFill="1" applyBorder="1" applyAlignment="1" applyProtection="1">
      <alignment horizontal="center" vertical="center" wrapText="1"/>
      <protection locked="0"/>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7" fillId="0" borderId="3" xfId="0" applyFont="1" applyFill="1" applyBorder="1" applyAlignment="1" applyProtection="1">
      <alignment horizontal="center" vertical="center" wrapText="1"/>
      <protection locked="0"/>
    </xf>
    <xf numFmtId="0" fontId="227" fillId="0" borderId="22"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8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42" sqref="B42"/>
    </sheetView>
  </sheetViews>
  <sheetFormatPr defaultRowHeight="14.25"/>
  <cols>
    <col min="1" max="1" width="35.625" style="1574" customWidth="1"/>
    <col min="2" max="2" width="81" style="1591" customWidth="1"/>
    <col min="3" max="16384" width="9" style="1589"/>
  </cols>
  <sheetData>
    <row r="1" spans="1:2" s="1577" customFormat="1" ht="16.5" thickBot="1">
      <c r="A1" s="1576" t="s">
        <v>1220</v>
      </c>
      <c r="B1" s="1575" t="s">
        <v>1299</v>
      </c>
    </row>
    <row r="2" spans="1:2" s="1580" customFormat="1" ht="15" thickTop="1">
      <c r="A2" s="1578" t="s">
        <v>1221</v>
      </c>
      <c r="B2" s="1579" t="str">
        <f>'预评函-封皮'!B37:I37</f>
        <v>浙江省杭州市下城区杭州新天地项目D地块办公用房房地产房地产抵押价值预评估</v>
      </c>
    </row>
    <row r="3" spans="1:2" s="1583" customFormat="1">
      <c r="A3" s="1581" t="s">
        <v>1222</v>
      </c>
      <c r="B3" s="1582" t="str">
        <f>'预评函-封皮'!B40</f>
        <v>昆仑信托有限责任公司</v>
      </c>
    </row>
    <row r="4" spans="1:2" s="1583" customFormat="1">
      <c r="A4" s="1581" t="s">
        <v>1223</v>
      </c>
      <c r="B4" s="1582" t="str">
        <f ca="1">'预评函-封皮'!B46</f>
        <v>郑燚（注册号：1120070131)、王萌（注册号：1120130048)</v>
      </c>
    </row>
    <row r="5" spans="1:2" s="1577" customFormat="1" ht="15" thickBot="1">
      <c r="A5" s="1584" t="s">
        <v>1224</v>
      </c>
      <c r="B5" s="1585" t="str">
        <f>'预评函-封皮'!B49</f>
        <v>康正预评字2017-1-0966-P01DYGJ3号</v>
      </c>
    </row>
    <row r="6" spans="1:2" s="1580" customFormat="1" ht="15" thickTop="1">
      <c r="A6" s="1578" t="s">
        <v>1225</v>
      </c>
      <c r="B6" s="1579" t="str">
        <f>'预评函-1'!A4</f>
        <v>受贵公司委托，我公司对浙江省杭州市下城区杭州新天地项目D地块办公用房房地产房地产抵押价值进行了预评估。</v>
      </c>
    </row>
    <row r="7" spans="1:2" s="1583" customFormat="1">
      <c r="A7" s="1581" t="s">
        <v>1265</v>
      </c>
      <c r="B7" s="1582" t="str">
        <f>'预评函-1'!A7</f>
        <v>估价对象为浙江省杭州市下城区杭州新天地项目D地块办公用房房地产房地产，为杭州置信投资发展有限公司所有。根据《国有土地使用权证》[杭下国用（2010）第100061号]、《房地产测绘成果报告》[杭测字K2017第113号]及《抵押物清单》，估价对象（分摊）出让国有建设用地使用权面积为8.71平方米，建筑面积为49.61平方米。</v>
      </c>
    </row>
    <row r="8" spans="1:2" s="1583" customFormat="1">
      <c r="A8" s="1581" t="s">
        <v>1266</v>
      </c>
      <c r="B8" s="1582" t="str">
        <f>'预评函-1'!A8</f>
        <v>估价对象简述。项目推广名，项目类型（用途），估价对象分布，各用途面积明细情况：XX用途建筑面积XX平方米，XX用途建筑面积XX平方米，……。复杂面积清单需设‘附表’列示：抵押物清单详见附表</v>
      </c>
    </row>
    <row r="9" spans="1:2" s="1583" customFormat="1">
      <c r="A9" s="1581" t="s">
        <v>1267</v>
      </c>
      <c r="B9" s="1582" t="str">
        <f>'预评函-1'!A10</f>
        <v>估价对象为浙江省杭州市下城区杭州新天地项目D地块办公用房房地产房地产,为杭州置信投资发展有限公司开发建设的商业项目，该项目尚在开发建设中。根据《国有土地使用权证》[杭下国用（2010）第100061号]、《房地产测绘成果报告》[杭测字K2017第113号]及《抵押物清单》，估价对象（分摊）出让国有建设用地使用权面积为8.71平方米，规划建筑面积为49.61平方米。</v>
      </c>
    </row>
    <row r="10" spans="1:2" s="1583" customFormat="1">
      <c r="A10" s="1581" t="s">
        <v>1268</v>
      </c>
      <c r="B10" s="15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3" customFormat="1">
      <c r="A11" s="1581" t="s">
        <v>1226</v>
      </c>
      <c r="B11" s="1582" t="str">
        <f>'预评函-1'!A13</f>
        <v>杭州置信投资发展有限公司拟使用浙江省杭州市下城区杭州新天地项目D地块办公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3" customFormat="1">
      <c r="A12" s="1581" t="s">
        <v>1227</v>
      </c>
      <c r="B12" s="1582" t="str">
        <f>'预评函-1'!A15</f>
        <v>2017年10月20日（评估专业人员实地查勘之日）</v>
      </c>
    </row>
    <row r="13" spans="1:2" s="1583" customFormat="1">
      <c r="A13" s="1581" t="s">
        <v>1228</v>
      </c>
      <c r="B13" s="1582" t="str">
        <f>'预评函-1'!A18</f>
        <v>本次估价的“房地产价值”是指在正常市场情况下，在价值时点2017年10月20日，估价对象规划用途为商业，土地取得方式为出让，出让国有建设用地使用权剩余土地使用年限为办公43.3年，假定未设立法定优先受偿款下的房地产市场价值。</v>
      </c>
    </row>
    <row r="14" spans="1:2" s="1583" customFormat="1">
      <c r="A14" s="1581" t="s">
        <v>1229</v>
      </c>
      <c r="B14" s="1582" t="str">
        <f>'预评函-1'!A19</f>
        <v>其中，“出让国有建设用地使用权价值”是指估价对象用途为商业，实际开发程度为宗地红线外“六通”（即通路、通电、通讯、通上水、通下水、燃气）、红线内场地平整条件下，剩余土地使用年限为办公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3" customFormat="1">
      <c r="A15" s="1581" t="s">
        <v>1230</v>
      </c>
      <c r="B15" s="1582" t="str">
        <f>'预评函-1'!A20</f>
        <v>本次估价的“房地产抵押价值”是指估价对象在价值时点的“房地产价值”扣减估价师于价值时点所知悉的法定优先受偿款后的余额。</v>
      </c>
    </row>
    <row r="16" spans="1:2" s="1583" customFormat="1">
      <c r="A16" s="1581" t="s">
        <v>1231</v>
      </c>
      <c r="B16" s="15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3" customFormat="1">
      <c r="A17" s="1581" t="s">
        <v>1232</v>
      </c>
      <c r="B17" s="1582" t="str">
        <f>'预评函-1'!A22</f>
        <v/>
      </c>
    </row>
    <row r="18" spans="1:2" s="1577" customFormat="1" ht="15" thickBot="1">
      <c r="A18" s="1584" t="s">
        <v>1233</v>
      </c>
      <c r="B18" s="1585" t="str">
        <f>'预评函-1'!A24</f>
        <v>本次评估采用的主估价方法为收益法和比较法。</v>
      </c>
    </row>
    <row r="19" spans="1:2" s="1580" customFormat="1" ht="15" thickTop="1">
      <c r="A19" s="1578" t="s">
        <v>1234</v>
      </c>
      <c r="B19" s="15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3" customFormat="1">
      <c r="A20" s="1581" t="s">
        <v>1235</v>
      </c>
      <c r="B20" s="1582">
        <f ca="1">'预评函-2'!D5</f>
        <v>86</v>
      </c>
    </row>
    <row r="21" spans="1:2" s="1583" customFormat="1">
      <c r="A21" s="1581" t="s">
        <v>1236</v>
      </c>
      <c r="B21" s="1582">
        <f ca="1">'预评函-2'!D7</f>
        <v>17335</v>
      </c>
    </row>
    <row r="22" spans="1:2" s="1583" customFormat="1">
      <c r="A22" s="1581" t="s">
        <v>1237</v>
      </c>
      <c r="B22" s="1582" t="str">
        <f ca="1">'预评函-2'!D6</f>
        <v>捌拾陆万元整</v>
      </c>
    </row>
    <row r="23" spans="1:2" s="1583" customFormat="1">
      <c r="A23" s="1581" t="s">
        <v>1288</v>
      </c>
      <c r="B23" s="1582" t="str">
        <f>'预评函-2'!B8</f>
        <v>2.估价师知悉的法定优先受偿款</v>
      </c>
    </row>
    <row r="24" spans="1:2" s="1583" customFormat="1">
      <c r="A24" s="1581" t="s">
        <v>1294</v>
      </c>
      <c r="B24" s="1582">
        <f>'预评函-2'!D8</f>
        <v>0</v>
      </c>
    </row>
    <row r="25" spans="1:2" s="1583" customFormat="1">
      <c r="A25" s="1581" t="s">
        <v>1238</v>
      </c>
      <c r="B25" s="1582" t="str">
        <f>'预评函-2'!D9</f>
        <v>零元整</v>
      </c>
    </row>
    <row r="26" spans="1:2" s="1583" customFormat="1">
      <c r="A26" s="1581" t="s">
        <v>1239</v>
      </c>
      <c r="B26" s="1582">
        <f>'预评函-2'!D10</f>
        <v>0</v>
      </c>
    </row>
    <row r="27" spans="1:2" s="1583" customFormat="1">
      <c r="A27" s="1581" t="s">
        <v>1240</v>
      </c>
      <c r="B27" s="1582">
        <f>'预评函-2'!D11</f>
        <v>0</v>
      </c>
    </row>
    <row r="28" spans="1:2" s="1583" customFormat="1">
      <c r="A28" s="1581" t="s">
        <v>1241</v>
      </c>
      <c r="B28" s="1582">
        <f>'预评函-2'!D12</f>
        <v>0</v>
      </c>
    </row>
    <row r="29" spans="1:2" s="1583" customFormat="1">
      <c r="A29" s="1581" t="s">
        <v>1292</v>
      </c>
      <c r="B29" s="1582" t="str">
        <f>'预评函-2'!B13</f>
        <v>3.房地产抵押价值</v>
      </c>
    </row>
    <row r="30" spans="1:2" s="1583" customFormat="1">
      <c r="A30" s="1581" t="s">
        <v>1293</v>
      </c>
      <c r="B30" s="1582">
        <f ca="1">'预评函-2'!D13</f>
        <v>86</v>
      </c>
    </row>
    <row r="31" spans="1:2" s="1583" customFormat="1">
      <c r="A31" s="1581" t="s">
        <v>1275</v>
      </c>
      <c r="B31" s="1582">
        <f ca="1">'预评函-2'!D15</f>
        <v>17335</v>
      </c>
    </row>
    <row r="32" spans="1:2" s="1583" customFormat="1">
      <c r="A32" s="1581" t="s">
        <v>1242</v>
      </c>
      <c r="B32" s="1582" t="str">
        <f ca="1">'预评函-2'!D14</f>
        <v>捌拾陆万元整</v>
      </c>
    </row>
    <row r="33" spans="1:2" s="1583" customFormat="1">
      <c r="A33" s="1581" t="s">
        <v>1277</v>
      </c>
      <c r="B33" s="1582" t="str">
        <f>'预评函-2'!B16</f>
        <v>——</v>
      </c>
    </row>
    <row r="34" spans="1:2" s="1583" customFormat="1">
      <c r="A34" s="1581" t="s">
        <v>1295</v>
      </c>
      <c r="B34" s="1582" t="str">
        <f>'预评函-2'!D16</f>
        <v>——</v>
      </c>
    </row>
    <row r="35" spans="1:2" s="1583" customFormat="1">
      <c r="A35" s="1581" t="s">
        <v>1276</v>
      </c>
      <c r="B35" s="1582" t="str">
        <f>'预评函-2'!D18</f>
        <v>——</v>
      </c>
    </row>
    <row r="36" spans="1:2" s="1583" customFormat="1">
      <c r="A36" s="1581" t="s">
        <v>1243</v>
      </c>
      <c r="B36" s="1582" t="e">
        <f>'预评函-2'!D17</f>
        <v>#VALUE!</v>
      </c>
    </row>
    <row r="37" spans="1:2" s="1583" customFormat="1">
      <c r="A37" s="1581" t="s">
        <v>1278</v>
      </c>
      <c r="B37" s="1582" t="str">
        <f>'预评函-2'!B19</f>
        <v>——</v>
      </c>
    </row>
    <row r="38" spans="1:2" s="1583" customFormat="1">
      <c r="A38" s="1581" t="s">
        <v>1296</v>
      </c>
      <c r="B38" s="1582" t="str">
        <f>'预评函-2'!D19</f>
        <v>——</v>
      </c>
    </row>
    <row r="39" spans="1:2" s="1583" customFormat="1">
      <c r="A39" s="1581" t="s">
        <v>1244</v>
      </c>
      <c r="B39" s="1582" t="str">
        <f>'预评函-2'!D21</f>
        <v>——</v>
      </c>
    </row>
    <row r="40" spans="1:2" s="1583" customFormat="1">
      <c r="A40" s="1581" t="s">
        <v>1245</v>
      </c>
      <c r="B40" s="1582" t="e">
        <f>'预评函-2'!D20</f>
        <v>#VALUE!</v>
      </c>
    </row>
    <row r="41" spans="1:2" s="1583" customFormat="1">
      <c r="A41" s="1581" t="s">
        <v>1291</v>
      </c>
      <c r="B41" s="1582" t="str">
        <f>'预评函-3'!A4</f>
        <v>浙江省杭州市下城区杭州新天地项目D地块办公用房房地产房地产</v>
      </c>
    </row>
    <row r="42" spans="1:2" s="1583" customFormat="1">
      <c r="A42" s="1581" t="s">
        <v>1289</v>
      </c>
      <c r="B42" s="1582" t="str">
        <f>'预评函-3'!B2</f>
        <v>建筑面积</v>
      </c>
    </row>
    <row r="43" spans="1:2" s="1583" customFormat="1">
      <c r="A43" s="1581" t="s">
        <v>1290</v>
      </c>
      <c r="B43" s="1582">
        <f>'预评函-3'!B4</f>
        <v>49.61</v>
      </c>
    </row>
    <row r="44" spans="1:2" s="1583" customFormat="1">
      <c r="A44" s="1581" t="s">
        <v>1274</v>
      </c>
      <c r="B44" s="1582" t="str">
        <f>'预评函-3'!C2</f>
        <v>(分摊)土地面积</v>
      </c>
    </row>
    <row r="45" spans="1:2" s="1583" customFormat="1">
      <c r="A45" s="1581" t="s">
        <v>1246</v>
      </c>
      <c r="B45" s="1582">
        <f>'预评函-3'!C4</f>
        <v>8.7100000000000009</v>
      </c>
    </row>
    <row r="46" spans="1:2" s="1583" customFormat="1">
      <c r="A46" s="1581" t="s">
        <v>1272</v>
      </c>
      <c r="B46" s="1582" t="str">
        <f>'预评函-3'!D2</f>
        <v>出让国有建设用地使用权价值</v>
      </c>
    </row>
    <row r="47" spans="1:2" s="1583" customFormat="1">
      <c r="A47" s="1581" t="s">
        <v>1247</v>
      </c>
      <c r="B47" s="1582" t="e">
        <f ca="1">'预评函-3'!D4</f>
        <v>#REF!</v>
      </c>
    </row>
    <row r="48" spans="1:2" s="1583" customFormat="1">
      <c r="A48" s="1581" t="s">
        <v>1248</v>
      </c>
      <c r="B48" s="1582" t="e">
        <f ca="1">'预评函-3'!E4</f>
        <v>#REF!</v>
      </c>
    </row>
    <row r="49" spans="1:2" s="1583" customFormat="1">
      <c r="A49" s="1581" t="s">
        <v>1249</v>
      </c>
      <c r="B49" s="1582" t="e">
        <f ca="1">'预评函-3'!D5</f>
        <v>#REF!</v>
      </c>
    </row>
    <row r="50" spans="1:2" s="1583" customFormat="1">
      <c r="A50" s="1581" t="s">
        <v>1273</v>
      </c>
      <c r="B50" s="1582" t="str">
        <f>'预评函-3'!F2</f>
        <v>在建建筑物价值</v>
      </c>
    </row>
    <row r="51" spans="1:2" s="1583" customFormat="1">
      <c r="A51" s="1581" t="s">
        <v>1250</v>
      </c>
      <c r="B51" s="1582" t="e">
        <f ca="1">'预评函-3'!F4</f>
        <v>#REF!</v>
      </c>
    </row>
    <row r="52" spans="1:2" s="1583" customFormat="1">
      <c r="A52" s="1581" t="s">
        <v>1251</v>
      </c>
      <c r="B52" s="1582" t="e">
        <f ca="1">'预评函-3'!G4</f>
        <v>#REF!</v>
      </c>
    </row>
    <row r="53" spans="1:2" s="1583" customFormat="1">
      <c r="A53" s="1581" t="s">
        <v>1279</v>
      </c>
      <c r="B53" s="1582" t="e">
        <f ca="1">'预评函-3'!F5</f>
        <v>#REF!</v>
      </c>
    </row>
    <row r="54" spans="1:2" s="1583" customFormat="1">
      <c r="A54" s="1581" t="s">
        <v>1297</v>
      </c>
      <c r="B54" s="1582" t="str">
        <f>'预评函-3'!A8</f>
        <v>房地产抵押价值</v>
      </c>
    </row>
    <row r="55" spans="1:2" s="1583" customFormat="1">
      <c r="A55" s="1581" t="s">
        <v>1280</v>
      </c>
      <c r="B55" s="1582" t="str">
        <f>'预评函-3'!A10</f>
        <v/>
      </c>
    </row>
    <row r="56" spans="1:2" s="1583" customFormat="1">
      <c r="A56" s="1581" t="s">
        <v>1281</v>
      </c>
      <c r="B56" s="1582" t="str">
        <f>'预评函-3'!A12</f>
        <v/>
      </c>
    </row>
    <row r="57" spans="1:2" s="1577" customFormat="1" ht="15" thickBot="1">
      <c r="A57" s="1584" t="s">
        <v>1298</v>
      </c>
      <c r="B57" s="1585" t="str">
        <f>'预评函-3'!A6</f>
        <v>估价师知悉的法定优先受偿款</v>
      </c>
    </row>
    <row r="58" spans="1:2" s="1580" customFormat="1" ht="15" thickTop="1">
      <c r="A58" s="1578" t="s">
        <v>1252</v>
      </c>
      <c r="B58" s="1579" t="str">
        <f>'预评函-4'!A12</f>
        <v>2.本《评估意见函》仅供金融机构进行内部审核使用，不做其他目的之用。</v>
      </c>
    </row>
    <row r="59" spans="1:2" s="1583" customFormat="1">
      <c r="A59" s="1581" t="s">
        <v>1253</v>
      </c>
      <c r="B59" s="1582" t="str">
        <f>'预评函-4'!A13</f>
        <v>3.抵押双方在办理抵押登记手续时，应使用本公司出具的正式《房地产评估报告》，特提醒报告使用者注意。</v>
      </c>
    </row>
    <row r="60" spans="1:2" s="1583" customFormat="1">
      <c r="A60" s="1581" t="s">
        <v>1254</v>
      </c>
      <c r="B60" s="1582" t="str">
        <f>'预评函-4'!A14</f>
        <v>4.本次评估估价师所知悉的法定优先受偿款情况说明如下：</v>
      </c>
    </row>
    <row r="61" spans="1:2" s="1583" customFormat="1">
      <c r="A61" s="1581" t="s">
        <v>1255</v>
      </c>
      <c r="B61" s="1582" t="str">
        <f>'预评函-4'!A15</f>
        <v>（1）根据估价对象《国有土地使用权》复印件，截至价值时点，估价对象抵押权未见登记。</v>
      </c>
    </row>
    <row r="62" spans="1:2" s="1583" customFormat="1">
      <c r="A62" s="1581" t="s">
        <v>1256</v>
      </c>
      <c r="B62" s="1582" t="str">
        <f>'预评函-4'!A16</f>
        <v>（2）根据《工程款支付情况说明》，截至价值时点，估价对象不存在应付未付工程款项。（只要没有施工方盖章的，均“设定”进行表述）</v>
      </c>
    </row>
    <row r="63" spans="1:2" s="1583" customFormat="1">
      <c r="A63" s="1581" t="s">
        <v>1257</v>
      </c>
      <c r="B63" s="15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3" customFormat="1">
      <c r="A64" s="1581" t="s">
        <v>1269</v>
      </c>
      <c r="B64" s="1582" t="str">
        <f>'预评函-4'!A18</f>
        <v>故，本次评估不存在估价师知悉的法定优先受偿款</v>
      </c>
    </row>
    <row r="65" spans="1:2" s="1583" customFormat="1">
      <c r="A65" s="1581" t="s">
        <v>1258</v>
      </c>
      <c r="B65" s="15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3" customFormat="1">
      <c r="A66" s="1581" t="s">
        <v>1259</v>
      </c>
      <c r="B66" s="1582" t="str">
        <f>'预评函-4'!A20</f>
        <v>——</v>
      </c>
    </row>
    <row r="67" spans="1:2" s="1583" customFormat="1">
      <c r="A67" s="1581" t="s">
        <v>1270</v>
      </c>
      <c r="B67" s="1582" t="str">
        <f>'预评函-4'!A21</f>
        <v>——</v>
      </c>
    </row>
    <row r="68" spans="1:2" s="1583" customFormat="1">
      <c r="A68" s="1581" t="s">
        <v>1271</v>
      </c>
      <c r="B68" s="1582" t="str">
        <f>'预评函-4'!A22</f>
        <v>8.其他需特殊说明事项：无（注意调整序号）</v>
      </c>
    </row>
    <row r="69" spans="1:2" s="1577" customFormat="1" ht="15" thickBot="1">
      <c r="A69" s="1584" t="s">
        <v>1260</v>
      </c>
      <c r="B69" s="1586">
        <f>'预评函-4'!C31</f>
        <v>42551</v>
      </c>
    </row>
    <row r="70" spans="1:2" ht="15" thickTop="1">
      <c r="A70" s="1587" t="s">
        <v>1261</v>
      </c>
      <c r="B70" s="1588" t="str">
        <f>'预评函-4'!A4</f>
        <v>郑燚</v>
      </c>
    </row>
    <row r="71" spans="1:2">
      <c r="A71" s="1581" t="s">
        <v>1262</v>
      </c>
      <c r="B71" s="1582">
        <f ca="1">'预评函-4'!B4</f>
        <v>1120070131</v>
      </c>
    </row>
    <row r="72" spans="1:2">
      <c r="A72" s="1581" t="s">
        <v>1263</v>
      </c>
      <c r="B72" s="1590" t="str">
        <f>'预评函-4'!A5</f>
        <v>王萌</v>
      </c>
    </row>
    <row r="73" spans="1:2" s="1577" customFormat="1" ht="15" thickBot="1">
      <c r="A73" s="1584" t="s">
        <v>1264</v>
      </c>
      <c r="B73" s="1585">
        <f ca="1">'预评函-4'!B5</f>
        <v>1120130048</v>
      </c>
    </row>
    <row r="74" spans="1:2" ht="15" thickTop="1">
      <c r="A74" s="1574" t="s">
        <v>1300</v>
      </c>
      <c r="B74" s="159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13" customWidth="1"/>
    <col min="2" max="2" width="23.25" style="1964" customWidth="1"/>
    <col min="3" max="3" width="13" style="2008" hidden="1" customWidth="1"/>
    <col min="4" max="4" width="5.75" style="2005" hidden="1" customWidth="1"/>
    <col min="5" max="5" width="7.125" style="2005" hidden="1" customWidth="1"/>
    <col min="6" max="6" width="10.625" style="2005" hidden="1" customWidth="1"/>
    <col min="7" max="7" width="7.5" style="2005" hidden="1" customWidth="1"/>
    <col min="8" max="8" width="9" style="2008" hidden="1" customWidth="1"/>
    <col min="9" max="9" width="11.625" style="2008" hidden="1" customWidth="1"/>
    <col min="10" max="10" width="9" style="2008" hidden="1" customWidth="1"/>
    <col min="11" max="19" width="9" style="2005" hidden="1" customWidth="1"/>
    <col min="20" max="22" width="9" style="2008" hidden="1" customWidth="1"/>
    <col min="23" max="23" width="9" style="2008" customWidth="1"/>
    <col min="24" max="24" width="21.125" style="1964" customWidth="1"/>
    <col min="25" max="16384" width="9" style="1964"/>
  </cols>
  <sheetData>
    <row r="1" spans="1:23" s="2002" customFormat="1" ht="27">
      <c r="A1" s="1996" t="s">
        <v>71</v>
      </c>
      <c r="B1" s="1997" t="s">
        <v>1690</v>
      </c>
      <c r="C1" s="1998" t="s">
        <v>759</v>
      </c>
      <c r="D1" s="1999" t="s">
        <v>1691</v>
      </c>
      <c r="E1" s="1999" t="s">
        <v>1692</v>
      </c>
      <c r="F1" s="1999" t="s">
        <v>1693</v>
      </c>
      <c r="G1" s="1999" t="s">
        <v>1694</v>
      </c>
      <c r="H1" s="1999" t="s">
        <v>1695</v>
      </c>
      <c r="I1" s="1999" t="s">
        <v>1696</v>
      </c>
      <c r="J1" s="1999" t="s">
        <v>1697</v>
      </c>
      <c r="K1" s="1999" t="s">
        <v>1698</v>
      </c>
      <c r="L1" s="1999" t="s">
        <v>1699</v>
      </c>
      <c r="M1" s="1999" t="s">
        <v>1700</v>
      </c>
      <c r="N1" s="1999" t="s">
        <v>1701</v>
      </c>
      <c r="O1" s="1999" t="s">
        <v>1702</v>
      </c>
      <c r="P1" s="2000" t="s">
        <v>753</v>
      </c>
      <c r="Q1" s="2000" t="s">
        <v>1144</v>
      </c>
      <c r="R1" s="1999" t="s">
        <v>1138</v>
      </c>
      <c r="S1" s="1999" t="s">
        <v>1703</v>
      </c>
      <c r="T1" s="2001" t="s">
        <v>1704</v>
      </c>
      <c r="U1" s="1999" t="s">
        <v>1705</v>
      </c>
      <c r="V1" s="1999" t="s">
        <v>1706</v>
      </c>
      <c r="W1" s="1999" t="s">
        <v>755</v>
      </c>
    </row>
    <row r="2" spans="1:23">
      <c r="A2" s="2003" t="s">
        <v>22</v>
      </c>
      <c r="B2" s="2003" t="s">
        <v>1707</v>
      </c>
      <c r="C2" s="2004" t="s">
        <v>760</v>
      </c>
      <c r="D2" s="2005" t="s">
        <v>1708</v>
      </c>
      <c r="E2" s="2005" t="s">
        <v>1709</v>
      </c>
      <c r="F2" s="2005" t="s">
        <v>1710</v>
      </c>
      <c r="G2" s="2005">
        <v>40</v>
      </c>
      <c r="H2" s="2005" t="s">
        <v>1710</v>
      </c>
      <c r="I2" s="2005" t="s">
        <v>1711</v>
      </c>
      <c r="J2" s="2005" t="s">
        <v>1712</v>
      </c>
      <c r="K2" s="2005" t="s">
        <v>1713</v>
      </c>
      <c r="L2" s="2005" t="s">
        <v>1713</v>
      </c>
      <c r="M2" s="2005" t="s">
        <v>1713</v>
      </c>
      <c r="N2" s="2005" t="s">
        <v>1713</v>
      </c>
      <c r="O2" s="2005" t="s">
        <v>1713</v>
      </c>
      <c r="P2" s="2005" t="s">
        <v>1713</v>
      </c>
      <c r="Q2" s="2005" t="s">
        <v>1713</v>
      </c>
      <c r="R2" s="2005" t="s">
        <v>1140</v>
      </c>
      <c r="S2" s="2005" t="s">
        <v>1713</v>
      </c>
      <c r="T2" s="2005" t="s">
        <v>1714</v>
      </c>
      <c r="U2" s="2005" t="s">
        <v>1713</v>
      </c>
      <c r="V2" s="2005" t="s">
        <v>1715</v>
      </c>
      <c r="W2" s="2005" t="s">
        <v>1713</v>
      </c>
    </row>
    <row r="3" spans="1:23">
      <c r="A3" s="2003" t="s">
        <v>1716</v>
      </c>
      <c r="B3" s="2006" t="s">
        <v>1145</v>
      </c>
      <c r="C3" s="2007" t="s">
        <v>761</v>
      </c>
      <c r="D3" s="2005" t="s">
        <v>1717</v>
      </c>
      <c r="E3" s="2005" t="s">
        <v>16</v>
      </c>
      <c r="F3" s="2005" t="s">
        <v>1718</v>
      </c>
      <c r="G3" s="2005">
        <v>50</v>
      </c>
      <c r="H3" s="2005" t="s">
        <v>1718</v>
      </c>
      <c r="I3" s="2005" t="s">
        <v>1719</v>
      </c>
      <c r="J3" s="2005" t="s">
        <v>1720</v>
      </c>
      <c r="K3" s="2005" t="s">
        <v>1721</v>
      </c>
      <c r="L3" s="2005" t="s">
        <v>1721</v>
      </c>
      <c r="M3" s="2005" t="s">
        <v>1721</v>
      </c>
      <c r="N3" s="2005" t="s">
        <v>1721</v>
      </c>
      <c r="O3" s="2005" t="s">
        <v>1721</v>
      </c>
      <c r="P3" s="2005" t="s">
        <v>1721</v>
      </c>
      <c r="Q3" s="2005" t="s">
        <v>1721</v>
      </c>
      <c r="R3" s="2005" t="s">
        <v>1139</v>
      </c>
      <c r="S3" s="2005" t="s">
        <v>1721</v>
      </c>
      <c r="T3" s="2005" t="s">
        <v>1722</v>
      </c>
      <c r="U3" s="2005" t="s">
        <v>1721</v>
      </c>
      <c r="V3" s="2005" t="s">
        <v>1723</v>
      </c>
      <c r="W3" s="2005" t="s">
        <v>1721</v>
      </c>
    </row>
    <row r="4" spans="1:23">
      <c r="A4" s="2003" t="s">
        <v>1724</v>
      </c>
      <c r="B4" s="2003" t="s">
        <v>1725</v>
      </c>
      <c r="C4" s="2004" t="s">
        <v>762</v>
      </c>
      <c r="D4" s="2005" t="s">
        <v>868</v>
      </c>
      <c r="E4" s="2005" t="s">
        <v>1726</v>
      </c>
      <c r="F4" s="2005" t="s">
        <v>1727</v>
      </c>
      <c r="G4" s="2005">
        <v>70</v>
      </c>
      <c r="H4" s="2005" t="s">
        <v>1727</v>
      </c>
      <c r="I4" s="2005" t="s">
        <v>1728</v>
      </c>
      <c r="K4" s="2005" t="s">
        <v>1729</v>
      </c>
      <c r="L4" s="2005" t="s">
        <v>1729</v>
      </c>
      <c r="M4" s="2005" t="s">
        <v>1729</v>
      </c>
      <c r="N4" s="2005" t="s">
        <v>1729</v>
      </c>
      <c r="O4" s="2005" t="s">
        <v>1729</v>
      </c>
      <c r="P4" s="2005" t="s">
        <v>1729</v>
      </c>
      <c r="Q4" s="2005" t="s">
        <v>1729</v>
      </c>
      <c r="R4" s="2005" t="s">
        <v>1141</v>
      </c>
      <c r="S4" s="2005" t="s">
        <v>1729</v>
      </c>
      <c r="T4" s="2005" t="s">
        <v>1730</v>
      </c>
      <c r="U4" s="2005" t="s">
        <v>1729</v>
      </c>
      <c r="W4" s="2005" t="s">
        <v>1729</v>
      </c>
    </row>
    <row r="5" spans="1:23">
      <c r="A5" s="2003" t="s">
        <v>1731</v>
      </c>
      <c r="B5" s="2003" t="s">
        <v>1732</v>
      </c>
      <c r="C5" s="2004" t="s">
        <v>763</v>
      </c>
      <c r="F5" s="2005" t="s">
        <v>1733</v>
      </c>
      <c r="H5" s="2005" t="s">
        <v>1734</v>
      </c>
      <c r="I5" s="2005" t="s">
        <v>1735</v>
      </c>
      <c r="K5" s="2005" t="s">
        <v>1736</v>
      </c>
      <c r="L5" s="2005" t="s">
        <v>1736</v>
      </c>
      <c r="M5" s="2005" t="s">
        <v>1736</v>
      </c>
      <c r="N5" s="2005" t="s">
        <v>1736</v>
      </c>
      <c r="O5" s="2005" t="s">
        <v>1736</v>
      </c>
      <c r="P5" s="2005" t="s">
        <v>1736</v>
      </c>
      <c r="Q5" s="2005" t="s">
        <v>1736</v>
      </c>
      <c r="R5" s="2005" t="s">
        <v>1142</v>
      </c>
      <c r="S5" s="2005" t="s">
        <v>1736</v>
      </c>
      <c r="T5" s="2005" t="s">
        <v>1737</v>
      </c>
      <c r="U5" s="2005" t="s">
        <v>1736</v>
      </c>
      <c r="W5" s="2005" t="s">
        <v>1736</v>
      </c>
    </row>
    <row r="6" spans="1:23">
      <c r="A6" s="2003" t="s">
        <v>1738</v>
      </c>
      <c r="B6" s="2006" t="s">
        <v>1146</v>
      </c>
      <c r="C6" s="2009" t="s">
        <v>30</v>
      </c>
      <c r="F6" s="2005" t="s">
        <v>1734</v>
      </c>
      <c r="H6" s="2005" t="s">
        <v>1739</v>
      </c>
      <c r="I6" s="2005" t="s">
        <v>1740</v>
      </c>
      <c r="K6" s="2005" t="s">
        <v>1741</v>
      </c>
      <c r="L6" s="2005" t="s">
        <v>1741</v>
      </c>
      <c r="M6" s="2005" t="s">
        <v>1741</v>
      </c>
      <c r="N6" s="2005" t="s">
        <v>1741</v>
      </c>
      <c r="O6" s="2005" t="s">
        <v>1741</v>
      </c>
      <c r="P6" s="2005" t="s">
        <v>1741</v>
      </c>
      <c r="Q6" s="2005" t="s">
        <v>1741</v>
      </c>
      <c r="R6" s="2005" t="s">
        <v>1143</v>
      </c>
      <c r="S6" s="2005" t="s">
        <v>1741</v>
      </c>
      <c r="T6" s="2005"/>
      <c r="U6" s="2005" t="s">
        <v>1741</v>
      </c>
      <c r="W6" s="2005" t="s">
        <v>1741</v>
      </c>
    </row>
    <row r="7" spans="1:23">
      <c r="A7" s="2003" t="s">
        <v>1742</v>
      </c>
      <c r="B7" s="2006" t="s">
        <v>1147</v>
      </c>
      <c r="C7" s="2004" t="s">
        <v>31</v>
      </c>
      <c r="F7" s="2005" t="s">
        <v>1743</v>
      </c>
      <c r="H7" s="2005" t="s">
        <v>1744</v>
      </c>
      <c r="I7" s="2005" t="s">
        <v>1745</v>
      </c>
    </row>
    <row r="8" spans="1:23">
      <c r="A8" s="2003" t="s">
        <v>1746</v>
      </c>
      <c r="B8" s="2003" t="s">
        <v>1747</v>
      </c>
      <c r="C8" s="2004" t="s">
        <v>764</v>
      </c>
      <c r="F8" s="2005" t="s">
        <v>1748</v>
      </c>
      <c r="H8" s="2005"/>
      <c r="I8" s="2005" t="s">
        <v>1749</v>
      </c>
    </row>
    <row r="9" spans="1:23">
      <c r="A9" s="2003" t="s">
        <v>1750</v>
      </c>
      <c r="B9" s="2003" t="s">
        <v>1751</v>
      </c>
      <c r="C9" s="2004" t="s">
        <v>765</v>
      </c>
      <c r="F9" s="2005" t="s">
        <v>1752</v>
      </c>
      <c r="H9" s="2005"/>
    </row>
    <row r="10" spans="1:23">
      <c r="A10" s="2003" t="s">
        <v>1753</v>
      </c>
      <c r="B10" s="2003" t="s">
        <v>1754</v>
      </c>
      <c r="C10" s="2004" t="s">
        <v>766</v>
      </c>
      <c r="F10" s="2005" t="s">
        <v>16</v>
      </c>
    </row>
    <row r="11" spans="1:23">
      <c r="A11" s="2003" t="s">
        <v>1755</v>
      </c>
      <c r="B11" s="2003" t="s">
        <v>1756</v>
      </c>
      <c r="C11" s="2004" t="s">
        <v>767</v>
      </c>
    </row>
    <row r="12" spans="1:23">
      <c r="A12" s="2003" t="s">
        <v>1757</v>
      </c>
      <c r="B12" s="2003" t="s">
        <v>1758</v>
      </c>
      <c r="C12" s="2004" t="s">
        <v>768</v>
      </c>
    </row>
    <row r="13" spans="1:23">
      <c r="A13" s="2003" t="s">
        <v>1759</v>
      </c>
      <c r="B13" s="2003" t="s">
        <v>1760</v>
      </c>
      <c r="C13" s="2004" t="s">
        <v>769</v>
      </c>
    </row>
    <row r="14" spans="1:23">
      <c r="A14" s="2003" t="s">
        <v>1761</v>
      </c>
      <c r="B14" s="2003" t="s">
        <v>1762</v>
      </c>
      <c r="C14" s="2005" t="s">
        <v>16</v>
      </c>
    </row>
    <row r="15" spans="1:23">
      <c r="A15" s="2003" t="s">
        <v>1763</v>
      </c>
      <c r="B15" s="2003" t="s">
        <v>1764</v>
      </c>
      <c r="C15" s="2004"/>
    </row>
    <row r="16" spans="1:23">
      <c r="A16" s="2003" t="s">
        <v>1765</v>
      </c>
      <c r="B16" s="2003" t="s">
        <v>756</v>
      </c>
      <c r="C16" s="2004"/>
    </row>
    <row r="17" spans="1:3">
      <c r="A17" s="2003" t="s">
        <v>1766</v>
      </c>
      <c r="B17" s="2003" t="s">
        <v>757</v>
      </c>
      <c r="C17" s="2004"/>
    </row>
    <row r="18" spans="1:3">
      <c r="A18" s="2003" t="s">
        <v>1767</v>
      </c>
      <c r="B18" s="2003" t="s">
        <v>757</v>
      </c>
      <c r="C18" s="2004"/>
    </row>
    <row r="19" spans="1:3">
      <c r="A19" s="2003" t="s">
        <v>1768</v>
      </c>
      <c r="B19" s="2003" t="s">
        <v>757</v>
      </c>
      <c r="C19" s="2004"/>
    </row>
    <row r="20" spans="1:3">
      <c r="A20" s="2003" t="s">
        <v>1769</v>
      </c>
      <c r="B20" s="2003" t="s">
        <v>757</v>
      </c>
      <c r="C20" s="2004"/>
    </row>
    <row r="21" spans="1:3">
      <c r="A21" s="2003" t="s">
        <v>1770</v>
      </c>
      <c r="B21" s="2003" t="s">
        <v>757</v>
      </c>
      <c r="C21" s="2004"/>
    </row>
    <row r="22" spans="1:3">
      <c r="A22" s="2003" t="s">
        <v>1771</v>
      </c>
      <c r="B22" s="2003" t="s">
        <v>757</v>
      </c>
      <c r="C22" s="2004"/>
    </row>
    <row r="23" spans="1:3">
      <c r="A23" s="2003" t="s">
        <v>1772</v>
      </c>
      <c r="B23" s="2003" t="s">
        <v>757</v>
      </c>
      <c r="C23" s="2004"/>
    </row>
    <row r="24" spans="1:3">
      <c r="A24" s="2003" t="s">
        <v>1773</v>
      </c>
      <c r="B24" s="2003" t="s">
        <v>757</v>
      </c>
      <c r="C24" s="2004"/>
    </row>
    <row r="25" spans="1:3">
      <c r="A25" s="2003" t="s">
        <v>1774</v>
      </c>
      <c r="B25" s="2003" t="s">
        <v>757</v>
      </c>
      <c r="C25" s="2004"/>
    </row>
    <row r="26" spans="1:3">
      <c r="A26" s="2003" t="s">
        <v>1775</v>
      </c>
      <c r="B26" s="2003" t="s">
        <v>757</v>
      </c>
      <c r="C26" s="2004"/>
    </row>
    <row r="27" spans="1:3">
      <c r="A27" s="2003" t="s">
        <v>757</v>
      </c>
      <c r="B27" s="2003" t="s">
        <v>757</v>
      </c>
      <c r="C27" s="2004"/>
    </row>
    <row r="28" spans="1:3">
      <c r="A28" s="2003" t="s">
        <v>757</v>
      </c>
      <c r="B28" s="2003" t="s">
        <v>757</v>
      </c>
      <c r="C28" s="2004"/>
    </row>
    <row r="29" spans="1:3">
      <c r="A29" s="2003" t="s">
        <v>757</v>
      </c>
      <c r="B29" s="2003" t="s">
        <v>757</v>
      </c>
      <c r="C29" s="2004"/>
    </row>
    <row r="30" spans="1:3">
      <c r="A30" s="2003" t="s">
        <v>757</v>
      </c>
      <c r="B30" s="2003" t="s">
        <v>757</v>
      </c>
      <c r="C30" s="2004"/>
    </row>
    <row r="31" spans="1:3">
      <c r="A31" s="2003" t="s">
        <v>757</v>
      </c>
      <c r="B31" s="2003" t="s">
        <v>757</v>
      </c>
      <c r="C31" s="2004"/>
    </row>
    <row r="32" spans="1:3">
      <c r="A32" s="2003" t="s">
        <v>757</v>
      </c>
      <c r="B32" s="2003" t="s">
        <v>757</v>
      </c>
      <c r="C32" s="2004"/>
    </row>
    <row r="33" spans="1:3">
      <c r="A33" s="2003" t="s">
        <v>757</v>
      </c>
      <c r="B33" s="2003" t="s">
        <v>757</v>
      </c>
      <c r="C33" s="2004"/>
    </row>
    <row r="34" spans="1:3">
      <c r="A34" s="2003" t="s">
        <v>757</v>
      </c>
      <c r="B34" s="2003" t="s">
        <v>757</v>
      </c>
      <c r="C34" s="2004"/>
    </row>
    <row r="35" spans="1:3">
      <c r="A35" s="2003" t="s">
        <v>757</v>
      </c>
      <c r="B35" s="2003" t="s">
        <v>757</v>
      </c>
      <c r="C35" s="2004"/>
    </row>
    <row r="36" spans="1:3">
      <c r="A36" s="2003" t="s">
        <v>757</v>
      </c>
      <c r="B36" s="2003" t="s">
        <v>757</v>
      </c>
      <c r="C36" s="2004"/>
    </row>
    <row r="37" spans="1:3">
      <c r="A37" s="2003" t="s">
        <v>757</v>
      </c>
      <c r="B37" s="2003" t="s">
        <v>757</v>
      </c>
      <c r="C37" s="2004"/>
    </row>
    <row r="38" spans="1:3">
      <c r="A38" s="2003" t="s">
        <v>757</v>
      </c>
      <c r="B38" s="2003" t="s">
        <v>757</v>
      </c>
      <c r="C38" s="2004"/>
    </row>
    <row r="39" spans="1:3">
      <c r="A39" s="2003" t="s">
        <v>757</v>
      </c>
      <c r="B39" s="2003" t="s">
        <v>757</v>
      </c>
      <c r="C39" s="2004"/>
    </row>
    <row r="40" spans="1:3">
      <c r="A40" s="2003" t="s">
        <v>757</v>
      </c>
      <c r="B40" s="2003" t="s">
        <v>757</v>
      </c>
      <c r="C40" s="2004"/>
    </row>
    <row r="41" spans="1:3">
      <c r="A41" s="2003" t="s">
        <v>757</v>
      </c>
      <c r="B41" s="2003" t="s">
        <v>757</v>
      </c>
      <c r="C41" s="2004"/>
    </row>
    <row r="42" spans="1:3">
      <c r="A42" s="2003" t="s">
        <v>757</v>
      </c>
      <c r="B42" s="2003" t="s">
        <v>757</v>
      </c>
      <c r="C42" s="2004"/>
    </row>
    <row r="43" spans="1:3">
      <c r="A43" s="2003" t="s">
        <v>757</v>
      </c>
      <c r="B43" s="2003" t="s">
        <v>757</v>
      </c>
      <c r="C43" s="2004"/>
    </row>
    <row r="44" spans="1:3">
      <c r="A44" s="2003" t="s">
        <v>757</v>
      </c>
      <c r="B44" s="2003" t="s">
        <v>757</v>
      </c>
      <c r="C44" s="2004"/>
    </row>
    <row r="45" spans="1:3">
      <c r="A45" s="2003" t="s">
        <v>757</v>
      </c>
      <c r="B45" s="2003" t="s">
        <v>757</v>
      </c>
      <c r="C45" s="2004"/>
    </row>
    <row r="46" spans="1:3">
      <c r="A46" s="2003" t="s">
        <v>757</v>
      </c>
      <c r="B46" s="2003" t="s">
        <v>757</v>
      </c>
      <c r="C46" s="2004"/>
    </row>
    <row r="47" spans="1:3">
      <c r="A47" s="2003" t="s">
        <v>757</v>
      </c>
      <c r="B47" s="2003" t="s">
        <v>757</v>
      </c>
      <c r="C47" s="2004"/>
    </row>
    <row r="48" spans="1:3">
      <c r="A48" s="2003" t="s">
        <v>757</v>
      </c>
      <c r="B48" s="2003" t="s">
        <v>757</v>
      </c>
      <c r="C48" s="2004"/>
    </row>
    <row r="49" spans="1:4">
      <c r="A49" s="2003" t="s">
        <v>757</v>
      </c>
      <c r="B49" s="2003" t="s">
        <v>757</v>
      </c>
      <c r="C49" s="2004"/>
    </row>
    <row r="50" spans="1:4">
      <c r="A50" s="2003" t="s">
        <v>757</v>
      </c>
      <c r="B50" s="2003" t="s">
        <v>757</v>
      </c>
      <c r="C50" s="2004"/>
    </row>
    <row r="51" spans="1:4">
      <c r="A51" s="2010" t="s">
        <v>857</v>
      </c>
      <c r="B51" s="2011"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杭州置信投资发展有限公司拟使用浙江省杭州市下城区杭州新天地项目D地块办公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1" t="s">
        <v>1285</v>
      </c>
    </row>
    <row r="52" spans="1:4">
      <c r="A52" s="2010" t="s">
        <v>858</v>
      </c>
      <c r="B52" s="2010" t="s">
        <v>859</v>
      </c>
      <c r="C52" s="2008" t="s">
        <v>860</v>
      </c>
      <c r="D52" s="2008" t="s">
        <v>861</v>
      </c>
    </row>
    <row r="53" spans="1:4">
      <c r="A53" s="3049" t="s">
        <v>862</v>
      </c>
      <c r="B53" s="2011" t="s">
        <v>863</v>
      </c>
      <c r="C53" s="2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20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49"/>
      <c r="B54" s="2011" t="s">
        <v>864</v>
      </c>
      <c r="C54" s="2008" t="s">
        <v>1282</v>
      </c>
    </row>
    <row r="55" spans="1:4">
      <c r="A55" s="3049"/>
      <c r="B55" s="2011" t="s">
        <v>865</v>
      </c>
      <c r="C55" s="2008" t="s">
        <v>1283</v>
      </c>
    </row>
    <row r="56" spans="1:4">
      <c r="A56" s="3049"/>
      <c r="B56" s="2011" t="s">
        <v>866</v>
      </c>
      <c r="C56" s="2008" t="s">
        <v>1287</v>
      </c>
    </row>
    <row r="57" spans="1:4">
      <c r="A57" s="3049"/>
      <c r="B57" s="2011" t="s">
        <v>867</v>
      </c>
      <c r="C57" s="2008" t="s">
        <v>1284</v>
      </c>
    </row>
    <row r="58" spans="1:4">
      <c r="A58" s="2012"/>
      <c r="B58" s="2008"/>
    </row>
    <row r="59" spans="1:4">
      <c r="A59" s="2012"/>
      <c r="B59" s="2008"/>
    </row>
    <row r="60" spans="1:4">
      <c r="A60" s="2012"/>
      <c r="B60" s="2008"/>
    </row>
    <row r="61" spans="1:4">
      <c r="A61" s="2012"/>
      <c r="B61" s="2008"/>
    </row>
    <row r="62" spans="1:4">
      <c r="A62" s="2012"/>
      <c r="B62" s="2008"/>
    </row>
    <row r="63" spans="1:4">
      <c r="A63" s="2012"/>
      <c r="B63" s="2008"/>
    </row>
    <row r="64" spans="1:4">
      <c r="A64" s="2012"/>
      <c r="B64" s="2008"/>
    </row>
    <row r="65" spans="1:2">
      <c r="A65" s="2012"/>
      <c r="B65" s="2008"/>
    </row>
    <row r="66" spans="1:2">
      <c r="A66" s="2012"/>
      <c r="B66" s="2008"/>
    </row>
    <row r="67" spans="1:2">
      <c r="A67" s="2012"/>
      <c r="B67" s="2008"/>
    </row>
    <row r="68" spans="1:2">
      <c r="A68" s="2012"/>
      <c r="B68" s="2008"/>
    </row>
    <row r="69" spans="1:2">
      <c r="A69" s="2012"/>
      <c r="B69" s="2008"/>
    </row>
    <row r="70" spans="1:2">
      <c r="A70" s="2012"/>
      <c r="B70" s="2008"/>
    </row>
    <row r="71" spans="1:2">
      <c r="A71" s="2012"/>
      <c r="B71" s="2008"/>
    </row>
    <row r="72" spans="1:2">
      <c r="A72" s="2012"/>
      <c r="B72" s="2008"/>
    </row>
    <row r="73" spans="1:2">
      <c r="A73" s="2012"/>
      <c r="B73" s="2008"/>
    </row>
    <row r="74" spans="1:2">
      <c r="A74" s="2012"/>
      <c r="B74" s="2008"/>
    </row>
    <row r="75" spans="1:2">
      <c r="A75" s="2012"/>
      <c r="B75" s="2008"/>
    </row>
    <row r="76" spans="1:2">
      <c r="A76" s="2012"/>
      <c r="B76" s="2008"/>
    </row>
    <row r="77" spans="1:2">
      <c r="A77" s="2012"/>
      <c r="B77" s="2008"/>
    </row>
    <row r="78" spans="1:2">
      <c r="A78" s="2012"/>
      <c r="B78" s="2008"/>
    </row>
    <row r="79" spans="1:2">
      <c r="A79" s="2012"/>
      <c r="B79" s="2008"/>
    </row>
    <row r="80" spans="1:2">
      <c r="A80" s="2012"/>
      <c r="B80" s="2008"/>
    </row>
    <row r="81" spans="1:2">
      <c r="A81" s="2012"/>
      <c r="B81" s="2008"/>
    </row>
    <row r="82" spans="1:2">
      <c r="A82" s="2012"/>
      <c r="B82" s="2008"/>
    </row>
    <row r="83" spans="1:2">
      <c r="A83" s="2012"/>
      <c r="B83" s="2008"/>
    </row>
    <row r="84" spans="1:2">
      <c r="A84" s="2012"/>
      <c r="B84" s="2008"/>
    </row>
    <row r="85" spans="1:2">
      <c r="A85" s="2012"/>
      <c r="B85" s="2008"/>
    </row>
    <row r="86" spans="1:2">
      <c r="A86" s="2012"/>
      <c r="B86" s="2008"/>
    </row>
    <row r="87" spans="1:2">
      <c r="A87" s="2012"/>
      <c r="B87" s="2008"/>
    </row>
    <row r="88" spans="1:2">
      <c r="A88" s="2012"/>
      <c r="B88" s="2008"/>
    </row>
    <row r="89" spans="1:2">
      <c r="A89" s="2012"/>
      <c r="B89" s="2008"/>
    </row>
    <row r="90" spans="1:2">
      <c r="A90" s="2012"/>
      <c r="B90" s="2008"/>
    </row>
    <row r="91" spans="1:2">
      <c r="A91" s="2012"/>
      <c r="B91" s="2008"/>
    </row>
    <row r="92" spans="1:2">
      <c r="A92" s="2012"/>
      <c r="B92" s="2008"/>
    </row>
    <row r="93" spans="1:2">
      <c r="A93" s="2012"/>
      <c r="B93" s="2008"/>
    </row>
    <row r="94" spans="1:2">
      <c r="A94" s="2012"/>
      <c r="B94" s="2008"/>
    </row>
    <row r="95" spans="1:2">
      <c r="A95" s="2012"/>
      <c r="B95" s="2008"/>
    </row>
    <row r="96" spans="1:2">
      <c r="A96" s="2012"/>
      <c r="B96" s="2008"/>
    </row>
    <row r="97" spans="1:2">
      <c r="A97" s="2012"/>
      <c r="B97" s="2008"/>
    </row>
    <row r="98" spans="1:2">
      <c r="A98" s="2012"/>
      <c r="B98" s="2008"/>
    </row>
    <row r="99" spans="1:2">
      <c r="A99" s="2012"/>
      <c r="B99" s="2008"/>
    </row>
    <row r="100" spans="1:2">
      <c r="A100" s="2012"/>
      <c r="B100" s="2008"/>
    </row>
    <row r="101" spans="1:2">
      <c r="A101" s="2012"/>
      <c r="B101" s="2008"/>
    </row>
    <row r="102" spans="1:2">
      <c r="A102" s="2012"/>
      <c r="B102" s="2008"/>
    </row>
    <row r="103" spans="1:2">
      <c r="A103" s="2012"/>
      <c r="B103" s="2008"/>
    </row>
    <row r="104" spans="1:2">
      <c r="A104" s="2012"/>
      <c r="B104" s="2008"/>
    </row>
    <row r="105" spans="1:2">
      <c r="A105" s="2012"/>
      <c r="B105" s="2008"/>
    </row>
    <row r="106" spans="1:2">
      <c r="A106" s="2012"/>
      <c r="B106" s="2008"/>
    </row>
    <row r="107" spans="1:2">
      <c r="A107" s="2012"/>
      <c r="B107" s="2008"/>
    </row>
    <row r="108" spans="1:2">
      <c r="A108" s="2012"/>
      <c r="B108" s="2008"/>
    </row>
    <row r="109" spans="1:2">
      <c r="A109" s="2012"/>
      <c r="B109" s="2008"/>
    </row>
    <row r="110" spans="1:2">
      <c r="A110" s="2012"/>
      <c r="B110" s="2008"/>
    </row>
    <row r="111" spans="1:2">
      <c r="A111" s="2012"/>
      <c r="B111" s="2008"/>
    </row>
    <row r="112" spans="1:2">
      <c r="A112" s="2012"/>
      <c r="B112" s="2008"/>
    </row>
    <row r="113" spans="1:2">
      <c r="A113" s="2012"/>
      <c r="B113" s="2008"/>
    </row>
    <row r="114" spans="1:2">
      <c r="A114" s="2012"/>
      <c r="B114" s="2008"/>
    </row>
    <row r="115" spans="1:2">
      <c r="A115" s="2012"/>
      <c r="B115" s="2008"/>
    </row>
    <row r="116" spans="1:2">
      <c r="A116" s="2012"/>
      <c r="B116" s="2008"/>
    </row>
    <row r="117" spans="1:2">
      <c r="A117" s="2012"/>
      <c r="B117" s="2008"/>
    </row>
    <row r="118" spans="1:2">
      <c r="A118" s="2012"/>
      <c r="B118" s="2008"/>
    </row>
    <row r="119" spans="1:2">
      <c r="A119" s="2012"/>
      <c r="B119" s="2008"/>
    </row>
    <row r="120" spans="1:2">
      <c r="A120" s="2012"/>
      <c r="B120" s="2008"/>
    </row>
    <row r="121" spans="1:2">
      <c r="A121" s="2012"/>
      <c r="B121" s="2008"/>
    </row>
    <row r="122" spans="1:2">
      <c r="A122" s="2012"/>
      <c r="B122" s="2008"/>
    </row>
    <row r="123" spans="1:2">
      <c r="A123" s="2012"/>
      <c r="B123" s="2008"/>
    </row>
    <row r="124" spans="1:2">
      <c r="A124" s="2012"/>
      <c r="B124" s="2008"/>
    </row>
    <row r="125" spans="1:2">
      <c r="A125" s="2012"/>
      <c r="B125" s="2008"/>
    </row>
    <row r="126" spans="1:2">
      <c r="A126" s="2012"/>
      <c r="B126" s="2008"/>
    </row>
    <row r="127" spans="1:2">
      <c r="A127" s="2012"/>
      <c r="B127" s="200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E18" sqref="E18:I18"/>
    </sheetView>
  </sheetViews>
  <sheetFormatPr defaultColWidth="10" defaultRowHeight="18" customHeight="1"/>
  <cols>
    <col min="1" max="1" width="14.875" style="2021" customWidth="1"/>
    <col min="2" max="2" width="11.25" style="2021" customWidth="1"/>
    <col min="3" max="3" width="11.5" style="2021" customWidth="1"/>
    <col min="4" max="4" width="11.375" style="2021" customWidth="1"/>
    <col min="5" max="6" width="10" style="2021" customWidth="1"/>
    <col min="7" max="7" width="10.75" style="2021" customWidth="1"/>
    <col min="8" max="8" width="10" style="2021" customWidth="1"/>
    <col min="9" max="9" width="11.125" style="2143" customWidth="1"/>
    <col min="10" max="10" width="10" style="2021" customWidth="1"/>
    <col min="11" max="11" width="10" style="2144" customWidth="1"/>
    <col min="12" max="13" width="10" style="2145" customWidth="1"/>
    <col min="14" max="14" width="10" style="2021" customWidth="1"/>
    <col min="15" max="15" width="10" style="2143" customWidth="1"/>
    <col min="16" max="17" width="10" style="2021"/>
    <col min="18" max="18" width="10" style="2021" customWidth="1"/>
    <col min="19" max="16384" width="10" style="2021"/>
  </cols>
  <sheetData>
    <row r="1" spans="1:19" ht="38.25" customHeight="1" thickBot="1">
      <c r="A1" s="2014" t="s">
        <v>1776</v>
      </c>
      <c r="B1" s="3050" t="str">
        <f>IF(B10="北京市","北京市",C10)&amp;F10&amp;IF(结果表!G1="在建","出让国有建设用地使用权及在建建筑物",IF(结果表!G1="土地","出让国有建设用地使用权",))&amp;B9&amp;"预评估"</f>
        <v>浙江省杭州市下城区杭州新天地项目D地块办公用房房地产房地产抵押价值预评估</v>
      </c>
      <c r="C1" s="3051"/>
      <c r="D1" s="3051"/>
      <c r="E1" s="3051"/>
      <c r="F1" s="3051"/>
      <c r="G1" s="3051"/>
      <c r="H1" s="3051"/>
      <c r="I1" s="3052"/>
      <c r="J1" s="2015"/>
      <c r="K1" s="2016"/>
      <c r="L1" s="2017"/>
      <c r="M1" s="2017"/>
      <c r="N1" s="2018"/>
      <c r="O1" s="2019"/>
      <c r="P1" s="2018"/>
      <c r="Q1" s="2018"/>
      <c r="R1" s="2018"/>
      <c r="S1" s="2020" t="str">
        <f>IF(B10="北京市","北京市",C10)&amp;F10&amp;IF(结果表!G1="在建","出让国有建设用地使用权及在建建筑物房地产抵押价值",IF(结果表!G1="土地","出让国有建设用地使用权抵押价值",B9))</f>
        <v>浙江省杭州市下城区杭州新天地项目D地块办公用房房地产房地产抵押价值</v>
      </c>
    </row>
    <row r="2" spans="1:19" ht="18" customHeight="1">
      <c r="A2" s="2015" t="s">
        <v>1777</v>
      </c>
      <c r="B2" s="1035" t="s">
        <v>4674</v>
      </c>
      <c r="C2" s="2022"/>
      <c r="D2" s="2015"/>
      <c r="E2" s="2023"/>
      <c r="F2" s="2023"/>
      <c r="G2" s="2015"/>
      <c r="H2" s="2015"/>
      <c r="I2" s="2015"/>
      <c r="J2" s="2015"/>
      <c r="K2" s="2016"/>
      <c r="L2" s="2017"/>
      <c r="M2" s="2017"/>
      <c r="N2" s="2018"/>
      <c r="O2" s="2019"/>
      <c r="P2" s="2018"/>
      <c r="Q2" s="2018"/>
      <c r="R2" s="2018"/>
      <c r="S2" s="2020" t="str">
        <f>IF(B10="北京市","北京市",C10)&amp;F10&amp;IF(结果表!G1="在建","出让国有建设用地使用权及在建建筑物房地产",IF(结果表!G1="土地","出让国有建设用地使用权","房地产"))</f>
        <v>浙江省杭州市下城区杭州新天地项目D地块办公用房房地产房地产</v>
      </c>
    </row>
    <row r="3" spans="1:19" ht="18" customHeight="1">
      <c r="A3" s="2024" t="s">
        <v>1778</v>
      </c>
      <c r="B3" s="2025">
        <v>43028</v>
      </c>
      <c r="C3" s="2026" t="s">
        <v>1779</v>
      </c>
      <c r="D3" s="2025">
        <v>43028</v>
      </c>
      <c r="E3" s="2015"/>
      <c r="F3" s="2015"/>
      <c r="G3" s="2015"/>
      <c r="H3" s="2015"/>
      <c r="I3" s="2015"/>
      <c r="J3" s="2015"/>
      <c r="K3" s="2016"/>
      <c r="L3" s="2017"/>
      <c r="M3" s="2017"/>
      <c r="N3" s="2018"/>
      <c r="O3" s="2019"/>
      <c r="P3" s="2018"/>
      <c r="Q3" s="2018"/>
      <c r="R3" s="2018"/>
      <c r="S3" s="2020"/>
    </row>
    <row r="4" spans="1:19" ht="18" customHeight="1" thickBot="1">
      <c r="A4" s="2027" t="s">
        <v>1780</v>
      </c>
      <c r="B4" s="2028" t="s">
        <v>3041</v>
      </c>
      <c r="C4" s="1033">
        <f ca="1">SUMIF(注册房地产估价师,B4,估价师及机构信息!B3:B24)</f>
        <v>1120070131</v>
      </c>
      <c r="D4" s="2028" t="s">
        <v>3042</v>
      </c>
      <c r="E4" s="1034">
        <f ca="1">SUMIF(注册房地产估价师,D4,估价师及机构信息!B3:B24)</f>
        <v>1120130048</v>
      </c>
      <c r="F4" s="2028" t="s">
        <v>70</v>
      </c>
      <c r="G4" s="2029">
        <f>SUMIF(注册房地产估价师,F4,估价师及机构信息!B3:B24)</f>
        <v>0</v>
      </c>
      <c r="H4" s="2028" t="s">
        <v>70</v>
      </c>
      <c r="I4" s="2030">
        <f>SUMIF(注册房地产估价师,H4,估价师及机构信息!B3:B24)</f>
        <v>0</v>
      </c>
      <c r="J4" s="2031"/>
      <c r="K4" s="2032" t="str">
        <f ca="1">CONCATENATE(B4,"（注册号：",C4,")、",D4,"（注册号：",E4,")")</f>
        <v>郑燚（注册号：1120070131)、王萌（注册号：1120130048)</v>
      </c>
      <c r="L4" s="2017"/>
      <c r="M4" s="2017"/>
      <c r="N4" s="2018"/>
      <c r="O4" s="2019"/>
      <c r="P4" s="2018"/>
      <c r="Q4" s="2018"/>
      <c r="R4" s="2018"/>
      <c r="S4" s="2020"/>
    </row>
    <row r="5" spans="1:19" ht="18" customHeight="1" thickTop="1">
      <c r="A5" s="2033" t="s">
        <v>1781</v>
      </c>
      <c r="B5" s="2916" t="s">
        <v>3043</v>
      </c>
      <c r="C5" s="2034"/>
      <c r="D5" s="2035"/>
      <c r="E5" s="2031"/>
      <c r="F5" s="2031"/>
      <c r="G5" s="2031"/>
      <c r="H5" s="2031"/>
      <c r="I5" s="2031"/>
      <c r="J5" s="2031"/>
      <c r="K5" s="2032" t="str">
        <f>IF(F4="——","",IF(H4="——",F4&amp;"（注册号："&amp;G4&amp;")",CONCATENATE(F4,"（注册号：",G4,")、",H4,"（注册号：",I4,")")))</f>
        <v/>
      </c>
      <c r="L5" s="2017"/>
      <c r="M5" s="2017"/>
      <c r="N5" s="2018"/>
      <c r="O5" s="2019"/>
      <c r="P5" s="2018"/>
      <c r="Q5" s="2018"/>
      <c r="R5" s="2018"/>
    </row>
    <row r="6" spans="1:19" ht="18" customHeight="1">
      <c r="A6" s="2036" t="s">
        <v>1782</v>
      </c>
      <c r="B6" s="2917" t="s">
        <v>3043</v>
      </c>
      <c r="C6" s="2037"/>
      <c r="D6" s="2038"/>
      <c r="E6" s="2023"/>
      <c r="F6" s="2031"/>
      <c r="G6" s="2031"/>
      <c r="H6" s="2031"/>
      <c r="I6" s="2031"/>
      <c r="J6" s="2031"/>
      <c r="K6" s="2039" t="str">
        <f>IF(COUNTIF(B6,"*上海银行*"),"上海银行","")</f>
        <v/>
      </c>
      <c r="L6" s="2017"/>
      <c r="M6" s="2017"/>
      <c r="N6" s="2018"/>
      <c r="O6" s="2019"/>
      <c r="P6" s="2018"/>
      <c r="Q6" s="2018"/>
      <c r="R6" s="2018"/>
    </row>
    <row r="7" spans="1:19" ht="18" customHeight="1">
      <c r="A7" s="2036" t="s">
        <v>1783</v>
      </c>
      <c r="B7" s="2918" t="s">
        <v>3044</v>
      </c>
      <c r="C7" s="2037"/>
      <c r="D7" s="2038"/>
      <c r="E7" s="2023"/>
      <c r="F7" s="2031"/>
      <c r="G7" s="2031"/>
      <c r="H7" s="2031"/>
      <c r="I7" s="2031"/>
      <c r="J7" s="2031"/>
      <c r="K7" s="2040"/>
      <c r="L7" s="2017"/>
      <c r="M7" s="2017"/>
      <c r="N7" s="2018"/>
      <c r="O7" s="2019"/>
      <c r="P7" s="2018"/>
      <c r="Q7" s="2018"/>
      <c r="R7" s="2018"/>
    </row>
    <row r="8" spans="1:19" ht="18" customHeight="1">
      <c r="A8" s="2036" t="s">
        <v>1784</v>
      </c>
      <c r="B8" s="2041" t="s">
        <v>3050</v>
      </c>
      <c r="C8" s="2042"/>
      <c r="D8" s="3053" t="s">
        <v>1785</v>
      </c>
      <c r="E8" s="2043" t="s">
        <v>3051</v>
      </c>
      <c r="F8" s="2044"/>
      <c r="G8" s="2015"/>
      <c r="H8" s="2015"/>
      <c r="I8" s="2015"/>
      <c r="J8" s="2031"/>
      <c r="K8" s="2032"/>
      <c r="L8" s="2017"/>
      <c r="M8" s="2017"/>
      <c r="N8" s="2018"/>
      <c r="O8" s="2019"/>
      <c r="P8" s="2018"/>
      <c r="Q8" s="2018"/>
      <c r="R8" s="2018"/>
    </row>
    <row r="9" spans="1:19" ht="18" customHeight="1" thickBot="1">
      <c r="A9" s="2029" t="s">
        <v>1786</v>
      </c>
      <c r="B9" s="2045" t="s">
        <v>3051</v>
      </c>
      <c r="C9" s="2046"/>
      <c r="D9" s="3054"/>
      <c r="E9" s="2045" t="s">
        <v>70</v>
      </c>
      <c r="F9" s="2047"/>
      <c r="G9" s="2048"/>
      <c r="H9" s="2048"/>
      <c r="I9" s="2048"/>
      <c r="J9" s="2031"/>
      <c r="K9" s="2040"/>
      <c r="L9" s="2017"/>
      <c r="M9" s="2017"/>
      <c r="N9" s="2018"/>
      <c r="O9" s="2019"/>
      <c r="P9" s="2018"/>
      <c r="Q9" s="2018"/>
      <c r="R9" s="2018"/>
    </row>
    <row r="10" spans="1:19" ht="18" customHeight="1" thickTop="1">
      <c r="A10" s="2049" t="s">
        <v>1787</v>
      </c>
      <c r="B10" s="2050" t="s">
        <v>3045</v>
      </c>
      <c r="C10" s="2919" t="s">
        <v>3046</v>
      </c>
      <c r="D10" s="2035"/>
      <c r="E10" s="2051" t="s">
        <v>1788</v>
      </c>
      <c r="F10" s="2936" t="s">
        <v>4673</v>
      </c>
      <c r="G10" s="2052"/>
      <c r="H10" s="2053"/>
      <c r="I10" s="2035"/>
      <c r="J10" s="2031"/>
      <c r="K10" s="2040"/>
      <c r="L10" s="2017"/>
      <c r="M10" s="2017"/>
      <c r="N10" s="2018"/>
      <c r="O10" s="2019"/>
      <c r="P10" s="2018"/>
      <c r="Q10" s="2018"/>
      <c r="R10" s="2018"/>
    </row>
    <row r="11" spans="1:19" ht="18" customHeight="1">
      <c r="A11" s="2054" t="s">
        <v>1789</v>
      </c>
      <c r="B11" s="2055" t="s">
        <v>3047</v>
      </c>
      <c r="C11" s="2920" t="s">
        <v>3044</v>
      </c>
      <c r="D11" s="2056"/>
      <c r="E11" s="2031"/>
      <c r="F11" s="2031"/>
      <c r="G11" s="2031"/>
      <c r="H11" s="2031"/>
      <c r="I11" s="2031"/>
      <c r="J11" s="2031"/>
      <c r="K11" s="2040"/>
      <c r="L11" s="2017"/>
      <c r="M11" s="2017"/>
      <c r="N11" s="2018"/>
      <c r="O11" s="2019"/>
      <c r="P11" s="2018"/>
      <c r="Q11" s="2018"/>
      <c r="R11" s="2018"/>
    </row>
    <row r="12" spans="1:19" ht="18" customHeight="1">
      <c r="A12" s="2057" t="s">
        <v>1790</v>
      </c>
      <c r="B12" s="2055" t="s">
        <v>3048</v>
      </c>
      <c r="C12" s="2058" t="s">
        <v>1791</v>
      </c>
      <c r="D12" s="2059" t="s">
        <v>1792</v>
      </c>
      <c r="E12" s="2059" t="s">
        <v>1793</v>
      </c>
      <c r="F12" s="2059" t="s">
        <v>1794</v>
      </c>
      <c r="G12" s="2059" t="s">
        <v>1795</v>
      </c>
      <c r="H12" s="2059" t="s">
        <v>1796</v>
      </c>
      <c r="I12" s="2059" t="s">
        <v>1797</v>
      </c>
      <c r="J12" s="2031"/>
      <c r="K12" s="2040"/>
      <c r="L12" s="2017"/>
      <c r="M12" s="2017"/>
      <c r="N12" s="2018"/>
      <c r="O12" s="2019"/>
      <c r="P12" s="2018"/>
      <c r="Q12" s="2018"/>
      <c r="R12" s="2018"/>
    </row>
    <row r="13" spans="1:19" ht="18" customHeight="1">
      <c r="A13" s="2060"/>
      <c r="B13" s="2061"/>
      <c r="C13" s="2062" t="s">
        <v>1798</v>
      </c>
      <c r="D13" s="2063"/>
      <c r="E13" s="2063"/>
      <c r="F13" s="2063">
        <v>54966</v>
      </c>
      <c r="G13" s="2063"/>
      <c r="H13" s="2063"/>
      <c r="I13" s="1043"/>
      <c r="J13" s="2031"/>
      <c r="K13" s="2040"/>
      <c r="L13" s="2017"/>
      <c r="M13" s="2017"/>
      <c r="N13" s="2018"/>
      <c r="O13" s="2019"/>
      <c r="P13" s="2018"/>
      <c r="Q13" s="2018"/>
      <c r="R13" s="2018"/>
    </row>
    <row r="14" spans="1:19" ht="18" customHeight="1">
      <c r="A14" s="2060"/>
      <c r="B14" s="2061"/>
      <c r="C14" s="2062" t="s">
        <v>1799</v>
      </c>
      <c r="D14" s="1046">
        <v>70</v>
      </c>
      <c r="E14" s="1046">
        <v>40</v>
      </c>
      <c r="F14" s="1046">
        <v>50</v>
      </c>
      <c r="G14" s="1046"/>
      <c r="H14" s="1046"/>
      <c r="I14" s="1046"/>
      <c r="J14" s="2031"/>
      <c r="K14" s="2064"/>
      <c r="L14" s="2017"/>
      <c r="M14" s="2017"/>
      <c r="N14" s="2018"/>
      <c r="O14" s="2019"/>
      <c r="P14" s="2018"/>
      <c r="Q14" s="2018"/>
      <c r="R14" s="2018"/>
    </row>
    <row r="15" spans="1:19" ht="18" customHeight="1">
      <c r="A15" s="2049"/>
      <c r="B15" s="2065"/>
      <c r="C15" s="2062" t="s">
        <v>1800</v>
      </c>
      <c r="D15" s="1045" t="str">
        <f>IF(B12="出让",IF(D13="","",ROUNDDOWN(MIN((D13-$D$3)/365,D14),2)),D14)</f>
        <v/>
      </c>
      <c r="E15" s="1045" t="str">
        <f>IF(B12="出让",IF(E13="","",ROUNDDOWN(MIN((E13-$D$3)/365,E14),2)),E14)</f>
        <v/>
      </c>
      <c r="F15" s="1045">
        <f>IF(B12="出让",IF(F13="","",ROUNDDOWN(MIN((F13-$D$3)/365,F14),2)),F14)</f>
        <v>32.700000000000003</v>
      </c>
      <c r="G15" s="1045" t="str">
        <f>IF(B12="出让",IF(G13="","",ROUNDDOWN(MIN((G13-$D$3)/365,G14),2)),G14)</f>
        <v/>
      </c>
      <c r="H15" s="1045" t="str">
        <f>IF(B12="出让",IF(H13="","",ROUNDDOWN(MIN((H13-$D$3)/365,H14),2)),H14)</f>
        <v/>
      </c>
      <c r="I15" s="1045" t="str">
        <f>IF(B12="出让",IF(I13="","",ROUNDDOWN(MIN((I13-$D$3)/365,I14),2)),I14)</f>
        <v/>
      </c>
      <c r="J15" s="2031"/>
      <c r="K15" s="2066"/>
      <c r="L15" s="2067"/>
      <c r="M15" s="2067"/>
      <c r="N15" s="2068"/>
      <c r="O15" s="2067"/>
      <c r="P15" s="2068"/>
      <c r="Q15" s="2018"/>
      <c r="R15" s="2018"/>
    </row>
    <row r="16" spans="1:19" ht="30.75" customHeight="1">
      <c r="A16" s="2051" t="s">
        <v>1801</v>
      </c>
      <c r="B16" s="3060" t="s">
        <v>3049</v>
      </c>
      <c r="C16" s="3061"/>
      <c r="D16" s="3062"/>
      <c r="E16" s="2069" t="s">
        <v>1802</v>
      </c>
      <c r="F16" s="3063" t="s">
        <v>3111</v>
      </c>
      <c r="G16" s="3064"/>
      <c r="H16" s="3064"/>
      <c r="I16" s="3065"/>
      <c r="J16" s="2018"/>
      <c r="K16" s="2066"/>
      <c r="L16" s="2067"/>
      <c r="M16" s="2067"/>
      <c r="N16" s="2068"/>
      <c r="O16" s="2067"/>
      <c r="P16" s="2068"/>
      <c r="Q16" s="2018"/>
      <c r="R16" s="2018"/>
    </row>
    <row r="17" spans="1:22" ht="18" customHeight="1">
      <c r="A17" s="2070" t="s">
        <v>1803</v>
      </c>
      <c r="B17" s="2024" t="s">
        <v>1804</v>
      </c>
      <c r="C17" s="1050">
        <f>'数据-汇总表'!E3</f>
        <v>49.61</v>
      </c>
      <c r="D17" s="2071" t="s">
        <v>1805</v>
      </c>
      <c r="E17" s="3066" t="s">
        <v>4675</v>
      </c>
      <c r="F17" s="3067"/>
      <c r="G17" s="3067"/>
      <c r="H17" s="3067"/>
      <c r="I17" s="3068"/>
      <c r="J17" s="2018"/>
      <c r="K17" s="2072"/>
      <c r="L17" s="2067"/>
      <c r="M17" s="2067"/>
      <c r="N17" s="2068"/>
      <c r="O17" s="2067"/>
      <c r="P17" s="2068"/>
      <c r="Q17" s="2018"/>
      <c r="R17" s="2018"/>
      <c r="S17" s="2018"/>
      <c r="T17" s="2018"/>
      <c r="U17" s="2018"/>
      <c r="V17" s="2018"/>
    </row>
    <row r="18" spans="1:22" ht="36" customHeight="1" thickBot="1">
      <c r="A18" s="2073" t="s">
        <v>1806</v>
      </c>
      <c r="B18" s="2027" t="s">
        <v>1807</v>
      </c>
      <c r="C18" s="1433">
        <f>'数据-汇总表'!D3</f>
        <v>8.7100000000000009</v>
      </c>
      <c r="D18" s="2074" t="s">
        <v>1805</v>
      </c>
      <c r="E18" s="3069" t="s">
        <v>4676</v>
      </c>
      <c r="F18" s="3070"/>
      <c r="G18" s="3070"/>
      <c r="H18" s="3070"/>
      <c r="I18" s="3071"/>
      <c r="J18" s="2018"/>
      <c r="K18" s="2072"/>
      <c r="L18" s="2067"/>
      <c r="M18" s="2067"/>
      <c r="N18" s="2068"/>
      <c r="O18" s="2067"/>
      <c r="P18" s="2068"/>
      <c r="Q18" s="2018"/>
      <c r="R18" s="2018"/>
      <c r="S18" s="2018"/>
      <c r="T18" s="2018"/>
      <c r="U18" s="2018"/>
      <c r="V18" s="2018"/>
    </row>
    <row r="19" spans="1:22" ht="37.5" customHeight="1" thickTop="1" thickBot="1">
      <c r="A19" s="369" t="s">
        <v>1808</v>
      </c>
      <c r="B19" s="352" t="s">
        <v>1809</v>
      </c>
      <c r="C19" s="2075" t="s">
        <v>3052</v>
      </c>
      <c r="D19" s="2076" t="s">
        <v>1810</v>
      </c>
      <c r="E19" s="2077" t="s">
        <v>70</v>
      </c>
      <c r="F19" s="2078" t="str">
        <f>IF(AND(C19="是",E19="否"),"是否提供他项权证或相关说明","")</f>
        <v/>
      </c>
      <c r="G19" s="2079" t="s">
        <v>70</v>
      </c>
      <c r="H19" s="2031"/>
      <c r="I19" s="2031"/>
      <c r="J19" s="2031"/>
      <c r="K19" s="2040"/>
      <c r="L19" s="2017"/>
      <c r="M19" s="2017"/>
      <c r="N19" s="2068"/>
      <c r="O19" s="2067"/>
      <c r="P19" s="2068"/>
      <c r="Q19" s="2018"/>
      <c r="R19" s="2018"/>
      <c r="S19" s="2018"/>
      <c r="T19" s="2018"/>
      <c r="U19" s="2018"/>
      <c r="V19" s="2018"/>
    </row>
    <row r="20" spans="1:22" ht="18" customHeight="1">
      <c r="A20" s="2080" t="s">
        <v>1811</v>
      </c>
      <c r="B20" s="3056" t="s">
        <v>1812</v>
      </c>
      <c r="C20" s="3057"/>
      <c r="D20" s="3058" t="s">
        <v>1813</v>
      </c>
      <c r="E20" s="3059"/>
      <c r="F20" s="2081" t="s">
        <v>1814</v>
      </c>
      <c r="G20" s="2031"/>
      <c r="H20" s="2031"/>
      <c r="I20" s="2031"/>
      <c r="J20" s="2031"/>
      <c r="K20" s="3055" t="s">
        <v>1815</v>
      </c>
      <c r="L20" s="741" t="str">
        <f>"根据估价对象"&amp;IF(B22="——",B21&amp;C21,B21&amp;C21&amp;"、"&amp;B22&amp;C22)&amp;"，"&amp;IF(C19="是","截至价值时点，估价对象已设定抵押。","截至价值时点，估价对象抵押权未见登记。")</f>
        <v>根据估价对象《国有土地使用权》复印件，截至价值时点，估价对象抵押权未见登记。</v>
      </c>
      <c r="M20" s="2017"/>
      <c r="N20" s="2068"/>
      <c r="O20" s="2067"/>
      <c r="P20" s="2068"/>
      <c r="Q20" s="2018"/>
      <c r="R20" s="2018"/>
      <c r="S20" s="2018"/>
      <c r="T20" s="2018"/>
      <c r="U20" s="2018"/>
      <c r="V20" s="2018"/>
    </row>
    <row r="21" spans="1:22" ht="24.75" customHeight="1">
      <c r="A21" s="2080"/>
      <c r="B21" s="2082" t="s">
        <v>4677</v>
      </c>
      <c r="C21" s="2083" t="s">
        <v>3053</v>
      </c>
      <c r="D21" s="2084"/>
      <c r="E21" s="2085" t="s">
        <v>70</v>
      </c>
      <c r="F21" s="2086"/>
      <c r="G21" s="2031"/>
      <c r="H21" s="2031"/>
      <c r="I21" s="2031"/>
      <c r="J21" s="2031"/>
      <c r="K21" s="3055"/>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7"/>
      <c r="N21" s="2068"/>
      <c r="O21" s="2067"/>
      <c r="P21" s="2068"/>
      <c r="Q21" s="2018"/>
      <c r="R21" s="2018"/>
      <c r="S21" s="2018"/>
      <c r="T21" s="2018"/>
      <c r="U21" s="2018"/>
      <c r="V21" s="2018"/>
    </row>
    <row r="22" spans="1:22" ht="24.75" customHeight="1" thickBot="1">
      <c r="A22" s="2080"/>
      <c r="B22" s="2087" t="s">
        <v>70</v>
      </c>
      <c r="C22" s="2083" t="s">
        <v>70</v>
      </c>
      <c r="D22" s="2015"/>
      <c r="E22" s="2015"/>
      <c r="F22" s="2088"/>
      <c r="G22" s="2031"/>
      <c r="H22" s="2031"/>
      <c r="I22" s="2031"/>
      <c r="J22" s="2031"/>
      <c r="K22" s="3055"/>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7"/>
      <c r="N22" s="2068"/>
      <c r="O22" s="2067"/>
      <c r="P22" s="2068"/>
      <c r="Q22" s="2018"/>
      <c r="R22" s="2018"/>
      <c r="S22" s="2018"/>
      <c r="T22" s="2018"/>
      <c r="U22" s="2018"/>
      <c r="V22" s="2018"/>
    </row>
    <row r="23" spans="1:22" ht="18" customHeight="1">
      <c r="A23" s="2089" t="s">
        <v>1816</v>
      </c>
      <c r="B23" s="183" t="s">
        <v>1817</v>
      </c>
      <c r="C23" s="2090"/>
      <c r="D23" s="2091" t="s">
        <v>1817</v>
      </c>
      <c r="E23" s="2092"/>
      <c r="F23" s="2088"/>
      <c r="G23" s="2031"/>
      <c r="H23" s="2031"/>
      <c r="I23" s="2031"/>
      <c r="J23" s="2031"/>
      <c r="K23" s="2093"/>
      <c r="L23" s="741"/>
      <c r="M23" s="2017"/>
      <c r="N23" s="2068"/>
      <c r="O23" s="2067"/>
      <c r="P23" s="2068"/>
      <c r="Q23" s="2018"/>
      <c r="R23" s="2018"/>
      <c r="S23" s="2018"/>
      <c r="T23" s="2018"/>
      <c r="U23" s="2018"/>
      <c r="V23" s="2018"/>
    </row>
    <row r="24" spans="1:22" ht="18" customHeight="1">
      <c r="A24" s="2094"/>
      <c r="B24" s="183" t="s">
        <v>1818</v>
      </c>
      <c r="C24" s="2095"/>
      <c r="D24" s="2089" t="s">
        <v>1818</v>
      </c>
      <c r="E24" s="2096"/>
      <c r="F24" s="2088"/>
      <c r="G24" s="2031"/>
      <c r="H24" s="2031"/>
      <c r="I24" s="2031"/>
      <c r="J24" s="2031"/>
      <c r="K24" s="2093"/>
      <c r="L24" s="741"/>
      <c r="M24" s="2017"/>
      <c r="N24" s="2068"/>
      <c r="O24" s="2067"/>
      <c r="P24" s="2068"/>
      <c r="Q24" s="2018"/>
      <c r="R24" s="2018"/>
      <c r="S24" s="2018"/>
      <c r="T24" s="2018"/>
      <c r="U24" s="2018"/>
      <c r="V24" s="2018"/>
    </row>
    <row r="25" spans="1:22" ht="18" customHeight="1">
      <c r="A25" s="2094"/>
      <c r="B25" s="183" t="s">
        <v>1819</v>
      </c>
      <c r="C25" s="2095"/>
      <c r="D25" s="2089" t="s">
        <v>1819</v>
      </c>
      <c r="E25" s="2096"/>
      <c r="F25" s="2088"/>
      <c r="G25" s="2031"/>
      <c r="H25" s="2031"/>
      <c r="I25" s="2031"/>
      <c r="J25" s="2031"/>
      <c r="K25" s="2040"/>
      <c r="L25" s="2017"/>
      <c r="M25" s="2017"/>
      <c r="N25" s="2068"/>
      <c r="O25" s="2067"/>
      <c r="P25" s="2068"/>
      <c r="Q25" s="2018"/>
      <c r="R25" s="2018"/>
      <c r="S25" s="2018"/>
      <c r="T25" s="2018"/>
      <c r="U25" s="2018"/>
      <c r="V25" s="2018"/>
    </row>
    <row r="26" spans="1:22" ht="18" customHeight="1" thickBot="1">
      <c r="A26" s="2097"/>
      <c r="B26" s="2098" t="s">
        <v>1820</v>
      </c>
      <c r="C26" s="2099"/>
      <c r="D26" s="2100" t="s">
        <v>1821</v>
      </c>
      <c r="E26" s="2101"/>
      <c r="F26" s="2102"/>
      <c r="G26" s="2048"/>
      <c r="H26" s="2048"/>
      <c r="I26" s="2048"/>
      <c r="J26" s="2031"/>
      <c r="K26" s="2040"/>
      <c r="L26" s="2017"/>
      <c r="M26" s="2017"/>
      <c r="N26" s="2068"/>
      <c r="O26" s="2067"/>
      <c r="P26" s="2068"/>
      <c r="Q26" s="2018"/>
      <c r="R26" s="2018"/>
      <c r="S26" s="2018"/>
      <c r="T26" s="2018"/>
      <c r="U26" s="2018"/>
      <c r="V26" s="2018"/>
    </row>
    <row r="27" spans="1:22" ht="18" customHeight="1" thickTop="1">
      <c r="A27" s="3073" t="s">
        <v>1822</v>
      </c>
      <c r="B27" s="2049" t="s">
        <v>1823</v>
      </c>
      <c r="C27" s="2103" t="s">
        <v>3054</v>
      </c>
      <c r="D27" s="2104"/>
      <c r="E27" s="2031"/>
      <c r="F27" s="2031"/>
      <c r="G27" s="2031"/>
      <c r="H27" s="2031"/>
      <c r="I27" s="2031"/>
      <c r="J27" s="2018"/>
      <c r="K27" s="2066"/>
      <c r="L27" s="2067"/>
      <c r="M27" s="2067"/>
      <c r="N27" s="2068"/>
      <c r="O27" s="2067"/>
      <c r="P27" s="2068"/>
      <c r="Q27" s="2018"/>
      <c r="R27" s="2018"/>
      <c r="S27" s="2018"/>
      <c r="T27" s="2018"/>
      <c r="U27" s="2018"/>
      <c r="V27" s="2018"/>
    </row>
    <row r="28" spans="1:22" ht="18" customHeight="1">
      <c r="A28" s="3073"/>
      <c r="B28" s="2024" t="s">
        <v>1824</v>
      </c>
      <c r="C28" s="2105" t="s">
        <v>3055</v>
      </c>
      <c r="D28" s="2106"/>
      <c r="E28" s="2031"/>
      <c r="F28" s="2031"/>
      <c r="G28" s="2031"/>
      <c r="H28" s="2031"/>
      <c r="I28" s="2031"/>
      <c r="J28" s="2018"/>
      <c r="K28" s="2107"/>
      <c r="L28" s="2017"/>
      <c r="M28" s="2017"/>
      <c r="N28" s="2018"/>
      <c r="O28" s="2019"/>
      <c r="P28" s="2018"/>
      <c r="Q28" s="2018"/>
      <c r="R28" s="2018"/>
      <c r="S28" s="2018"/>
      <c r="T28" s="2018"/>
      <c r="U28" s="2018"/>
      <c r="V28" s="2018"/>
    </row>
    <row r="29" spans="1:22" ht="18" customHeight="1">
      <c r="A29" s="3073"/>
      <c r="B29" s="2024" t="s">
        <v>1825</v>
      </c>
      <c r="C29" s="2108" t="s">
        <v>3052</v>
      </c>
      <c r="D29" s="2109"/>
      <c r="E29" s="2031"/>
      <c r="F29" s="2031"/>
      <c r="G29" s="2031"/>
      <c r="H29" s="2031"/>
      <c r="I29" s="2031"/>
      <c r="J29" s="2018"/>
      <c r="K29" s="2107"/>
      <c r="L29" s="2017"/>
      <c r="M29" s="2017"/>
      <c r="N29" s="2018"/>
      <c r="O29" s="2019"/>
      <c r="P29" s="2018"/>
      <c r="Q29" s="2018"/>
      <c r="R29" s="2018"/>
      <c r="S29" s="2018"/>
      <c r="T29" s="2018"/>
      <c r="U29" s="2018"/>
      <c r="V29" s="2018"/>
    </row>
    <row r="30" spans="1:22" ht="18" customHeight="1">
      <c r="A30" s="3074"/>
      <c r="B30" s="2024" t="s">
        <v>1826</v>
      </c>
      <c r="C30" s="3075"/>
      <c r="D30" s="3076"/>
      <c r="E30" s="2031"/>
      <c r="F30" s="2031"/>
      <c r="G30" s="2031"/>
      <c r="H30" s="2031"/>
      <c r="I30" s="2031"/>
      <c r="J30" s="2018"/>
      <c r="K30" s="2107"/>
      <c r="L30" s="2017"/>
      <c r="M30" s="2017"/>
      <c r="N30" s="2018"/>
      <c r="O30" s="2019"/>
      <c r="P30" s="2018"/>
      <c r="Q30" s="2018"/>
      <c r="R30" s="2018"/>
      <c r="S30" s="2018"/>
      <c r="T30" s="2018"/>
      <c r="U30" s="2018"/>
      <c r="V30" s="2018"/>
    </row>
    <row r="31" spans="1:22" ht="18" customHeight="1">
      <c r="A31" s="3077" t="s">
        <v>1827</v>
      </c>
      <c r="B31" s="2110" t="s">
        <v>3056</v>
      </c>
      <c r="C31" s="2111" t="str">
        <f>IF(B31="现房","成新及维护状况正常否",IF(B31="在建","工程状态是否正常",IF(B31="土地","是否闲置","-")))</f>
        <v>成新及维护状况正常否</v>
      </c>
      <c r="D31" s="2112"/>
      <c r="E31" s="2113"/>
      <c r="F31" s="2031"/>
      <c r="G31" s="2031"/>
      <c r="H31" s="2031"/>
      <c r="I31" s="2031"/>
      <c r="J31" s="2031"/>
      <c r="K31" s="2039"/>
      <c r="L31" s="2017"/>
      <c r="M31" s="2017"/>
      <c r="N31" s="2018"/>
      <c r="O31" s="2019"/>
      <c r="P31" s="2018"/>
      <c r="Q31" s="2018"/>
      <c r="R31" s="2018"/>
      <c r="S31" s="2018"/>
      <c r="T31" s="2018"/>
      <c r="U31" s="2018"/>
      <c r="V31" s="2018"/>
    </row>
    <row r="32" spans="1:22" ht="18" customHeight="1">
      <c r="A32" s="3078"/>
      <c r="B32" s="2110" t="s">
        <v>3057</v>
      </c>
      <c r="C32" s="2111" t="str">
        <f>IF(B32="现房","成新及维护状况是否正常",IF(B32="在建","工程状态是否正常",IF(B32="土地","是否闲置","-")))</f>
        <v>-</v>
      </c>
      <c r="D32" s="2112"/>
      <c r="E32" s="2113"/>
      <c r="F32" s="2031"/>
      <c r="G32" s="2031"/>
      <c r="H32" s="2031"/>
      <c r="I32" s="2031"/>
      <c r="J32" s="2031"/>
      <c r="K32" s="2040"/>
      <c r="L32" s="2017"/>
      <c r="M32" s="2017"/>
      <c r="N32" s="2018"/>
      <c r="O32" s="2019"/>
      <c r="P32" s="2018"/>
      <c r="Q32" s="2018"/>
      <c r="R32" s="2018"/>
      <c r="S32" s="2018"/>
      <c r="T32" s="2018"/>
      <c r="U32" s="2018"/>
      <c r="V32" s="2018"/>
    </row>
    <row r="33" spans="1:22" ht="18" customHeight="1">
      <c r="A33" s="3078"/>
      <c r="B33" s="2114"/>
      <c r="C33" s="2054" t="str">
        <f>IF(B33="现房","成新及维护状况是否正常",IF(B33="在建","工程状态是否正常",IF(B33="土地","是否闲置","-")))</f>
        <v>-</v>
      </c>
      <c r="D33" s="2115"/>
      <c r="E33" s="2116"/>
      <c r="F33" s="2031"/>
      <c r="G33" s="2031"/>
      <c r="H33" s="2031"/>
      <c r="I33" s="2031"/>
      <c r="J33" s="2031"/>
      <c r="K33" s="2040"/>
      <c r="L33" s="2017"/>
      <c r="M33" s="2017"/>
      <c r="N33" s="2018"/>
      <c r="O33" s="2019"/>
      <c r="P33" s="2018"/>
      <c r="Q33" s="2018"/>
      <c r="R33" s="2018"/>
      <c r="S33" s="2018"/>
      <c r="T33" s="2018"/>
      <c r="U33" s="2018"/>
      <c r="V33" s="2018"/>
    </row>
    <row r="34" spans="1:22" ht="18" customHeight="1">
      <c r="A34" s="2024" t="s">
        <v>1828</v>
      </c>
      <c r="B34" s="2117" t="s">
        <v>3058</v>
      </c>
      <c r="C34" s="2117" t="s">
        <v>3059</v>
      </c>
      <c r="D34" s="2117" t="s">
        <v>3060</v>
      </c>
      <c r="E34" s="2117" t="s">
        <v>3061</v>
      </c>
      <c r="F34" s="2117" t="s">
        <v>3062</v>
      </c>
      <c r="G34" s="2117" t="s">
        <v>3063</v>
      </c>
      <c r="H34" s="2117" t="s">
        <v>70</v>
      </c>
      <c r="I34" s="2031"/>
      <c r="J34" s="2031"/>
      <c r="K34" s="1785">
        <f>COUNTIF(B34:H34,"——")</f>
        <v>1</v>
      </c>
      <c r="L34" s="2058" t="s">
        <v>1829</v>
      </c>
      <c r="M34" s="2058" t="s">
        <v>1830</v>
      </c>
      <c r="N34" s="2058" t="s">
        <v>1831</v>
      </c>
      <c r="O34" s="2058" t="s">
        <v>1832</v>
      </c>
      <c r="P34" s="2058" t="s">
        <v>1833</v>
      </c>
      <c r="Q34" s="2058" t="s">
        <v>1834</v>
      </c>
      <c r="R34" s="2058" t="s">
        <v>1835</v>
      </c>
      <c r="S34" s="3072" t="s">
        <v>1836</v>
      </c>
      <c r="T34" s="2118" t="str">
        <f>NUMBERSTRING(7-K34,1)&amp;"通"</f>
        <v>六通</v>
      </c>
      <c r="U34" s="2018"/>
      <c r="V34" s="2018"/>
    </row>
    <row r="35" spans="1:22" ht="18" customHeight="1">
      <c r="A35" s="2119"/>
      <c r="B35" s="3079" t="s">
        <v>1837</v>
      </c>
      <c r="C35" s="3079"/>
      <c r="D35" s="3079"/>
      <c r="E35" s="3079"/>
      <c r="F35" s="2120" t="str">
        <f>C10</f>
        <v>浙江省杭州市</v>
      </c>
      <c r="G35" s="2031"/>
      <c r="H35" s="2031"/>
      <c r="I35" s="2031"/>
      <c r="J35" s="2031"/>
      <c r="K35" s="2058"/>
      <c r="L35" s="205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72"/>
      <c r="T35" s="48" t="str">
        <f>IF(T34="一通",L35,IF(T34="二通",M35,IF(T34="三通",N35,IF(T34="四通",O35,IF(T34="五通",P35,IF(T34="六通",Q35,R35))))))</f>
        <v>通路、通电、通讯、通上水、通下水、燃气</v>
      </c>
      <c r="U35" s="2018"/>
      <c r="V35" s="2018"/>
    </row>
    <row r="36" spans="1:22" ht="18" customHeight="1">
      <c r="A36" s="2121"/>
      <c r="B36" s="2120" t="s">
        <v>1838</v>
      </c>
      <c r="C36" s="2120" t="s">
        <v>1839</v>
      </c>
      <c r="D36" s="2120" t="s">
        <v>1840</v>
      </c>
      <c r="E36" s="2120" t="s">
        <v>1841</v>
      </c>
      <c r="F36" s="2921" t="s">
        <v>3064</v>
      </c>
      <c r="G36" s="2031"/>
      <c r="H36" s="2031"/>
      <c r="I36" s="2031"/>
      <c r="J36" s="2031"/>
      <c r="K36" s="2040"/>
      <c r="L36" s="2017"/>
      <c r="M36" s="2017"/>
      <c r="N36" s="2018"/>
      <c r="O36" s="2019"/>
      <c r="P36" s="2018"/>
      <c r="Q36" s="2018"/>
      <c r="R36" s="2018"/>
      <c r="S36" s="2018"/>
      <c r="T36" s="2018"/>
      <c r="U36" s="2018"/>
      <c r="V36" s="2018"/>
    </row>
    <row r="37" spans="1:22" ht="18" customHeight="1">
      <c r="A37" s="2123" t="s">
        <v>1842</v>
      </c>
      <c r="B37" s="2124"/>
      <c r="C37" s="2124"/>
      <c r="D37" s="2124"/>
      <c r="E37" s="2124"/>
      <c r="F37" s="2122"/>
      <c r="G37" s="2031"/>
      <c r="H37" s="2031"/>
      <c r="I37" s="2031"/>
      <c r="J37" s="2031"/>
      <c r="K37" s="2040"/>
      <c r="L37" s="2017"/>
      <c r="M37" s="2017"/>
      <c r="N37" s="2018"/>
      <c r="O37" s="2019"/>
      <c r="P37" s="2018"/>
      <c r="Q37" s="2018"/>
      <c r="R37" s="2018"/>
      <c r="S37" s="2018"/>
      <c r="T37" s="2018"/>
      <c r="U37" s="2018"/>
      <c r="V37" s="2018"/>
    </row>
    <row r="38" spans="1:22" ht="18" customHeight="1" thickBot="1">
      <c r="A38" s="2125" t="s">
        <v>1843</v>
      </c>
      <c r="B38" s="2126"/>
      <c r="C38" s="2126"/>
      <c r="D38" s="2126"/>
      <c r="E38" s="2126"/>
      <c r="F38" s="2127"/>
      <c r="G38" s="2048"/>
      <c r="H38" s="2048"/>
      <c r="I38" s="2048"/>
      <c r="J38" s="2031"/>
      <c r="K38" s="2040"/>
      <c r="L38" s="2017"/>
      <c r="M38" s="2017"/>
      <c r="N38" s="2018"/>
      <c r="O38" s="2019"/>
      <c r="P38" s="2018"/>
      <c r="Q38" s="2018"/>
      <c r="R38" s="2018"/>
      <c r="S38" s="2018"/>
      <c r="T38" s="2018"/>
      <c r="U38" s="2018"/>
      <c r="V38" s="2018"/>
    </row>
    <row r="39" spans="1:22" s="2132" customFormat="1" ht="18" customHeight="1" thickTop="1" thickBot="1">
      <c r="A39" s="2128" t="s">
        <v>1844</v>
      </c>
      <c r="B39" s="2129"/>
      <c r="C39" s="2129"/>
      <c r="D39" s="2129"/>
      <c r="E39" s="2129"/>
      <c r="F39" s="2129"/>
      <c r="G39" s="2129"/>
      <c r="H39" s="2129"/>
      <c r="I39" s="2129"/>
      <c r="J39" s="2129"/>
      <c r="K39" s="2130"/>
      <c r="L39" s="2129"/>
      <c r="M39" s="2129"/>
      <c r="N39" s="2129"/>
      <c r="O39" s="2131"/>
      <c r="P39" s="2129"/>
      <c r="Q39" s="2129"/>
      <c r="R39" s="2129"/>
      <c r="S39" s="2129"/>
      <c r="T39" s="2129"/>
      <c r="U39" s="2129"/>
      <c r="V39" s="2129"/>
    </row>
    <row r="40" spans="1:22" ht="18" customHeight="1">
      <c r="A40" s="2018"/>
      <c r="B40" s="2018"/>
      <c r="C40" s="2018"/>
      <c r="D40" s="2018"/>
      <c r="E40" s="2018"/>
      <c r="F40" s="2018"/>
      <c r="G40" s="2018"/>
      <c r="H40" s="2018"/>
      <c r="I40" s="2133"/>
      <c r="J40" s="2068"/>
      <c r="K40" s="661"/>
      <c r="L40" s="2067"/>
      <c r="M40" s="2067"/>
      <c r="N40" s="2068"/>
      <c r="O40" s="2067"/>
      <c r="P40" s="2018"/>
      <c r="Q40" s="2018"/>
      <c r="R40" s="2018"/>
      <c r="S40" s="2018"/>
      <c r="T40" s="2018"/>
      <c r="U40" s="2018"/>
      <c r="V40" s="2018"/>
    </row>
    <row r="41" spans="1:22" ht="18" customHeight="1">
      <c r="A41" s="8" t="s">
        <v>1845</v>
      </c>
      <c r="B41" s="2134"/>
      <c r="C41" s="2135"/>
      <c r="D41" s="2018"/>
      <c r="E41" s="2018"/>
      <c r="F41" s="2018"/>
      <c r="G41" s="2018"/>
      <c r="H41" s="2018"/>
      <c r="I41" s="2019"/>
      <c r="J41" s="2018"/>
      <c r="K41" s="2107"/>
      <c r="L41" s="2017"/>
      <c r="M41" s="2017"/>
      <c r="N41" s="2018"/>
      <c r="O41" s="2019"/>
      <c r="P41" s="2018"/>
      <c r="Q41" s="2018"/>
      <c r="R41" s="2018"/>
      <c r="S41" s="2018"/>
      <c r="T41" s="2018"/>
      <c r="U41" s="2018"/>
      <c r="V41" s="2018"/>
    </row>
    <row r="42" spans="1:22" ht="18" customHeight="1">
      <c r="A42" s="2058" t="s">
        <v>1846</v>
      </c>
      <c r="B42" s="1785" t="s">
        <v>1847</v>
      </c>
      <c r="C42" s="1785" t="s">
        <v>1848</v>
      </c>
      <c r="D42" s="1785" t="s">
        <v>1849</v>
      </c>
      <c r="E42" s="1785" t="s">
        <v>1850</v>
      </c>
      <c r="F42" s="1785" t="s">
        <v>1851</v>
      </c>
      <c r="G42" s="1785" t="s">
        <v>1852</v>
      </c>
      <c r="H42" s="1785" t="s">
        <v>1853</v>
      </c>
      <c r="I42" s="1785" t="s">
        <v>1854</v>
      </c>
      <c r="J42" s="2136" t="s">
        <v>1855</v>
      </c>
      <c r="K42" s="2059" t="s">
        <v>1856</v>
      </c>
      <c r="L42" s="2059" t="s">
        <v>1857</v>
      </c>
      <c r="M42" s="2059" t="s">
        <v>1858</v>
      </c>
      <c r="N42" s="1785" t="s">
        <v>1859</v>
      </c>
      <c r="O42" s="1785" t="s">
        <v>1860</v>
      </c>
      <c r="P42" s="1785" t="s">
        <v>1861</v>
      </c>
      <c r="Q42" s="2058" t="s">
        <v>1862</v>
      </c>
      <c r="R42" s="2058" t="s">
        <v>1863</v>
      </c>
      <c r="S42" s="2018"/>
      <c r="T42" s="2018"/>
      <c r="U42" s="2018"/>
      <c r="V42" s="2018"/>
    </row>
    <row r="43" spans="1:22" s="2141" customFormat="1" ht="18" customHeight="1">
      <c r="A43" s="2137"/>
      <c r="B43" s="1268"/>
      <c r="C43" s="1268"/>
      <c r="D43" s="1268"/>
      <c r="E43" s="1268"/>
      <c r="F43" s="1268"/>
      <c r="G43" s="1268"/>
      <c r="H43" s="9"/>
      <c r="I43" s="9"/>
      <c r="J43" s="2138"/>
      <c r="K43" s="2139"/>
      <c r="L43" s="2139"/>
      <c r="M43" s="9"/>
      <c r="N43" s="1268"/>
      <c r="O43" s="9"/>
      <c r="P43" s="1268"/>
      <c r="Q43" s="1268"/>
      <c r="R43" s="1268"/>
      <c r="S43" s="2140"/>
      <c r="T43" s="2140"/>
      <c r="U43" s="2140"/>
      <c r="V43" s="2140"/>
    </row>
    <row r="44" spans="1:22" s="2141" customFormat="1" ht="18" customHeight="1">
      <c r="A44" s="2137"/>
      <c r="B44" s="2137"/>
      <c r="C44" s="1268"/>
      <c r="D44" s="1268"/>
      <c r="E44" s="1268"/>
      <c r="F44" s="1268"/>
      <c r="G44" s="1268"/>
      <c r="H44" s="9"/>
      <c r="I44" s="9"/>
      <c r="J44" s="2138"/>
      <c r="K44" s="2139"/>
      <c r="L44" s="2139"/>
      <c r="M44" s="9"/>
      <c r="N44" s="1268"/>
      <c r="O44" s="9"/>
      <c r="P44" s="1268"/>
      <c r="Q44" s="1268"/>
      <c r="R44" s="1268"/>
      <c r="S44" s="2140"/>
      <c r="T44" s="2140"/>
      <c r="U44" s="2140"/>
      <c r="V44" s="2140"/>
    </row>
    <row r="45" spans="1:22" s="2141" customFormat="1" ht="18" customHeight="1">
      <c r="A45" s="2137"/>
      <c r="B45" s="2137"/>
      <c r="C45" s="1268"/>
      <c r="D45" s="1268"/>
      <c r="E45" s="1268"/>
      <c r="F45" s="1268"/>
      <c r="G45" s="1268"/>
      <c r="H45" s="9"/>
      <c r="I45" s="9"/>
      <c r="J45" s="2138"/>
      <c r="K45" s="2139"/>
      <c r="L45" s="2139"/>
      <c r="M45" s="9"/>
      <c r="N45" s="1268"/>
      <c r="O45" s="9"/>
      <c r="P45" s="1268"/>
      <c r="Q45" s="1268"/>
      <c r="R45" s="1268"/>
      <c r="S45" s="2140"/>
      <c r="T45" s="2140"/>
      <c r="U45" s="2140"/>
      <c r="V45" s="2140"/>
    </row>
    <row r="46" spans="1:22" s="2141" customFormat="1" ht="18" customHeight="1">
      <c r="A46" s="2137"/>
      <c r="B46" s="2137"/>
      <c r="C46" s="1268"/>
      <c r="D46" s="1268"/>
      <c r="E46" s="1268"/>
      <c r="F46" s="1268"/>
      <c r="G46" s="1268"/>
      <c r="H46" s="9"/>
      <c r="I46" s="9"/>
      <c r="J46" s="2138"/>
      <c r="K46" s="2139"/>
      <c r="L46" s="2139"/>
      <c r="M46" s="9"/>
      <c r="N46" s="1268"/>
      <c r="O46" s="9"/>
      <c r="P46" s="1268"/>
      <c r="Q46" s="1268"/>
      <c r="R46" s="1268"/>
      <c r="S46" s="2140"/>
      <c r="T46" s="2140"/>
      <c r="U46" s="2140"/>
      <c r="V46" s="2140"/>
    </row>
    <row r="47" spans="1:22" s="2141" customFormat="1" ht="18" customHeight="1">
      <c r="A47" s="2137"/>
      <c r="B47" s="2137"/>
      <c r="C47" s="1268"/>
      <c r="D47" s="1268"/>
      <c r="E47" s="1268"/>
      <c r="F47" s="1268"/>
      <c r="G47" s="1268"/>
      <c r="H47" s="9"/>
      <c r="I47" s="9"/>
      <c r="J47" s="2138"/>
      <c r="K47" s="2139"/>
      <c r="L47" s="2139"/>
      <c r="M47" s="9"/>
      <c r="N47" s="1268"/>
      <c r="O47" s="9"/>
      <c r="P47" s="1268"/>
      <c r="Q47" s="1268"/>
      <c r="R47" s="1268"/>
      <c r="S47" s="2140"/>
      <c r="T47" s="2140"/>
      <c r="U47" s="2140"/>
      <c r="V47" s="2140"/>
    </row>
    <row r="48" spans="1:22" s="2141" customFormat="1" ht="18" customHeight="1">
      <c r="A48" s="2137"/>
      <c r="B48" s="2137"/>
      <c r="C48" s="1268"/>
      <c r="D48" s="1268"/>
      <c r="E48" s="1268"/>
      <c r="F48" s="1268"/>
      <c r="G48" s="1268"/>
      <c r="H48" s="9"/>
      <c r="I48" s="9"/>
      <c r="J48" s="2138"/>
      <c r="K48" s="2139"/>
      <c r="L48" s="2139"/>
      <c r="M48" s="9"/>
      <c r="N48" s="1268"/>
      <c r="O48" s="9"/>
      <c r="P48" s="1268"/>
      <c r="Q48" s="1268"/>
      <c r="R48" s="1268"/>
      <c r="S48" s="2140"/>
      <c r="T48" s="2140"/>
      <c r="U48" s="2140"/>
      <c r="V48" s="2140"/>
    </row>
    <row r="49" spans="1:22" s="2141" customFormat="1" ht="18" customHeight="1">
      <c r="A49" s="2137"/>
      <c r="B49" s="2137"/>
      <c r="C49" s="1268"/>
      <c r="D49" s="1268"/>
      <c r="E49" s="1268"/>
      <c r="F49" s="1268"/>
      <c r="G49" s="1268"/>
      <c r="H49" s="9"/>
      <c r="I49" s="9"/>
      <c r="J49" s="2138"/>
      <c r="K49" s="2139"/>
      <c r="L49" s="2139"/>
      <c r="M49" s="9"/>
      <c r="N49" s="1268"/>
      <c r="O49" s="9"/>
      <c r="P49" s="1268"/>
      <c r="Q49" s="1268"/>
      <c r="R49" s="1268"/>
      <c r="S49" s="2140"/>
      <c r="T49" s="2140"/>
      <c r="U49" s="2140"/>
      <c r="V49" s="2140"/>
    </row>
    <row r="50" spans="1:22" s="2141" customFormat="1" ht="18" customHeight="1">
      <c r="A50" s="2137"/>
      <c r="B50" s="2137"/>
      <c r="C50" s="1268"/>
      <c r="D50" s="1268"/>
      <c r="E50" s="1268"/>
      <c r="F50" s="1268"/>
      <c r="G50" s="1268"/>
      <c r="H50" s="9"/>
      <c r="I50" s="9"/>
      <c r="J50" s="2138"/>
      <c r="K50" s="2139"/>
      <c r="L50" s="2139"/>
      <c r="M50" s="9"/>
      <c r="N50" s="1268"/>
      <c r="O50" s="9"/>
      <c r="P50" s="1268"/>
      <c r="Q50" s="1268"/>
      <c r="R50" s="1268"/>
      <c r="S50" s="2140"/>
      <c r="T50" s="2140"/>
      <c r="U50" s="2140"/>
      <c r="V50" s="2140"/>
    </row>
    <row r="51" spans="1:22" s="2141" customFormat="1" ht="18" customHeight="1">
      <c r="A51" s="2137"/>
      <c r="B51" s="2137"/>
      <c r="C51" s="1268"/>
      <c r="D51" s="1268"/>
      <c r="E51" s="1268"/>
      <c r="F51" s="1268"/>
      <c r="G51" s="1268"/>
      <c r="H51" s="9"/>
      <c r="I51" s="9"/>
      <c r="J51" s="2138"/>
      <c r="K51" s="2139"/>
      <c r="L51" s="2139"/>
      <c r="M51" s="9"/>
      <c r="N51" s="1268"/>
      <c r="O51" s="9"/>
      <c r="P51" s="1268"/>
      <c r="Q51" s="1268"/>
      <c r="R51" s="1268"/>
    </row>
    <row r="52" spans="1:22" s="2141" customFormat="1" ht="18" customHeight="1">
      <c r="A52" s="10"/>
      <c r="B52" s="10"/>
      <c r="C52" s="10"/>
      <c r="D52" s="10"/>
      <c r="E52" s="10"/>
      <c r="F52" s="9"/>
      <c r="G52" s="10"/>
      <c r="H52" s="10"/>
      <c r="I52" s="10"/>
      <c r="J52" s="2142"/>
      <c r="K52" s="2139"/>
      <c r="L52" s="2139"/>
      <c r="M52" s="2139"/>
      <c r="N52" s="10"/>
      <c r="O52" s="10"/>
      <c r="P52" s="10"/>
      <c r="Q52" s="10"/>
      <c r="R52" s="10"/>
    </row>
    <row r="53" spans="1:22" s="2141" customFormat="1" ht="18" customHeight="1">
      <c r="A53" s="10"/>
      <c r="B53" s="10"/>
      <c r="C53" s="10"/>
      <c r="D53" s="10"/>
      <c r="E53" s="10"/>
      <c r="F53" s="9"/>
      <c r="G53" s="10"/>
      <c r="H53" s="10"/>
      <c r="I53" s="10"/>
      <c r="J53" s="2142"/>
      <c r="K53" s="2139"/>
      <c r="L53" s="2139"/>
      <c r="M53" s="2139"/>
      <c r="N53" s="10"/>
      <c r="O53" s="10"/>
      <c r="P53" s="10"/>
      <c r="Q53" s="10"/>
      <c r="R53" s="10"/>
    </row>
    <row r="54" spans="1:22" s="2141" customFormat="1" ht="18" customHeight="1">
      <c r="A54" s="10"/>
      <c r="B54" s="10"/>
      <c r="C54" s="10"/>
      <c r="D54" s="10"/>
      <c r="E54" s="10"/>
      <c r="F54" s="9"/>
      <c r="G54" s="10"/>
      <c r="H54" s="10"/>
      <c r="I54" s="10"/>
      <c r="J54" s="2142"/>
      <c r="K54" s="2139"/>
      <c r="L54" s="2139"/>
      <c r="M54" s="2139"/>
      <c r="N54" s="10"/>
      <c r="O54" s="10"/>
      <c r="P54" s="10"/>
      <c r="Q54" s="10"/>
      <c r="R54" s="10"/>
    </row>
    <row r="55" spans="1:22" s="2141" customFormat="1" ht="18" customHeight="1">
      <c r="A55" s="10"/>
      <c r="B55" s="10"/>
      <c r="C55" s="10"/>
      <c r="D55" s="10"/>
      <c r="E55" s="10"/>
      <c r="F55" s="9"/>
      <c r="G55" s="10"/>
      <c r="H55" s="10"/>
      <c r="I55" s="10"/>
      <c r="J55" s="2142"/>
      <c r="K55" s="2139"/>
      <c r="L55" s="2139"/>
      <c r="M55" s="2139"/>
      <c r="N55" s="10"/>
      <c r="O55" s="10"/>
      <c r="P55" s="10"/>
      <c r="Q55" s="10"/>
      <c r="R55" s="10"/>
    </row>
    <row r="56" spans="1:22" s="2141" customFormat="1" ht="18" customHeight="1">
      <c r="A56" s="10"/>
      <c r="B56" s="10"/>
      <c r="C56" s="10"/>
      <c r="D56" s="10"/>
      <c r="E56" s="10"/>
      <c r="F56" s="9"/>
      <c r="G56" s="10"/>
      <c r="H56" s="10"/>
      <c r="I56" s="10"/>
      <c r="J56" s="2142"/>
      <c r="K56" s="2139"/>
      <c r="L56" s="2139"/>
      <c r="M56" s="213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43" customWidth="1"/>
    <col min="2" max="2" width="11" style="2143" customWidth="1"/>
    <col min="3" max="3" width="10.375" style="2143" customWidth="1"/>
    <col min="4" max="4" width="9.125" style="2143" customWidth="1"/>
    <col min="5" max="6" width="10" style="2206" customWidth="1"/>
    <col min="7" max="8" width="10" style="2143" customWidth="1"/>
    <col min="9" max="9" width="10.625" style="2143" customWidth="1"/>
    <col min="10" max="10" width="9.5" style="2143" customWidth="1"/>
    <col min="11" max="11" width="11" style="2143" customWidth="1"/>
    <col min="12" max="12" width="9.5" style="2143" customWidth="1"/>
    <col min="13" max="14" width="9.5" style="2143" hidden="1" customWidth="1"/>
    <col min="15" max="15" width="9.875" style="2143" hidden="1" customWidth="1"/>
    <col min="16" max="16" width="9.75" style="2143" hidden="1" customWidth="1"/>
    <col min="17" max="17" width="9.375" style="2143" hidden="1" customWidth="1"/>
    <col min="18" max="18" width="9.25" style="2143" hidden="1" customWidth="1"/>
    <col min="19" max="19" width="10.875" style="2143" hidden="1" customWidth="1"/>
    <col min="20" max="21" width="10.75" style="2143" hidden="1" customWidth="1"/>
    <col min="22" max="22" width="10.875" style="2143" hidden="1" customWidth="1"/>
    <col min="23" max="27" width="10.75" style="2143" hidden="1" customWidth="1"/>
    <col min="28" max="28" width="10.875" style="2143" hidden="1" customWidth="1"/>
    <col min="29" max="29" width="11" style="2143" bestFit="1" customWidth="1"/>
    <col min="30" max="30" width="10" style="2143" hidden="1" customWidth="1"/>
    <col min="31" max="31" width="9.75" style="2143" hidden="1" customWidth="1"/>
    <col min="32" max="45" width="9.5" style="2143" hidden="1" customWidth="1"/>
    <col min="46" max="46" width="9.5" style="2143" customWidth="1"/>
    <col min="47" max="47" width="18.125" style="2143" customWidth="1"/>
    <col min="48" max="50" width="9.75" style="2143" customWidth="1"/>
    <col min="51" max="55" width="10.5" style="2143" bestFit="1" customWidth="1"/>
    <col min="56" max="56" width="9.5" style="2143" bestFit="1" customWidth="1"/>
    <col min="57" max="63" width="9.125" style="2143" bestFit="1" customWidth="1"/>
    <col min="64" max="64" width="9.5" style="2143" bestFit="1" customWidth="1"/>
    <col min="65" max="65" width="9.125" style="2143" bestFit="1" customWidth="1"/>
    <col min="66" max="66" width="9.5" style="2143" bestFit="1" customWidth="1"/>
    <col min="67" max="69" width="9.125" style="2143" bestFit="1" customWidth="1"/>
    <col min="70" max="70" width="9.5" style="2143" bestFit="1" customWidth="1"/>
    <col min="71" max="71" width="9" style="2143" customWidth="1"/>
    <col min="72" max="72" width="9.125" style="2143" bestFit="1" customWidth="1"/>
    <col min="73" max="16384" width="8.875" style="2143"/>
  </cols>
  <sheetData>
    <row r="1" spans="1:72" ht="20.25">
      <c r="A1" s="2146" t="s">
        <v>1864</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c r="AT1" s="2019"/>
      <c r="AU1" s="2019"/>
      <c r="AV1" s="2147" t="s">
        <v>1865</v>
      </c>
      <c r="AW1" s="2019"/>
      <c r="AX1" s="2019"/>
      <c r="AY1" s="2019"/>
      <c r="AZ1" s="2019"/>
      <c r="BA1" s="2019"/>
      <c r="BB1" s="2019"/>
      <c r="BC1" s="2019"/>
      <c r="BD1" s="2019"/>
      <c r="BE1" s="2019"/>
      <c r="BF1" s="2019"/>
      <c r="BG1" s="2019"/>
      <c r="BH1" s="2019"/>
      <c r="BI1" s="2019"/>
      <c r="BJ1" s="2019"/>
      <c r="BK1" s="2019"/>
      <c r="BL1" s="2019"/>
      <c r="BM1" s="2019"/>
      <c r="BN1" s="2019"/>
      <c r="BO1" s="2019"/>
      <c r="BP1" s="2019"/>
      <c r="BQ1" s="2019"/>
      <c r="BR1" s="2019"/>
      <c r="BS1" s="2019"/>
      <c r="BT1" s="2019"/>
    </row>
    <row r="2" spans="1:72" s="2151" customFormat="1" ht="24">
      <c r="A2" s="11" t="s">
        <v>1866</v>
      </c>
      <c r="B2" s="11" t="s">
        <v>1867</v>
      </c>
      <c r="C2" s="11" t="s">
        <v>1868</v>
      </c>
      <c r="D2" s="2148"/>
      <c r="E2" s="2149"/>
      <c r="F2" s="2150"/>
      <c r="G2" s="2148"/>
      <c r="H2" s="2148"/>
      <c r="I2" s="2148"/>
      <c r="J2" s="2148"/>
      <c r="K2" s="2148"/>
      <c r="L2" s="2148"/>
      <c r="M2" s="2148"/>
      <c r="N2" s="2148"/>
      <c r="O2" s="2148"/>
      <c r="P2" s="2148"/>
      <c r="Q2" s="2148"/>
      <c r="R2" s="2148"/>
      <c r="S2" s="2148"/>
      <c r="T2" s="2148"/>
      <c r="U2" s="2148"/>
      <c r="V2" s="2148"/>
      <c r="W2" s="2148"/>
      <c r="X2" s="2148"/>
      <c r="Y2" s="2148"/>
      <c r="Z2" s="2148"/>
      <c r="AA2" s="2148"/>
      <c r="AB2" s="2148"/>
      <c r="AC2" s="2148"/>
      <c r="AD2" s="2148"/>
      <c r="AE2" s="2148"/>
      <c r="AF2" s="2148"/>
      <c r="AG2" s="2148"/>
      <c r="AH2" s="2148"/>
      <c r="AI2" s="2148"/>
      <c r="AJ2" s="2148"/>
      <c r="AK2" s="2148"/>
      <c r="AL2" s="2148"/>
      <c r="AM2" s="2148"/>
      <c r="AN2" s="2148"/>
      <c r="AO2" s="2148"/>
      <c r="AP2" s="2148"/>
      <c r="AQ2" s="2148"/>
      <c r="AR2" s="2148"/>
      <c r="AS2" s="2148"/>
      <c r="AT2" s="2148"/>
      <c r="AU2" s="2148"/>
      <c r="AV2" s="2148"/>
      <c r="AW2" s="2148"/>
      <c r="AX2" s="2148"/>
      <c r="AY2" s="1265" t="s">
        <v>1869</v>
      </c>
      <c r="AZ2" s="1266" t="s">
        <v>1870</v>
      </c>
      <c r="BA2" s="11" t="s">
        <v>1871</v>
      </c>
      <c r="BB2" s="2148"/>
      <c r="BC2" s="2148"/>
      <c r="BD2" s="2148"/>
      <c r="BE2" s="2148"/>
      <c r="BF2" s="2148"/>
      <c r="BG2" s="2148"/>
      <c r="BH2" s="2148"/>
      <c r="BI2" s="2148"/>
      <c r="BJ2" s="2148"/>
      <c r="BK2" s="2148"/>
      <c r="BL2" s="2148"/>
      <c r="BM2" s="2148"/>
      <c r="BN2" s="2148"/>
      <c r="BO2" s="2148"/>
      <c r="BP2" s="2148"/>
      <c r="BQ2" s="2148"/>
      <c r="BR2" s="2148"/>
      <c r="BS2" s="2148"/>
      <c r="BT2" s="2148"/>
    </row>
    <row r="3" spans="1:72" s="2151" customFormat="1" ht="12.75">
      <c r="A3" s="13">
        <f>Sheet1!M7</f>
        <v>27155.46</v>
      </c>
      <c r="B3" s="14">
        <f>IF(C3="否",G5-AT5,G5)</f>
        <v>154700.81000000137</v>
      </c>
      <c r="C3" s="2152" t="s">
        <v>1872</v>
      </c>
      <c r="D3" s="2148"/>
      <c r="E3" s="2148"/>
      <c r="F3" s="2148"/>
      <c r="G3" s="2148"/>
      <c r="H3" s="2148"/>
      <c r="I3" s="2148"/>
      <c r="J3" s="2148"/>
      <c r="K3" s="2148"/>
      <c r="L3" s="2148"/>
      <c r="M3" s="2148"/>
      <c r="N3" s="2148"/>
      <c r="O3" s="2148"/>
      <c r="P3" s="2148"/>
      <c r="Q3" s="2148"/>
      <c r="R3" s="2148"/>
      <c r="S3" s="2148"/>
      <c r="T3" s="2148"/>
      <c r="U3" s="2148"/>
      <c r="V3" s="2148"/>
      <c r="W3" s="2148"/>
      <c r="X3" s="2148"/>
      <c r="Y3" s="2148"/>
      <c r="Z3" s="2148"/>
      <c r="AA3" s="2148"/>
      <c r="AB3" s="2148"/>
      <c r="AC3" s="2148"/>
      <c r="AD3" s="2148"/>
      <c r="AE3" s="2148"/>
      <c r="AF3" s="2148"/>
      <c r="AG3" s="2148"/>
      <c r="AH3" s="2148"/>
      <c r="AI3" s="2148"/>
      <c r="AJ3" s="2148"/>
      <c r="AK3" s="2148"/>
      <c r="AL3" s="2148"/>
      <c r="AM3" s="2148"/>
      <c r="AN3" s="2148"/>
      <c r="AO3" s="2148"/>
      <c r="AP3" s="2148"/>
      <c r="AQ3" s="2148"/>
      <c r="AR3" s="2148"/>
      <c r="AS3" s="2148"/>
      <c r="AT3" s="2148"/>
      <c r="AU3" s="2148"/>
      <c r="AV3" s="2148"/>
      <c r="AW3" s="2148"/>
      <c r="AX3" s="2148"/>
      <c r="AY3" s="1267"/>
      <c r="AZ3" s="1268"/>
      <c r="BA3" s="1269"/>
      <c r="BB3" s="2148"/>
      <c r="BC3" s="2148"/>
      <c r="BD3" s="2148"/>
      <c r="BE3" s="2148"/>
      <c r="BF3" s="2148"/>
      <c r="BG3" s="2148"/>
      <c r="BH3" s="2148"/>
      <c r="BI3" s="2148"/>
      <c r="BJ3" s="2148"/>
      <c r="BK3" s="2148"/>
      <c r="BL3" s="2148"/>
      <c r="BM3" s="2148"/>
      <c r="BN3" s="2148"/>
      <c r="BO3" s="2148"/>
      <c r="BP3" s="2148"/>
      <c r="BQ3" s="2148"/>
      <c r="BR3" s="2148"/>
      <c r="BS3" s="2148"/>
      <c r="BT3" s="2148"/>
    </row>
    <row r="4" spans="1:72" s="2157" customFormat="1" ht="13.5" thickBot="1">
      <c r="A4" s="2153"/>
      <c r="B4" s="2154"/>
      <c r="C4" s="2155"/>
      <c r="D4" s="2148"/>
      <c r="E4" s="2148"/>
      <c r="F4" s="2148"/>
      <c r="G4" s="2148"/>
      <c r="H4" s="2148"/>
      <c r="I4" s="2148"/>
      <c r="J4" s="2148"/>
      <c r="K4" s="2148"/>
      <c r="L4" s="2148"/>
      <c r="M4" s="2148"/>
      <c r="N4" s="2148"/>
      <c r="O4" s="2148"/>
      <c r="P4" s="2148"/>
      <c r="Q4" s="2148"/>
      <c r="R4" s="2148"/>
      <c r="S4" s="2148"/>
      <c r="T4" s="2148"/>
      <c r="U4" s="2148"/>
      <c r="V4" s="2148"/>
      <c r="W4" s="2148"/>
      <c r="X4" s="2148"/>
      <c r="Y4" s="2148"/>
      <c r="Z4" s="2148"/>
      <c r="AA4" s="2148"/>
      <c r="AB4" s="2148"/>
      <c r="AC4" s="2148"/>
      <c r="AD4" s="2148"/>
      <c r="AE4" s="2148"/>
      <c r="AF4" s="2148"/>
      <c r="AG4" s="2148"/>
      <c r="AH4" s="2148"/>
      <c r="AI4" s="2148"/>
      <c r="AJ4" s="2148"/>
      <c r="AK4" s="2148"/>
      <c r="AL4" s="2148"/>
      <c r="AM4" s="2148"/>
      <c r="AN4" s="2148"/>
      <c r="AO4" s="2148"/>
      <c r="AP4" s="2148"/>
      <c r="AQ4" s="2148"/>
      <c r="AR4" s="2148"/>
      <c r="AS4" s="2148"/>
      <c r="AT4" s="2148"/>
      <c r="AU4" s="2148"/>
      <c r="AV4" s="2148"/>
      <c r="AW4" s="2148"/>
      <c r="AX4" s="2148"/>
      <c r="AY4" s="2148"/>
      <c r="AZ4" s="2148"/>
      <c r="BA4" s="2156"/>
      <c r="BB4" s="2148"/>
      <c r="BC4" s="2148"/>
      <c r="BD4" s="2148"/>
      <c r="BE4" s="2148"/>
      <c r="BF4" s="2148"/>
      <c r="BG4" s="2148"/>
      <c r="BH4" s="2148"/>
      <c r="BI4" s="2148"/>
      <c r="BJ4" s="2148"/>
      <c r="BK4" s="2148"/>
      <c r="BL4" s="2148"/>
      <c r="BM4" s="2148"/>
      <c r="BN4" s="2148"/>
      <c r="BO4" s="2148"/>
      <c r="BP4" s="2148"/>
      <c r="BQ4" s="2148"/>
      <c r="BR4" s="2148"/>
      <c r="BS4" s="2148"/>
      <c r="BT4" s="2148"/>
    </row>
    <row r="5" spans="1:72" s="2151" customFormat="1" ht="12.75">
      <c r="A5" s="15" t="s">
        <v>1873</v>
      </c>
      <c r="B5" s="1793"/>
      <c r="C5" s="1793"/>
      <c r="D5" s="1796"/>
      <c r="E5" s="16" t="s">
        <v>1</v>
      </c>
      <c r="F5" s="16">
        <f>SUM(F13:F587)</f>
        <v>0</v>
      </c>
      <c r="G5" s="16">
        <f>SUM(G13:G587)</f>
        <v>154700.81000000137</v>
      </c>
      <c r="H5" s="16">
        <f t="shared" ref="H5:AT5" si="0">SUM(H13:H656)</f>
        <v>154700.81000000137</v>
      </c>
      <c r="I5" s="16">
        <f t="shared" si="0"/>
        <v>154651.20000000138</v>
      </c>
      <c r="J5" s="16">
        <f t="shared" si="0"/>
        <v>0</v>
      </c>
      <c r="K5" s="16">
        <f t="shared" si="0"/>
        <v>49.61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2"/>
      <c r="AV5" s="15" t="s">
        <v>1873</v>
      </c>
      <c r="AW5" s="1793"/>
      <c r="AX5" s="1793"/>
      <c r="AY5" s="17" t="s">
        <v>3</v>
      </c>
      <c r="AZ5" s="18">
        <f t="shared" ref="AZ5:BT5" si="1">SUM(AZ13:AZ656)</f>
        <v>49.61</v>
      </c>
      <c r="BA5" s="18">
        <f t="shared" si="1"/>
        <v>49.61</v>
      </c>
      <c r="BB5" s="18">
        <f t="shared" si="1"/>
        <v>0</v>
      </c>
      <c r="BC5" s="18">
        <f t="shared" si="1"/>
        <v>49.61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1" customFormat="1" ht="12.75">
      <c r="A6" s="15" t="s">
        <v>1874</v>
      </c>
      <c r="B6" s="2158"/>
      <c r="C6" s="2158"/>
      <c r="D6" s="2159"/>
      <c r="E6" s="16">
        <f>H6+AC6+AT6</f>
        <v>27155.46</v>
      </c>
      <c r="F6" s="16" t="s">
        <v>1</v>
      </c>
      <c r="G6" s="16" t="s">
        <v>2</v>
      </c>
      <c r="H6" s="20">
        <f>SUMIF(I$12:AB$12,"总值",I6:AB6)</f>
        <v>27155.46</v>
      </c>
      <c r="I6" s="16">
        <f t="shared" ref="I6:AB6" si="2">ROUND($A$3*I5/$B$3,2)</f>
        <v>27146.75</v>
      </c>
      <c r="J6" s="16">
        <f t="shared" si="2"/>
        <v>0</v>
      </c>
      <c r="K6" s="16">
        <f t="shared" si="2"/>
        <v>8.7100000000000009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0"/>
      <c r="AV6" s="15" t="s">
        <v>1874</v>
      </c>
      <c r="AW6" s="2158"/>
      <c r="AX6" s="2158"/>
      <c r="AY6" s="21">
        <f>IF(AY3&gt;0,AY3,ROUND($A$3*AZ5/$B$3,2))</f>
        <v>8.7100000000000009</v>
      </c>
      <c r="AZ6" s="16" t="s">
        <v>3</v>
      </c>
      <c r="BA6" s="16">
        <f>ROUND($AY$6*BA5/$AZ$5,2)</f>
        <v>8.7100000000000009</v>
      </c>
      <c r="BB6" s="16">
        <f>ROUND($AY$6*BB5/$AZ$5,2)</f>
        <v>0</v>
      </c>
      <c r="BC6" s="16">
        <f t="shared" ref="BC6:BH6" si="4">ROUND($AY$6*BC5/$AZ$5,2)</f>
        <v>8.7100000000000009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1" customFormat="1" ht="24.75">
      <c r="A7" s="2093" t="s">
        <v>1875</v>
      </c>
      <c r="B7" s="2093" t="s">
        <v>1876</v>
      </c>
      <c r="C7" s="2093" t="s">
        <v>1877</v>
      </c>
      <c r="D7" s="2093" t="s">
        <v>1878</v>
      </c>
      <c r="E7" s="2093" t="s">
        <v>1879</v>
      </c>
      <c r="F7" s="2093" t="s">
        <v>1880</v>
      </c>
      <c r="G7" s="2162" t="s">
        <v>1881</v>
      </c>
      <c r="H7" s="2163"/>
      <c r="I7" s="2163"/>
      <c r="J7" s="2163"/>
      <c r="K7" s="2163"/>
      <c r="L7" s="2163"/>
      <c r="M7" s="2163"/>
      <c r="N7" s="2163"/>
      <c r="O7" s="2163"/>
      <c r="P7" s="2163"/>
      <c r="Q7" s="2163"/>
      <c r="R7" s="2163"/>
      <c r="S7" s="2163"/>
      <c r="T7" s="2163"/>
      <c r="U7" s="2163"/>
      <c r="V7" s="2163"/>
      <c r="W7" s="2163"/>
      <c r="X7" s="2163"/>
      <c r="Y7" s="2163"/>
      <c r="Z7" s="2163"/>
      <c r="AA7" s="2163"/>
      <c r="AB7" s="2163"/>
      <c r="AC7" s="2163"/>
      <c r="AD7" s="2163"/>
      <c r="AE7" s="2163"/>
      <c r="AF7" s="2163"/>
      <c r="AG7" s="2163"/>
      <c r="AH7" s="2163"/>
      <c r="AI7" s="2163"/>
      <c r="AJ7" s="2163"/>
      <c r="AK7" s="2163"/>
      <c r="AL7" s="2163"/>
      <c r="AM7" s="2163"/>
      <c r="AN7" s="2163"/>
      <c r="AO7" s="2163"/>
      <c r="AP7" s="2163"/>
      <c r="AQ7" s="2163"/>
      <c r="AR7" s="2163"/>
      <c r="AS7" s="2163"/>
      <c r="AT7" s="1796"/>
      <c r="AU7" s="2163" t="s">
        <v>1882</v>
      </c>
      <c r="AV7" s="23" t="s">
        <v>1883</v>
      </c>
      <c r="AW7" s="2150" t="s">
        <v>1884</v>
      </c>
      <c r="AX7" s="23" t="s">
        <v>1877</v>
      </c>
      <c r="AY7" s="1793" t="s">
        <v>1885</v>
      </c>
      <c r="AZ7" s="2164"/>
      <c r="BA7" s="2163"/>
      <c r="BB7" s="2163"/>
      <c r="BC7" s="2163"/>
      <c r="BD7" s="2163"/>
      <c r="BE7" s="2163"/>
      <c r="BF7" s="2163"/>
      <c r="BG7" s="2163"/>
      <c r="BH7" s="2163"/>
      <c r="BI7" s="2163"/>
      <c r="BJ7" s="2163"/>
      <c r="BK7" s="2163"/>
      <c r="BL7" s="2163"/>
      <c r="BM7" s="2163"/>
      <c r="BN7" s="2163"/>
      <c r="BO7" s="2163"/>
      <c r="BP7" s="2163"/>
      <c r="BQ7" s="2163"/>
      <c r="BR7" s="2163"/>
      <c r="BS7" s="2163"/>
      <c r="BT7" s="2165"/>
    </row>
    <row r="8" spans="1:72" s="2173" customFormat="1" ht="24">
      <c r="A8" s="2166"/>
      <c r="B8" s="2166"/>
      <c r="C8" s="2166"/>
      <c r="D8" s="2166"/>
      <c r="E8" s="2166"/>
      <c r="F8" s="2166"/>
      <c r="G8" s="2167" t="s">
        <v>1886</v>
      </c>
      <c r="H8" s="2168" t="s">
        <v>1887</v>
      </c>
      <c r="I8" s="2169"/>
      <c r="J8" s="1808"/>
      <c r="K8" s="1808"/>
      <c r="L8" s="1808"/>
      <c r="M8" s="1808"/>
      <c r="N8" s="1808"/>
      <c r="O8" s="1808"/>
      <c r="P8" s="1808"/>
      <c r="Q8" s="1808"/>
      <c r="R8" s="1808"/>
      <c r="S8" s="1808"/>
      <c r="T8" s="1808"/>
      <c r="U8" s="1808"/>
      <c r="V8" s="2170"/>
      <c r="W8" s="1808"/>
      <c r="X8" s="1808"/>
      <c r="Y8" s="1808"/>
      <c r="Z8" s="1808"/>
      <c r="AA8" s="2170"/>
      <c r="AB8" s="2171"/>
      <c r="AC8" s="977" t="s">
        <v>1888</v>
      </c>
      <c r="AD8" s="2172"/>
      <c r="AE8" s="2164"/>
      <c r="AF8" s="1808"/>
      <c r="AG8" s="1808"/>
      <c r="AH8" s="1808"/>
      <c r="AI8" s="1808"/>
      <c r="AJ8" s="1808"/>
      <c r="AK8" s="1808"/>
      <c r="AL8" s="1808"/>
      <c r="AM8" s="1808"/>
      <c r="AN8" s="1808"/>
      <c r="AO8" s="1808"/>
      <c r="AP8" s="1808"/>
      <c r="AQ8" s="1808"/>
      <c r="AR8" s="1808"/>
      <c r="AS8" s="1808"/>
      <c r="AT8" s="1288" t="s">
        <v>1889</v>
      </c>
      <c r="AU8" s="2166" t="s">
        <v>1890</v>
      </c>
      <c r="AV8" s="1288"/>
      <c r="AW8" s="2149"/>
      <c r="AX8" s="1288"/>
      <c r="AY8" s="2150" t="s">
        <v>1891</v>
      </c>
      <c r="AZ8" s="1807" t="s">
        <v>1892</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3" customFormat="1" ht="12.75">
      <c r="A9" s="2166"/>
      <c r="B9" s="2166"/>
      <c r="C9" s="2166"/>
      <c r="D9" s="2166"/>
      <c r="E9" s="2166"/>
      <c r="F9" s="2166"/>
      <c r="G9" s="1288"/>
      <c r="H9" s="2174" t="s">
        <v>1893</v>
      </c>
      <c r="I9" s="2175" t="s">
        <v>3066</v>
      </c>
      <c r="J9" s="977"/>
      <c r="K9" s="2175" t="s">
        <v>3066</v>
      </c>
      <c r="L9" s="977"/>
      <c r="M9" s="2175"/>
      <c r="N9" s="977"/>
      <c r="O9" s="2175"/>
      <c r="P9" s="977"/>
      <c r="Q9" s="2175"/>
      <c r="R9" s="977"/>
      <c r="S9" s="2175"/>
      <c r="T9" s="977"/>
      <c r="U9" s="2175"/>
      <c r="V9" s="977"/>
      <c r="W9" s="2175"/>
      <c r="X9" s="2176"/>
      <c r="Y9" s="2175"/>
      <c r="Z9" s="977"/>
      <c r="AA9" s="2175"/>
      <c r="AB9" s="977"/>
      <c r="AC9" s="2167" t="s">
        <v>1893</v>
      </c>
      <c r="AD9" s="15" t="s">
        <v>1894</v>
      </c>
      <c r="AE9" s="1292"/>
      <c r="AF9" s="15" t="s">
        <v>1895</v>
      </c>
      <c r="AG9" s="1292"/>
      <c r="AH9" s="15" t="s">
        <v>1894</v>
      </c>
      <c r="AI9" s="1292"/>
      <c r="AJ9" s="15" t="s">
        <v>1895</v>
      </c>
      <c r="AK9" s="1292"/>
      <c r="AL9" s="15" t="s">
        <v>1894</v>
      </c>
      <c r="AM9" s="1292"/>
      <c r="AN9" s="15" t="s">
        <v>1895</v>
      </c>
      <c r="AO9" s="1292"/>
      <c r="AP9" s="15" t="s">
        <v>1894</v>
      </c>
      <c r="AQ9" s="1292"/>
      <c r="AR9" s="15" t="s">
        <v>1895</v>
      </c>
      <c r="AS9" s="2177"/>
      <c r="AT9" s="2166"/>
      <c r="AU9" s="2166" t="s">
        <v>1896</v>
      </c>
      <c r="AV9" s="1288"/>
      <c r="AW9" s="2149"/>
      <c r="AX9" s="1288"/>
      <c r="AY9" s="28"/>
      <c r="AZ9" s="28" t="s">
        <v>1886</v>
      </c>
      <c r="BA9" s="2178" t="s">
        <v>1897</v>
      </c>
      <c r="BB9" s="2179"/>
      <c r="BC9" s="1329"/>
      <c r="BD9" s="1329"/>
      <c r="BE9" s="1329"/>
      <c r="BF9" s="1329"/>
      <c r="BG9" s="1329"/>
      <c r="BH9" s="1329"/>
      <c r="BI9" s="1329"/>
      <c r="BJ9" s="1329"/>
      <c r="BK9" s="2180"/>
      <c r="BL9" s="15" t="s">
        <v>1898</v>
      </c>
      <c r="BM9" s="1808"/>
      <c r="BN9" s="2169"/>
      <c r="BO9" s="1808"/>
      <c r="BP9" s="1808"/>
      <c r="BQ9" s="1808"/>
      <c r="BR9" s="1808"/>
      <c r="BS9" s="1808"/>
      <c r="BT9" s="26"/>
    </row>
    <row r="10" spans="1:72" s="2173" customFormat="1" ht="12.75">
      <c r="A10" s="2166"/>
      <c r="B10" s="2166"/>
      <c r="C10" s="2166"/>
      <c r="D10" s="2166"/>
      <c r="E10" s="2166"/>
      <c r="F10" s="2166"/>
      <c r="G10" s="1288"/>
      <c r="H10" s="28"/>
      <c r="I10" s="2175" t="s">
        <v>27</v>
      </c>
      <c r="J10" s="977"/>
      <c r="K10" s="2181" t="s">
        <v>27</v>
      </c>
      <c r="L10" s="977"/>
      <c r="M10" s="2181"/>
      <c r="N10" s="977"/>
      <c r="O10" s="2181"/>
      <c r="P10" s="977"/>
      <c r="Q10" s="2181"/>
      <c r="R10" s="977"/>
      <c r="S10" s="2181"/>
      <c r="T10" s="977"/>
      <c r="U10" s="2181"/>
      <c r="V10" s="977"/>
      <c r="W10" s="2181"/>
      <c r="X10" s="977"/>
      <c r="Y10" s="2181"/>
      <c r="Z10" s="977"/>
      <c r="AA10" s="2181"/>
      <c r="AB10" s="977"/>
      <c r="AC10" s="1288"/>
      <c r="AD10" s="15" t="s">
        <v>1899</v>
      </c>
      <c r="AE10" s="2182"/>
      <c r="AF10" s="15" t="s">
        <v>1899</v>
      </c>
      <c r="AG10" s="2182"/>
      <c r="AH10" s="15" t="s">
        <v>1900</v>
      </c>
      <c r="AI10" s="2182"/>
      <c r="AJ10" s="15" t="s">
        <v>1900</v>
      </c>
      <c r="AK10" s="2182"/>
      <c r="AL10" s="15" t="s">
        <v>1901</v>
      </c>
      <c r="AM10" s="1292"/>
      <c r="AN10" s="15" t="s">
        <v>1901</v>
      </c>
      <c r="AO10" s="1292"/>
      <c r="AP10" s="15" t="s">
        <v>1902</v>
      </c>
      <c r="AQ10" s="1292"/>
      <c r="AR10" s="15" t="s">
        <v>1902</v>
      </c>
      <c r="AS10" s="1292"/>
      <c r="AT10" s="2166"/>
      <c r="AU10" s="2166"/>
      <c r="AV10" s="1288"/>
      <c r="AW10" s="2149"/>
      <c r="AX10" s="1288"/>
      <c r="AY10" s="28"/>
      <c r="AZ10" s="28"/>
      <c r="BA10" s="2183" t="s">
        <v>1893</v>
      </c>
      <c r="BB10" s="2184" t="str">
        <f>I9</f>
        <v>地上</v>
      </c>
      <c r="BC10" s="29" t="str">
        <f>K9</f>
        <v>地上</v>
      </c>
      <c r="BD10" s="29">
        <f>M9</f>
        <v>0</v>
      </c>
      <c r="BE10" s="29">
        <f>O9</f>
        <v>0</v>
      </c>
      <c r="BF10" s="29">
        <f>Q9</f>
        <v>0</v>
      </c>
      <c r="BG10" s="29">
        <f>S9</f>
        <v>0</v>
      </c>
      <c r="BH10" s="29">
        <f>U9</f>
        <v>0</v>
      </c>
      <c r="BI10" s="29">
        <f>W9</f>
        <v>0</v>
      </c>
      <c r="BJ10" s="29">
        <f>Y9</f>
        <v>0</v>
      </c>
      <c r="BK10" s="29">
        <f>AA9</f>
        <v>0</v>
      </c>
      <c r="BL10" s="25" t="s">
        <v>1893</v>
      </c>
      <c r="BM10" s="1807" t="str">
        <f>AD9</f>
        <v>地上</v>
      </c>
      <c r="BN10" s="29" t="str">
        <f>AF9</f>
        <v>地下</v>
      </c>
      <c r="BO10" s="1807" t="str">
        <f>AH9</f>
        <v>地上</v>
      </c>
      <c r="BP10" s="29" t="str">
        <f>AJ9</f>
        <v>地下</v>
      </c>
      <c r="BQ10" s="1807" t="str">
        <f>AL9</f>
        <v>地上</v>
      </c>
      <c r="BR10" s="29" t="str">
        <f>AN9</f>
        <v>地下</v>
      </c>
      <c r="BS10" s="1807" t="str">
        <f>AP9</f>
        <v>地上</v>
      </c>
      <c r="BT10" s="2185" t="str">
        <f>AR9</f>
        <v>地下</v>
      </c>
    </row>
    <row r="11" spans="1:72" s="2173" customFormat="1" ht="12.75">
      <c r="A11" s="2166"/>
      <c r="B11" s="2166"/>
      <c r="C11" s="2166"/>
      <c r="D11" s="2166"/>
      <c r="E11" s="2166"/>
      <c r="F11" s="2166"/>
      <c r="G11" s="1288"/>
      <c r="H11" s="2183"/>
      <c r="I11" s="2186" t="s">
        <v>4665</v>
      </c>
      <c r="J11" s="2187"/>
      <c r="K11" s="2186" t="s">
        <v>4665</v>
      </c>
      <c r="L11" s="2187"/>
      <c r="M11" s="2186"/>
      <c r="N11" s="2187"/>
      <c r="O11" s="2186"/>
      <c r="P11" s="2187"/>
      <c r="Q11" s="2186"/>
      <c r="R11" s="2187"/>
      <c r="S11" s="2186"/>
      <c r="T11" s="2187"/>
      <c r="U11" s="2186"/>
      <c r="V11" s="2187"/>
      <c r="W11" s="2186"/>
      <c r="X11" s="2187"/>
      <c r="Y11" s="2186"/>
      <c r="Z11" s="2187"/>
      <c r="AA11" s="2186"/>
      <c r="AB11" s="2187"/>
      <c r="AC11" s="1288"/>
      <c r="AD11" s="2188" t="s">
        <v>1903</v>
      </c>
      <c r="AE11" s="1809"/>
      <c r="AF11" s="2188" t="s">
        <v>1903</v>
      </c>
      <c r="AG11" s="1809"/>
      <c r="AH11" s="2188" t="s">
        <v>1904</v>
      </c>
      <c r="AI11" s="2189"/>
      <c r="AJ11" s="2188" t="s">
        <v>1904</v>
      </c>
      <c r="AK11" s="1809"/>
      <c r="AL11" s="1807"/>
      <c r="AM11" s="1809"/>
      <c r="AN11" s="1807"/>
      <c r="AO11" s="1809"/>
      <c r="AP11" s="1807"/>
      <c r="AQ11" s="1809"/>
      <c r="AR11" s="1807"/>
      <c r="AS11" s="1809"/>
      <c r="AT11" s="2149"/>
      <c r="AU11" s="2166"/>
      <c r="AV11" s="1288"/>
      <c r="AW11" s="2149"/>
      <c r="AX11" s="1288"/>
      <c r="AY11" s="28"/>
      <c r="AZ11" s="28"/>
      <c r="BA11" s="28"/>
      <c r="BB11" s="2171" t="str">
        <f>I10</f>
        <v>办公</v>
      </c>
      <c r="BC11" s="2171" t="str">
        <f>K10</f>
        <v>办公</v>
      </c>
      <c r="BD11" s="2171">
        <f>M10</f>
        <v>0</v>
      </c>
      <c r="BE11" s="2171">
        <f>O10</f>
        <v>0</v>
      </c>
      <c r="BF11" s="2171">
        <f>Q10</f>
        <v>0</v>
      </c>
      <c r="BG11" s="2171">
        <f>S10</f>
        <v>0</v>
      </c>
      <c r="BH11" s="2171">
        <f>U10</f>
        <v>0</v>
      </c>
      <c r="BI11" s="2171">
        <f>W10</f>
        <v>0</v>
      </c>
      <c r="BJ11" s="2171">
        <f>Y10</f>
        <v>0</v>
      </c>
      <c r="BK11" s="2171">
        <f>AA10</f>
        <v>0</v>
      </c>
      <c r="BL11" s="1288"/>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0" t="str">
        <f>AR10</f>
        <v>未注明</v>
      </c>
    </row>
    <row r="12" spans="1:72" s="2151" customFormat="1" ht="12.75">
      <c r="A12" s="2191"/>
      <c r="B12" s="2191"/>
      <c r="C12" s="2191"/>
      <c r="D12" s="2191"/>
      <c r="E12" s="2191"/>
      <c r="F12" s="2191"/>
      <c r="G12" s="30"/>
      <c r="H12" s="2192"/>
      <c r="I12" s="179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2" t="s">
        <v>1906</v>
      </c>
      <c r="W12" s="11" t="s">
        <v>1905</v>
      </c>
      <c r="X12" s="11" t="s">
        <v>1906</v>
      </c>
      <c r="Y12" s="11" t="s">
        <v>1905</v>
      </c>
      <c r="Z12" s="11" t="s">
        <v>1906</v>
      </c>
      <c r="AA12" s="11" t="s">
        <v>1905</v>
      </c>
      <c r="AB12" s="11" t="s">
        <v>1906</v>
      </c>
      <c r="AC12" s="2193"/>
      <c r="AD12" s="179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1" t="s">
        <v>1906</v>
      </c>
      <c r="AT12" s="2194"/>
      <c r="AU12" s="2191"/>
      <c r="AV12" s="31"/>
      <c r="AW12" s="2150"/>
      <c r="AX12" s="31"/>
      <c r="AY12" s="2195"/>
      <c r="AZ12" s="28"/>
      <c r="BA12" s="2183"/>
      <c r="BB12" s="24" t="str">
        <f>I11</f>
        <v>办公楼</v>
      </c>
      <c r="BC12" s="2196" t="str">
        <f>K11</f>
        <v>办公楼</v>
      </c>
      <c r="BD12" s="2196">
        <f>M11</f>
        <v>0</v>
      </c>
      <c r="BE12" s="2171">
        <f>O11</f>
        <v>0</v>
      </c>
      <c r="BF12" s="2171">
        <f>Q11</f>
        <v>0</v>
      </c>
      <c r="BG12" s="2171">
        <f>S11</f>
        <v>0</v>
      </c>
      <c r="BH12" s="2171">
        <f>U11</f>
        <v>0</v>
      </c>
      <c r="BI12" s="2171">
        <f>W11</f>
        <v>0</v>
      </c>
      <c r="BJ12" s="2171">
        <f>Y11</f>
        <v>0</v>
      </c>
      <c r="BK12" s="2171">
        <f>AA11</f>
        <v>0</v>
      </c>
      <c r="BL12" s="1288"/>
      <c r="BM12" s="1807" t="str">
        <f>AD11</f>
        <v>（住宅）</v>
      </c>
      <c r="BN12" s="1807" t="str">
        <f>AF11</f>
        <v>（住宅）</v>
      </c>
      <c r="BO12" s="24" t="str">
        <f>AH11</f>
        <v>（住宅、计出让金）</v>
      </c>
      <c r="BP12" s="24" t="str">
        <f>AJ11</f>
        <v>（住宅、计出让金）</v>
      </c>
      <c r="BQ12" s="24">
        <f>AL11</f>
        <v>0</v>
      </c>
      <c r="BR12" s="24">
        <f>AN11</f>
        <v>0</v>
      </c>
      <c r="BS12" s="25">
        <f>AP11</f>
        <v>0</v>
      </c>
      <c r="BT12" s="2190">
        <f>AR11</f>
        <v>0</v>
      </c>
    </row>
    <row r="13" spans="1:72" s="2151" customFormat="1" ht="12.75">
      <c r="A13" s="1268"/>
      <c r="B13" s="1268"/>
      <c r="C13" s="1268"/>
      <c r="D13" s="2197" t="s">
        <v>3052</v>
      </c>
      <c r="E13" s="16">
        <f>IF($C$3="是",ROUND($A$3*G13/$B$3,2),ROUND($A$3*(G13-AT13)/$B$3,2))</f>
        <v>27146.75</v>
      </c>
      <c r="F13" s="32"/>
      <c r="G13" s="33">
        <f>H13+AC13+AT13</f>
        <v>154651.20000000138</v>
      </c>
      <c r="H13" s="20">
        <f>SUMIF(I$12:AB$12,"总值",I13:AB13)</f>
        <v>154651.20000000138</v>
      </c>
      <c r="I13" s="2198">
        <f>Sheet1!G1557-'数据-基础表'!K13</f>
        <v>154651.20000000138</v>
      </c>
      <c r="J13" s="2198"/>
      <c r="K13" s="2198"/>
      <c r="L13" s="2198" t="s">
        <v>3112</v>
      </c>
      <c r="M13" s="2198"/>
      <c r="N13" s="2198"/>
      <c r="O13" s="2198"/>
      <c r="P13" s="2198"/>
      <c r="Q13" s="2198"/>
      <c r="R13" s="2198"/>
      <c r="S13" s="2198"/>
      <c r="T13" s="2198"/>
      <c r="U13" s="2198"/>
      <c r="V13" s="2198"/>
      <c r="W13" s="2198"/>
      <c r="X13" s="2198"/>
      <c r="Y13" s="2198"/>
      <c r="Z13" s="2198"/>
      <c r="AA13" s="2198"/>
      <c r="AB13" s="2198"/>
      <c r="AC13" s="16">
        <f>SUMIF(AD$12:AS$12,"总值",AD13:AS13)</f>
        <v>0</v>
      </c>
      <c r="AD13" s="2199"/>
      <c r="AE13" s="2199"/>
      <c r="AF13" s="2199"/>
      <c r="AG13" s="2199"/>
      <c r="AH13" s="2199"/>
      <c r="AI13" s="2199"/>
      <c r="AJ13" s="2199"/>
      <c r="AK13" s="2199"/>
      <c r="AL13" s="2199"/>
      <c r="AM13" s="2199"/>
      <c r="AN13" s="2199"/>
      <c r="AO13" s="2199"/>
      <c r="AP13" s="2199"/>
      <c r="AQ13" s="2199"/>
      <c r="AR13" s="2199"/>
      <c r="AS13" s="2199"/>
      <c r="AT13" s="2200"/>
      <c r="AU13" s="2201"/>
      <c r="AV13" s="11">
        <f t="shared" ref="AV13:AX17" si="6">A13</f>
        <v>0</v>
      </c>
      <c r="AW13" s="11">
        <f t="shared" si="6"/>
        <v>0</v>
      </c>
      <c r="AX13" s="11">
        <f t="shared" si="6"/>
        <v>0</v>
      </c>
      <c r="AY13" s="179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1" customFormat="1" ht="12.75">
      <c r="A14" s="1268"/>
      <c r="B14" s="1268"/>
      <c r="C14" s="2137"/>
      <c r="D14" s="2197" t="s">
        <v>3065</v>
      </c>
      <c r="E14" s="16">
        <f>IF($C$3="是",ROUND($A$3*G14/$B$3,2),ROUND($A$3*(G14-AT14)/$B$3,2))</f>
        <v>8.7100000000000009</v>
      </c>
      <c r="F14" s="32"/>
      <c r="G14" s="33">
        <f>H14+AC14+AT14</f>
        <v>49.61</v>
      </c>
      <c r="H14" s="20">
        <f>SUMIF(I$12:AB$12,"总值",I14:AB14)</f>
        <v>49.61</v>
      </c>
      <c r="I14" s="2198"/>
      <c r="J14" s="2198"/>
      <c r="K14" s="2198">
        <f>Sheet1!G5</f>
        <v>49.61</v>
      </c>
      <c r="L14" s="2198"/>
      <c r="M14" s="2198"/>
      <c r="N14" s="2198"/>
      <c r="O14" s="2198"/>
      <c r="P14" s="2198"/>
      <c r="Q14" s="2198"/>
      <c r="R14" s="2198"/>
      <c r="S14" s="2198"/>
      <c r="T14" s="2198"/>
      <c r="U14" s="2198"/>
      <c r="V14" s="2198"/>
      <c r="W14" s="2198"/>
      <c r="X14" s="2198"/>
      <c r="Y14" s="2198"/>
      <c r="Z14" s="2198"/>
      <c r="AA14" s="2198"/>
      <c r="AB14" s="2198"/>
      <c r="AC14" s="16">
        <f>SUMIF(AD$12:AS$12,"总值",AD14:AS14)</f>
        <v>0</v>
      </c>
      <c r="AD14" s="2199"/>
      <c r="AE14" s="2199"/>
      <c r="AF14" s="2199"/>
      <c r="AG14" s="2199"/>
      <c r="AH14" s="2199"/>
      <c r="AI14" s="2199"/>
      <c r="AJ14" s="2199"/>
      <c r="AK14" s="2199"/>
      <c r="AL14" s="2199"/>
      <c r="AM14" s="2199"/>
      <c r="AN14" s="2199"/>
      <c r="AO14" s="2199"/>
      <c r="AP14" s="2199"/>
      <c r="AQ14" s="2199"/>
      <c r="AR14" s="2199"/>
      <c r="AS14" s="2199"/>
      <c r="AT14" s="2200"/>
      <c r="AU14" s="2201"/>
      <c r="AV14" s="11">
        <f t="shared" si="6"/>
        <v>0</v>
      </c>
      <c r="AW14" s="11">
        <f t="shared" si="6"/>
        <v>0</v>
      </c>
      <c r="AX14" s="11">
        <f t="shared" si="6"/>
        <v>0</v>
      </c>
      <c r="AY14" s="1796">
        <f>ROUND($AY$6*AZ14/$AZ$5,2)</f>
        <v>8.7100000000000009</v>
      </c>
      <c r="AZ14" s="16">
        <f>BA14+BL14</f>
        <v>49.61</v>
      </c>
      <c r="BA14" s="16">
        <f>SUM(BB14:BK14)</f>
        <v>49.61</v>
      </c>
      <c r="BB14" s="16">
        <f>IF($D14="是",I14-J14,0)</f>
        <v>0</v>
      </c>
      <c r="BC14" s="16">
        <f>IF($D14="是",K14-L14,0)</f>
        <v>49.61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1" customFormat="1" ht="12.75">
      <c r="A15" s="1268"/>
      <c r="B15" s="1268"/>
      <c r="C15" s="2137"/>
      <c r="D15" s="2197"/>
      <c r="E15" s="16">
        <f>IF($C$3="是",ROUND($A$3*G15/$B$3,2),ROUND($A$3*(G15-AT15)/$B$3,2))</f>
        <v>0</v>
      </c>
      <c r="F15" s="32"/>
      <c r="G15" s="33">
        <f>H15+AC15+AT15</f>
        <v>0</v>
      </c>
      <c r="H15" s="20">
        <f>SUMIF(I$12:AB$12,"总值",I15:AB15)</f>
        <v>0</v>
      </c>
      <c r="I15" s="2198"/>
      <c r="J15" s="2198"/>
      <c r="K15" s="2198"/>
      <c r="L15" s="2198"/>
      <c r="M15" s="2198"/>
      <c r="N15" s="2198"/>
      <c r="O15" s="2198"/>
      <c r="P15" s="2198"/>
      <c r="Q15" s="2198"/>
      <c r="R15" s="2198"/>
      <c r="S15" s="2198"/>
      <c r="T15" s="2198"/>
      <c r="U15" s="2198"/>
      <c r="V15" s="2198"/>
      <c r="W15" s="2198"/>
      <c r="X15" s="2198"/>
      <c r="Y15" s="2198"/>
      <c r="Z15" s="2198"/>
      <c r="AA15" s="2198"/>
      <c r="AB15" s="2198"/>
      <c r="AC15" s="16">
        <f>SUMIF(AD$12:AS$12,"总值",AD15:AS15)</f>
        <v>0</v>
      </c>
      <c r="AD15" s="2199"/>
      <c r="AE15" s="2199"/>
      <c r="AF15" s="2199"/>
      <c r="AG15" s="2199"/>
      <c r="AH15" s="2199"/>
      <c r="AI15" s="2199"/>
      <c r="AJ15" s="2199"/>
      <c r="AK15" s="2199"/>
      <c r="AL15" s="2199"/>
      <c r="AM15" s="2199"/>
      <c r="AN15" s="2199"/>
      <c r="AO15" s="2199"/>
      <c r="AP15" s="2199"/>
      <c r="AQ15" s="2199"/>
      <c r="AR15" s="2199"/>
      <c r="AS15" s="2199"/>
      <c r="AT15" s="2200"/>
      <c r="AU15" s="2201"/>
      <c r="AV15" s="11">
        <f t="shared" si="6"/>
        <v>0</v>
      </c>
      <c r="AW15" s="11">
        <f t="shared" si="6"/>
        <v>0</v>
      </c>
      <c r="AX15" s="11">
        <f t="shared" si="6"/>
        <v>0</v>
      </c>
      <c r="AY15" s="179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1" customFormat="1" ht="12.75">
      <c r="A16" s="1268"/>
      <c r="B16" s="1268"/>
      <c r="C16" s="2137"/>
      <c r="D16" s="2197"/>
      <c r="E16" s="16">
        <f>IF($C$3="是",ROUND($A$3*G16/$B$3,2),ROUND($A$3*(G16-AT16)/$B$3,2))</f>
        <v>0</v>
      </c>
      <c r="F16" s="32"/>
      <c r="G16" s="33">
        <f>H16+AC16+AT16</f>
        <v>0</v>
      </c>
      <c r="H16" s="20">
        <f>SUMIF(I$12:AB$12,"总值",I16:AB16)</f>
        <v>0</v>
      </c>
      <c r="I16" s="2198"/>
      <c r="J16" s="2198"/>
      <c r="K16" s="2198"/>
      <c r="L16" s="2198"/>
      <c r="M16" s="2198"/>
      <c r="N16" s="2198"/>
      <c r="O16" s="2198"/>
      <c r="P16" s="2198"/>
      <c r="Q16" s="2198"/>
      <c r="R16" s="2198"/>
      <c r="S16" s="2198"/>
      <c r="T16" s="2198"/>
      <c r="U16" s="2198"/>
      <c r="V16" s="2198"/>
      <c r="W16" s="2198"/>
      <c r="X16" s="2198"/>
      <c r="Y16" s="2198"/>
      <c r="Z16" s="2198"/>
      <c r="AA16" s="2198"/>
      <c r="AB16" s="2198"/>
      <c r="AC16" s="16">
        <f>SUMIF(AD$12:AS$12,"总值",AD16:AS16)</f>
        <v>0</v>
      </c>
      <c r="AD16" s="2199"/>
      <c r="AE16" s="2199"/>
      <c r="AF16" s="2199"/>
      <c r="AG16" s="2199"/>
      <c r="AH16" s="2199"/>
      <c r="AI16" s="2199"/>
      <c r="AJ16" s="2199"/>
      <c r="AK16" s="2199"/>
      <c r="AL16" s="2199"/>
      <c r="AM16" s="2199"/>
      <c r="AN16" s="2199"/>
      <c r="AO16" s="2199"/>
      <c r="AP16" s="2199"/>
      <c r="AQ16" s="2199"/>
      <c r="AR16" s="2199"/>
      <c r="AS16" s="2199"/>
      <c r="AT16" s="2200"/>
      <c r="AU16" s="2201"/>
      <c r="AV16" s="11">
        <f t="shared" si="6"/>
        <v>0</v>
      </c>
      <c r="AW16" s="11">
        <f t="shared" si="6"/>
        <v>0</v>
      </c>
      <c r="AX16" s="11">
        <f t="shared" si="6"/>
        <v>0</v>
      </c>
      <c r="AY16" s="179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1" customFormat="1" ht="12.75">
      <c r="A17" s="1268"/>
      <c r="B17" s="1268"/>
      <c r="C17" s="2137"/>
      <c r="D17" s="2197"/>
      <c r="E17" s="16">
        <f>IF($C$3="是",ROUND($A$3*G17/$B$3,2),ROUND($A$3*(G17-AT17)/$B$3,2))</f>
        <v>0</v>
      </c>
      <c r="F17" s="32"/>
      <c r="G17" s="33">
        <f>H17+AC17+AT17</f>
        <v>0</v>
      </c>
      <c r="H17" s="20">
        <f>SUMIF(I$12:AB$12,"总值",I17:AB17)</f>
        <v>0</v>
      </c>
      <c r="I17" s="2198"/>
      <c r="J17" s="2198"/>
      <c r="K17" s="2198"/>
      <c r="L17" s="2198"/>
      <c r="M17" s="2198"/>
      <c r="N17" s="2198"/>
      <c r="O17" s="2198"/>
      <c r="P17" s="2198"/>
      <c r="Q17" s="2198"/>
      <c r="R17" s="2198"/>
      <c r="S17" s="2198"/>
      <c r="T17" s="2198"/>
      <c r="U17" s="2198"/>
      <c r="V17" s="2198"/>
      <c r="W17" s="2198"/>
      <c r="X17" s="2198"/>
      <c r="Y17" s="2198"/>
      <c r="Z17" s="2198"/>
      <c r="AA17" s="2198"/>
      <c r="AB17" s="2198"/>
      <c r="AC17" s="16">
        <f>SUMIF(AD$12:AS$12,"总值",AD17:AS17)</f>
        <v>0</v>
      </c>
      <c r="AD17" s="2199"/>
      <c r="AE17" s="2199"/>
      <c r="AF17" s="2199"/>
      <c r="AG17" s="2199"/>
      <c r="AH17" s="2199"/>
      <c r="AI17" s="2199"/>
      <c r="AJ17" s="2199"/>
      <c r="AK17" s="2199"/>
      <c r="AL17" s="2199"/>
      <c r="AM17" s="2199"/>
      <c r="AN17" s="2199"/>
      <c r="AO17" s="2199"/>
      <c r="AP17" s="2199"/>
      <c r="AQ17" s="2199"/>
      <c r="AR17" s="2199"/>
      <c r="AS17" s="2199"/>
      <c r="AT17" s="2200"/>
      <c r="AU17" s="2201"/>
      <c r="AV17" s="11">
        <f t="shared" si="6"/>
        <v>0</v>
      </c>
      <c r="AW17" s="11">
        <f t="shared" si="6"/>
        <v>0</v>
      </c>
      <c r="AX17" s="11">
        <f t="shared" si="6"/>
        <v>0</v>
      </c>
      <c r="AY17" s="179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3"/>
      <c r="AV18" s="1785">
        <f t="shared" ref="AV18:AV112" si="11">A18</f>
        <v>0</v>
      </c>
      <c r="AW18" s="1785">
        <f t="shared" ref="AW18:AW112" si="12">B18</f>
        <v>0</v>
      </c>
      <c r="AX18" s="178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3"/>
      <c r="AV19" s="1785">
        <f t="shared" si="11"/>
        <v>0</v>
      </c>
      <c r="AW19" s="1785">
        <f t="shared" si="12"/>
        <v>0</v>
      </c>
      <c r="AX19" s="178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3"/>
      <c r="AV20" s="1785">
        <f t="shared" si="11"/>
        <v>0</v>
      </c>
      <c r="AW20" s="1785">
        <f t="shared" si="12"/>
        <v>0</v>
      </c>
      <c r="AX20" s="178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3"/>
      <c r="AV21" s="1785">
        <f t="shared" si="11"/>
        <v>0</v>
      </c>
      <c r="AW21" s="1785">
        <f t="shared" si="12"/>
        <v>0</v>
      </c>
      <c r="AX21" s="178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3"/>
      <c r="AV22" s="1785">
        <f t="shared" si="11"/>
        <v>0</v>
      </c>
      <c r="AW22" s="1785">
        <f t="shared" si="12"/>
        <v>0</v>
      </c>
      <c r="AX22" s="178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3"/>
      <c r="AV23" s="1785">
        <f t="shared" si="11"/>
        <v>0</v>
      </c>
      <c r="AW23" s="1785">
        <f t="shared" si="12"/>
        <v>0</v>
      </c>
      <c r="AX23" s="178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3"/>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3"/>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3"/>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3"/>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3"/>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3"/>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3"/>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3"/>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3"/>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3"/>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3"/>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3"/>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3"/>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3"/>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3"/>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3"/>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3"/>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3"/>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3"/>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3"/>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3"/>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3"/>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3"/>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3"/>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3"/>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3"/>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3"/>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3"/>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3"/>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3"/>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3"/>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3"/>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3"/>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3"/>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3"/>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3"/>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3"/>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3"/>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3"/>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3"/>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3"/>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3"/>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3"/>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3"/>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3"/>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3"/>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3"/>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3"/>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3"/>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3"/>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3"/>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3"/>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3"/>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3"/>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3"/>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3"/>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3"/>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3"/>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3"/>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3"/>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3"/>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3"/>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3"/>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3"/>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3"/>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3"/>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3"/>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3"/>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3"/>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3"/>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3"/>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3"/>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3"/>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3"/>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3"/>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3"/>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3"/>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3"/>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3"/>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3"/>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3"/>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3"/>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3"/>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3"/>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3"/>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3"/>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8"/>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8"/>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8"/>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3"/>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3"/>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3"/>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3"/>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3"/>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3"/>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3"/>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3"/>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3"/>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3"/>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3"/>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3"/>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3"/>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3"/>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3"/>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3"/>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3"/>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3"/>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3"/>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3"/>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3"/>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3"/>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3"/>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3"/>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3"/>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3"/>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3"/>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3"/>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3"/>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3"/>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3"/>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3"/>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3"/>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3"/>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3"/>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3"/>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3"/>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3"/>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3"/>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3"/>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3"/>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3"/>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3"/>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3"/>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3"/>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3"/>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3"/>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3"/>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3"/>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3"/>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3"/>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3"/>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3"/>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3"/>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3"/>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3"/>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3"/>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3"/>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3"/>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3"/>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3"/>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3"/>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3"/>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3"/>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3"/>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3"/>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3"/>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3"/>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3"/>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3"/>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3"/>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3"/>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3"/>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3"/>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3"/>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3"/>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3"/>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3"/>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3"/>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3"/>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3"/>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3"/>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3"/>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3"/>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3"/>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3"/>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3"/>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3"/>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3"/>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3"/>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3"/>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3"/>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8"/>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8"/>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8"/>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3"/>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3"/>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3"/>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3"/>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3"/>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3"/>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3"/>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3"/>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3"/>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3"/>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3"/>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3"/>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3"/>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3"/>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3"/>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3"/>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3"/>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3"/>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3"/>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3"/>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3"/>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3"/>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3"/>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3"/>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3"/>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3"/>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3"/>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3"/>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3"/>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3"/>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3"/>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3"/>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3"/>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3"/>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3"/>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3"/>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3"/>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3"/>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3"/>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3"/>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3"/>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3"/>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3"/>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3"/>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3"/>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3"/>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3"/>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3"/>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3"/>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3"/>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3"/>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3"/>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3"/>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3"/>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3"/>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3"/>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3"/>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3"/>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3"/>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3"/>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3"/>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3"/>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3"/>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3"/>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3"/>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3"/>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3"/>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3"/>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3"/>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3"/>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3"/>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3"/>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3"/>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3"/>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3"/>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3"/>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3"/>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3"/>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3"/>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3"/>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3"/>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3"/>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3"/>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3"/>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3"/>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3"/>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3"/>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3"/>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3"/>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3"/>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3"/>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3"/>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8"/>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8"/>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8"/>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3"/>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3"/>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3"/>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3"/>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3"/>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3"/>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3"/>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3"/>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3"/>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3"/>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3"/>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3"/>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3"/>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3"/>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3"/>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3"/>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3"/>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3"/>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3"/>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3"/>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3"/>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3"/>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3"/>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3"/>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3"/>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3"/>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3"/>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3"/>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3"/>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3"/>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3"/>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3"/>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3"/>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3"/>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3"/>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3"/>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3"/>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3"/>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3"/>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3"/>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3"/>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3"/>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3"/>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3"/>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3"/>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3"/>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3"/>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3"/>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3"/>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3"/>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3"/>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3"/>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3"/>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3"/>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3"/>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3"/>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3"/>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3"/>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3"/>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3"/>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3"/>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3"/>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3"/>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3"/>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3"/>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3"/>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3"/>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3"/>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3"/>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3"/>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3"/>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3"/>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3"/>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3"/>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3"/>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3"/>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3"/>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3"/>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3"/>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3"/>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3"/>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3"/>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3"/>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3"/>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3"/>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3"/>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3"/>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3"/>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3"/>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3"/>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3"/>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3"/>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8"/>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8"/>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8"/>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3"/>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3"/>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3"/>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3"/>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3"/>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3"/>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3"/>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3"/>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3"/>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3"/>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3"/>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3"/>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3"/>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3"/>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3"/>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3"/>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3"/>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3"/>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3"/>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3"/>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3"/>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3"/>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3"/>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3"/>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3"/>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3"/>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3"/>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3"/>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3"/>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3"/>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3"/>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3"/>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3"/>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3"/>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3"/>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3"/>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3"/>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3"/>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3"/>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3"/>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3"/>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3"/>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3"/>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3"/>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3"/>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3"/>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3"/>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3"/>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3"/>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3"/>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3"/>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3"/>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3"/>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3"/>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3"/>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3"/>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3"/>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3"/>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3"/>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3"/>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3"/>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3"/>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3"/>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3"/>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3"/>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3"/>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3"/>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3"/>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3"/>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3"/>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3"/>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3"/>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3"/>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3"/>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3"/>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3"/>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3"/>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3"/>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3"/>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3"/>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3"/>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3"/>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3"/>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3"/>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3"/>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3"/>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3"/>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3"/>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3"/>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3"/>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3"/>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3"/>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8"/>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8"/>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8"/>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3"/>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3"/>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3"/>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3"/>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3"/>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3"/>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3"/>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3"/>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3"/>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3"/>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3"/>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3"/>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3"/>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3"/>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3"/>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3"/>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3"/>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3"/>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3"/>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3"/>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3"/>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3"/>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3"/>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3"/>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3"/>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3"/>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3"/>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3"/>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3"/>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3"/>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3"/>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3"/>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3"/>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3"/>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3"/>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3"/>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3"/>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3"/>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3"/>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3"/>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3"/>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3"/>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3"/>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3"/>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3"/>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3"/>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3"/>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3"/>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3"/>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3"/>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3"/>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3"/>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3"/>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3"/>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3"/>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3"/>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3"/>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3"/>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3"/>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3"/>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3"/>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3"/>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3"/>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3"/>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3"/>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3"/>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3"/>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3"/>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3"/>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3"/>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3"/>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3"/>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3"/>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3"/>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3"/>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3"/>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3"/>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3"/>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3"/>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3"/>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3"/>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3"/>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3"/>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3"/>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3"/>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3"/>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3"/>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3"/>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3"/>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3"/>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3"/>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3"/>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8"/>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8"/>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8"/>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6" customFormat="1">
      <c r="A588" s="2204"/>
      <c r="B588" s="2204"/>
      <c r="C588" s="2204"/>
      <c r="D588" s="2204"/>
      <c r="E588" s="2205"/>
      <c r="F588" s="2205"/>
      <c r="G588" s="2204"/>
      <c r="H588" s="2205"/>
      <c r="I588" s="2205"/>
      <c r="J588" s="2205"/>
      <c r="K588" s="2205"/>
      <c r="L588" s="2205"/>
      <c r="M588" s="2205"/>
      <c r="N588" s="2205"/>
      <c r="O588" s="2205"/>
      <c r="P588" s="2205"/>
      <c r="Q588" s="2205"/>
      <c r="R588" s="2205"/>
      <c r="S588" s="2205"/>
      <c r="T588" s="2205"/>
      <c r="U588" s="2205"/>
      <c r="V588" s="2205"/>
      <c r="W588" s="2205"/>
      <c r="X588" s="2205"/>
      <c r="Y588" s="2205"/>
      <c r="Z588" s="2205"/>
      <c r="AA588" s="2205"/>
      <c r="AB588" s="2205"/>
      <c r="AC588" s="2205"/>
      <c r="AD588" s="2205"/>
      <c r="AE588" s="2205"/>
      <c r="AF588" s="2205"/>
      <c r="AG588" s="2205"/>
      <c r="AH588" s="2205"/>
      <c r="AI588" s="2205"/>
      <c r="AJ588" s="2205"/>
      <c r="AK588" s="2205"/>
      <c r="AL588" s="2205"/>
      <c r="AM588" s="2205"/>
      <c r="AN588" s="2205"/>
      <c r="AO588" s="2205"/>
      <c r="AP588" s="2205"/>
      <c r="AQ588" s="2205"/>
      <c r="AR588" s="2205"/>
      <c r="AS588" s="2205"/>
      <c r="AT588" s="2205"/>
      <c r="AU588" s="2204"/>
      <c r="AV588" s="2204"/>
      <c r="AW588" s="2204"/>
      <c r="AX588" s="2204"/>
    </row>
    <row r="589" spans="1:72" s="2207" customFormat="1">
      <c r="C589" s="2208"/>
      <c r="D589" s="2208"/>
    </row>
    <row r="590" spans="1:72" s="2207" customFormat="1">
      <c r="C590" s="2208"/>
      <c r="D590" s="2208"/>
    </row>
    <row r="593" spans="2:2">
      <c r="B593" s="220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3"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22" sqref="G22"/>
    </sheetView>
  </sheetViews>
  <sheetFormatPr defaultColWidth="9.25" defaultRowHeight="14.25"/>
  <cols>
    <col min="1" max="1" width="12.125" style="2210" customWidth="1"/>
    <col min="2" max="2" width="10.25" style="2210" customWidth="1"/>
    <col min="3" max="3" width="18.5" style="2210" customWidth="1"/>
    <col min="4" max="4" width="11.625" style="2210" customWidth="1"/>
    <col min="5" max="5" width="13.375" style="2210" customWidth="1"/>
    <col min="6" max="8" width="11.5" style="2210" customWidth="1"/>
    <col min="9" max="9" width="11.125" style="2210" customWidth="1"/>
    <col min="10" max="10" width="3.125" style="2210" customWidth="1"/>
    <col min="11" max="16" width="10" style="2210" customWidth="1"/>
    <col min="17" max="17" width="2.625" style="2210" customWidth="1"/>
    <col min="18" max="18" width="9.375" style="2210" bestFit="1" customWidth="1"/>
    <col min="19" max="19" width="10.5" style="2210" bestFit="1" customWidth="1"/>
    <col min="20" max="16384" width="9.25" style="2210"/>
  </cols>
  <sheetData>
    <row r="1" spans="1:16" ht="18.75">
      <c r="A1" s="2209" t="s">
        <v>1932</v>
      </c>
      <c r="B1" s="1381"/>
      <c r="C1" s="1381"/>
      <c r="D1" s="1381"/>
      <c r="E1" s="1381"/>
      <c r="F1" s="1381"/>
      <c r="G1" s="1381"/>
      <c r="H1" s="1381"/>
      <c r="I1" s="1381"/>
      <c r="J1" s="1381"/>
      <c r="K1" s="1381"/>
      <c r="L1" s="1381"/>
      <c r="M1" s="1381"/>
      <c r="N1" s="1381"/>
      <c r="O1" s="1381"/>
      <c r="P1" s="1381"/>
    </row>
    <row r="2" spans="1:16" ht="15">
      <c r="A2" s="3091" t="s">
        <v>1933</v>
      </c>
      <c r="B2" s="3091"/>
      <c r="C2" s="3091"/>
      <c r="D2" s="963" t="s">
        <v>1909</v>
      </c>
      <c r="E2" s="2211" t="s">
        <v>1910</v>
      </c>
      <c r="F2" s="1381"/>
      <c r="G2" s="2212"/>
      <c r="H2" s="2213"/>
      <c r="I2" s="2214" t="s">
        <v>1934</v>
      </c>
      <c r="J2" s="1381"/>
      <c r="K2" s="1381"/>
      <c r="L2" s="1381"/>
      <c r="M2" s="1381"/>
      <c r="N2" s="1416"/>
      <c r="O2" s="1381"/>
      <c r="P2" s="1381"/>
    </row>
    <row r="3" spans="1:16" ht="15.75" thickBot="1">
      <c r="A3" s="3092" t="s">
        <v>1907</v>
      </c>
      <c r="B3" s="3092"/>
      <c r="C3" s="3092"/>
      <c r="D3" s="46">
        <f>'数据-基础表'!AY6</f>
        <v>8.7100000000000009</v>
      </c>
      <c r="E3" s="46">
        <f>'数据-基础表'!AZ5</f>
        <v>49.61</v>
      </c>
      <c r="F3" s="1381"/>
      <c r="G3" s="1388"/>
      <c r="H3" s="1243" t="s">
        <v>1908</v>
      </c>
      <c r="I3" s="55">
        <f>ROUND('数据-基础表'!B3/'数据-基础表'!A3,2)</f>
        <v>5.7</v>
      </c>
      <c r="J3" s="1381"/>
      <c r="K3" s="1381"/>
      <c r="L3" s="1381"/>
      <c r="M3" s="1381"/>
      <c r="N3" s="1416"/>
      <c r="O3" s="1381"/>
      <c r="P3" s="1381"/>
    </row>
    <row r="4" spans="1:16" ht="15">
      <c r="A4" s="3093"/>
      <c r="B4" s="3094"/>
      <c r="C4" s="3095"/>
      <c r="D4" s="2215" t="s">
        <v>1909</v>
      </c>
      <c r="E4" s="2216" t="s">
        <v>1910</v>
      </c>
      <c r="F4" s="1381"/>
      <c r="G4" s="2217" t="s">
        <v>1935</v>
      </c>
      <c r="H4" s="1243" t="s">
        <v>1915</v>
      </c>
      <c r="I4" s="55">
        <f>ROUND(SUMIF('数据-基础表'!I9:AS9,"地上",'数据-基础表'!I5:AS5)/'数据-基础表'!A3,2)</f>
        <v>5.7</v>
      </c>
      <c r="J4" s="1381"/>
      <c r="K4" s="1381"/>
      <c r="L4" s="1381"/>
      <c r="M4" s="1381"/>
      <c r="N4" s="1416"/>
      <c r="O4" s="1381"/>
      <c r="P4" s="1381"/>
    </row>
    <row r="5" spans="1:16">
      <c r="A5" s="47" t="s">
        <v>1911</v>
      </c>
      <c r="B5" s="3096" t="s">
        <v>1912</v>
      </c>
      <c r="C5" s="3096"/>
      <c r="D5" s="48">
        <f>ROUND($D$3*E5/$E$3,2)</f>
        <v>0</v>
      </c>
      <c r="E5" s="49">
        <f>SUMIF('数据-基础表'!$11:$11,"住宅",'数据-基础表'!$5:$5)</f>
        <v>0</v>
      </c>
      <c r="F5" s="1381"/>
      <c r="G5" s="1388"/>
      <c r="H5" s="1243" t="s">
        <v>1908</v>
      </c>
      <c r="I5" s="55">
        <f>ROUND(E31/D31,2)</f>
        <v>5.7</v>
      </c>
      <c r="J5" s="1381"/>
      <c r="K5" s="1381"/>
      <c r="L5" s="1381"/>
      <c r="M5" s="1381"/>
      <c r="N5" s="1381"/>
      <c r="O5" s="1381"/>
      <c r="P5" s="1381"/>
    </row>
    <row r="6" spans="1:16" ht="15" thickBot="1">
      <c r="A6" s="2218"/>
      <c r="B6" s="3096" t="s">
        <v>1913</v>
      </c>
      <c r="C6" s="3096"/>
      <c r="D6" s="48">
        <f>ROUND($D$3*E6/$E$3,2)</f>
        <v>8.7100000000000009</v>
      </c>
      <c r="E6" s="49">
        <f>E3-E5</f>
        <v>49.61</v>
      </c>
      <c r="F6" s="1381"/>
      <c r="G6" s="2219" t="s">
        <v>1914</v>
      </c>
      <c r="H6" s="1388" t="s">
        <v>1915</v>
      </c>
      <c r="I6" s="935">
        <f>ROUND(F31/D31,2)</f>
        <v>5.7</v>
      </c>
      <c r="J6" s="1381"/>
      <c r="K6" s="1381"/>
      <c r="L6" s="1381"/>
      <c r="M6" s="1381"/>
      <c r="N6" s="1381"/>
      <c r="O6" s="1381"/>
      <c r="P6" s="1381"/>
    </row>
    <row r="7" spans="1:16" ht="15">
      <c r="A7" s="3088"/>
      <c r="B7" s="3089"/>
      <c r="C7" s="3090"/>
      <c r="D7" s="2215" t="s">
        <v>1909</v>
      </c>
      <c r="E7" s="2220" t="s">
        <v>1916</v>
      </c>
      <c r="F7" s="1381"/>
      <c r="G7" s="2212" t="s">
        <v>1917</v>
      </c>
      <c r="H7" s="63"/>
      <c r="I7" s="416"/>
      <c r="J7" s="1381"/>
      <c r="K7" s="1381"/>
      <c r="L7" s="1381"/>
      <c r="M7" s="1381"/>
      <c r="N7" s="1381"/>
      <c r="O7" s="1381"/>
      <c r="P7" s="1381"/>
    </row>
    <row r="8" spans="1:16">
      <c r="A8" s="47" t="s">
        <v>1918</v>
      </c>
      <c r="B8" s="50" t="s">
        <v>1919</v>
      </c>
      <c r="C8" s="48" t="s">
        <v>1920</v>
      </c>
      <c r="D8" s="48">
        <f t="shared" ref="D8:D15" si="0">ROUND($D$3*E8/$E$3,2)</f>
        <v>8.7100000000000009</v>
      </c>
      <c r="E8" s="51">
        <f>SUMIF('数据-基础表'!BB10:BK10,"地上",'数据-基础表'!BB5:BK5)</f>
        <v>49.61</v>
      </c>
      <c r="F8" s="1381"/>
      <c r="G8" s="2221"/>
      <c r="H8" s="2221"/>
      <c r="I8" s="1381"/>
      <c r="J8" s="1381"/>
      <c r="K8" s="1381"/>
      <c r="L8" s="1381"/>
      <c r="M8" s="1381"/>
      <c r="N8" s="1381"/>
      <c r="O8" s="1381"/>
      <c r="P8" s="1381"/>
    </row>
    <row r="9" spans="1:16">
      <c r="A9" s="2222"/>
      <c r="B9" s="2223"/>
      <c r="C9" s="48" t="s">
        <v>1921</v>
      </c>
      <c r="D9" s="48">
        <f t="shared" si="0"/>
        <v>0</v>
      </c>
      <c r="E9" s="52">
        <v>0</v>
      </c>
      <c r="F9" s="1381"/>
      <c r="G9" s="2221"/>
      <c r="H9" s="2221"/>
      <c r="I9" s="1381"/>
      <c r="J9" s="1381"/>
      <c r="K9" s="1381"/>
      <c r="L9" s="1381"/>
      <c r="M9" s="1381"/>
      <c r="N9" s="1381"/>
      <c r="O9" s="1381"/>
      <c r="P9" s="1381"/>
    </row>
    <row r="10" spans="1:16">
      <c r="A10" s="2222"/>
      <c r="B10" s="2223"/>
      <c r="C10" s="48" t="s">
        <v>1930</v>
      </c>
      <c r="D10" s="48">
        <f t="shared" si="0"/>
        <v>0</v>
      </c>
      <c r="E10" s="51">
        <f>SUMPRODUCT(('数据-基础表'!BB10:BK10="地下")*('数据-基础表'!BB11:BK11="商业")*('数据-基础表'!BB5:BK5))</f>
        <v>0</v>
      </c>
      <c r="F10" s="1381"/>
      <c r="G10" s="2221"/>
      <c r="H10" s="2221"/>
      <c r="I10" s="1381"/>
      <c r="J10" s="1381"/>
      <c r="K10" s="1381"/>
      <c r="L10" s="1381"/>
      <c r="M10" s="1381"/>
      <c r="N10" s="1381"/>
      <c r="O10" s="1381"/>
      <c r="P10" s="1381"/>
    </row>
    <row r="11" spans="1:16">
      <c r="A11" s="2222"/>
      <c r="B11" s="2223"/>
      <c r="C11" s="48" t="s">
        <v>1922</v>
      </c>
      <c r="D11" s="48">
        <f t="shared" si="0"/>
        <v>0</v>
      </c>
      <c r="E11" s="51">
        <f>SUMPRODUCT(('数据-基础表'!BB10:BK10="地下")*('数据-基础表'!BB11:BK11="办公")*('数据-基础表'!BB5:BK5))+'数据-基础表'!BP5</f>
        <v>0</v>
      </c>
      <c r="F11" s="1381"/>
      <c r="G11" s="2221"/>
      <c r="H11" s="2221"/>
      <c r="I11" s="1381"/>
      <c r="J11" s="1381"/>
      <c r="K11" s="1381"/>
      <c r="L11" s="1381"/>
      <c r="M11" s="1381"/>
      <c r="N11" s="1381"/>
      <c r="O11" s="1381"/>
      <c r="P11" s="1381"/>
    </row>
    <row r="12" spans="1:16">
      <c r="A12" s="2222"/>
      <c r="B12" s="2223"/>
      <c r="C12" s="48" t="s">
        <v>1923</v>
      </c>
      <c r="D12" s="48">
        <f t="shared" si="0"/>
        <v>0</v>
      </c>
      <c r="E12" s="51">
        <f>SUMPRODUCT(('数据-基础表'!BB10:BK10="地下")*('数据-基础表'!BB11:BK11="仓储")*('数据-基础表'!BB5:BK5))</f>
        <v>0</v>
      </c>
      <c r="F12" s="1381"/>
      <c r="G12" s="2221"/>
      <c r="H12" s="2221"/>
      <c r="I12" s="1381"/>
      <c r="J12" s="1381"/>
      <c r="K12" s="1381"/>
      <c r="L12" s="1381"/>
      <c r="M12" s="1381"/>
      <c r="N12" s="1381"/>
      <c r="O12" s="1381"/>
      <c r="P12" s="1381"/>
    </row>
    <row r="13" spans="1:16">
      <c r="A13" s="2222"/>
      <c r="B13" s="2223"/>
      <c r="C13" s="48" t="s">
        <v>1924</v>
      </c>
      <c r="D13" s="48">
        <f t="shared" si="0"/>
        <v>0</v>
      </c>
      <c r="E13" s="51">
        <f>SUMPRODUCT(('数据-基础表'!BB10:BK10="地下")*('数据-基础表'!BB11:BK11="车库")*('数据-基础表'!BB5:BK5))</f>
        <v>0</v>
      </c>
      <c r="F13" s="1381"/>
      <c r="G13" s="2221"/>
      <c r="H13" s="2221"/>
      <c r="I13" s="1381"/>
      <c r="J13" s="1381"/>
      <c r="K13" s="1381"/>
      <c r="L13" s="1381"/>
      <c r="M13" s="1381"/>
      <c r="N13" s="1381"/>
      <c r="O13" s="1381"/>
      <c r="P13" s="1381"/>
    </row>
    <row r="14" spans="1:16">
      <c r="A14" s="2222"/>
      <c r="B14" s="2223"/>
      <c r="C14" s="48" t="s">
        <v>1936</v>
      </c>
      <c r="D14" s="48">
        <f t="shared" si="0"/>
        <v>0</v>
      </c>
      <c r="E14" s="51">
        <f>SUMPRODUCT(('数据-基础表'!BB10:BK10="地下")*('数据-基础表'!BB11:BK11="车库—商业")*('数据-基础表'!BB5:BK5))</f>
        <v>0</v>
      </c>
      <c r="F14" s="1381"/>
      <c r="G14" s="2221"/>
      <c r="H14" s="2221"/>
      <c r="I14" s="1381"/>
      <c r="J14" s="1381"/>
      <c r="K14" s="1381"/>
      <c r="L14" s="1381"/>
      <c r="M14" s="1381"/>
      <c r="N14" s="1381"/>
      <c r="O14" s="1381"/>
      <c r="P14" s="1381"/>
    </row>
    <row r="15" spans="1:16" ht="15" thickBot="1">
      <c r="A15" s="2222"/>
      <c r="B15" s="2223"/>
      <c r="C15" s="48" t="s">
        <v>1931</v>
      </c>
      <c r="D15" s="48">
        <f t="shared" si="0"/>
        <v>0</v>
      </c>
      <c r="E15" s="51">
        <f>SUMPRODUCT(('数据-基础表'!BB10:BK10="地下")*('数据-基础表'!BB11:BK11="车库—办公")*('数据-基础表'!BB5:BK5))</f>
        <v>0</v>
      </c>
      <c r="F15" s="1381"/>
      <c r="G15" s="2221"/>
      <c r="H15" s="2221"/>
      <c r="I15" s="1381"/>
      <c r="J15" s="1381"/>
      <c r="K15" s="1381"/>
      <c r="L15" s="1381"/>
      <c r="M15" s="1381"/>
      <c r="N15" s="1381"/>
      <c r="O15" s="1381"/>
      <c r="P15" s="1381"/>
    </row>
    <row r="16" spans="1:16" ht="15.75" thickBot="1">
      <c r="A16" s="2218"/>
      <c r="B16" s="2223"/>
      <c r="C16" s="50" t="s">
        <v>1925</v>
      </c>
      <c r="D16" s="50">
        <f>SUM(D8:D15)</f>
        <v>8.7100000000000009</v>
      </c>
      <c r="E16" s="53">
        <f>SUM(E8:E15)</f>
        <v>49.61</v>
      </c>
      <c r="F16" s="1381"/>
      <c r="G16" s="2221"/>
      <c r="H16" s="2224" t="s">
        <v>1937</v>
      </c>
      <c r="I16" s="2225"/>
      <c r="J16" s="1381"/>
      <c r="K16" s="3085" t="s">
        <v>1937</v>
      </c>
      <c r="L16" s="3086"/>
      <c r="M16" s="3086"/>
      <c r="N16" s="3086"/>
      <c r="O16" s="3086"/>
      <c r="P16" s="3087"/>
    </row>
    <row r="17" spans="1:19" ht="15">
      <c r="A17" s="2226" t="s">
        <v>1938</v>
      </c>
      <c r="B17" s="2227" t="s">
        <v>1939</v>
      </c>
      <c r="C17" s="2228" t="s">
        <v>1940</v>
      </c>
      <c r="D17" s="2229" t="s">
        <v>1928</v>
      </c>
      <c r="E17" s="2230" t="s">
        <v>1929</v>
      </c>
      <c r="F17" s="2231"/>
      <c r="G17" s="2232"/>
      <c r="H17" s="2233" t="s">
        <v>1941</v>
      </c>
      <c r="I17" s="2234" t="s">
        <v>1926</v>
      </c>
      <c r="J17" s="1381"/>
      <c r="K17" s="3082" t="s">
        <v>1942</v>
      </c>
      <c r="L17" s="3083"/>
      <c r="M17" s="3084"/>
      <c r="N17" s="3082" t="s">
        <v>1943</v>
      </c>
      <c r="O17" s="3083"/>
      <c r="P17" s="3084"/>
      <c r="R17" s="2212" t="s">
        <v>1944</v>
      </c>
      <c r="S17" s="63"/>
    </row>
    <row r="18" spans="1:19" ht="15">
      <c r="A18" s="2222"/>
      <c r="B18" s="2235"/>
      <c r="C18" s="2236"/>
      <c r="D18" s="2237"/>
      <c r="E18" s="2238" t="s">
        <v>1945</v>
      </c>
      <c r="F18" s="2239" t="s">
        <v>1946</v>
      </c>
      <c r="G18" s="2240" t="s">
        <v>1947</v>
      </c>
      <c r="H18" s="1258" t="s">
        <v>1948</v>
      </c>
      <c r="I18" s="2241" t="s">
        <v>1949</v>
      </c>
      <c r="J18" s="1381"/>
      <c r="K18" s="1258" t="s">
        <v>1950</v>
      </c>
      <c r="L18" s="2242" t="s">
        <v>1951</v>
      </c>
      <c r="M18" s="1042" t="s">
        <v>1952</v>
      </c>
      <c r="N18" s="1258" t="s">
        <v>1950</v>
      </c>
      <c r="O18" s="2242" t="s">
        <v>1951</v>
      </c>
      <c r="P18" s="1042" t="s">
        <v>1952</v>
      </c>
      <c r="R18" s="1243" t="s">
        <v>1953</v>
      </c>
      <c r="S18" s="1243" t="s">
        <v>1954</v>
      </c>
    </row>
    <row r="19" spans="1:19">
      <c r="A19" s="2243"/>
      <c r="B19" s="50" t="s">
        <v>1927</v>
      </c>
      <c r="C19" s="2922" t="s">
        <v>4671</v>
      </c>
      <c r="D19" s="48">
        <f>ROUND($D$3*E19/$E$3,2)</f>
        <v>8.7100000000000009</v>
      </c>
      <c r="E19" s="56">
        <f t="shared" ref="E19:E26" si="1">SUM(F19:G19)</f>
        <v>49.61</v>
      </c>
      <c r="F19" s="57">
        <f>'数据-基础表'!K14</f>
        <v>49.61</v>
      </c>
      <c r="G19" s="58"/>
      <c r="H19" s="716">
        <f>ROUND($D$3*I19/$E$3,2)</f>
        <v>0</v>
      </c>
      <c r="I19" s="51">
        <f t="shared" ref="I19:I26" si="2">IF($I$17="自定义",P19,M19)</f>
        <v>0</v>
      </c>
      <c r="J19" s="1381"/>
      <c r="K19" s="1380">
        <f t="shared" ref="K19:K26" si="3">ROUND(E$28*E19/E$27,2)</f>
        <v>0</v>
      </c>
      <c r="L19" s="1243">
        <f t="shared" ref="L19:L26" si="4">ROUND(IF(COUNTIF(C19,"*住宅*")&gt;0,E$29*E19/E$32,0),2)</f>
        <v>0</v>
      </c>
      <c r="M19" s="1392">
        <f>K19+L19</f>
        <v>0</v>
      </c>
      <c r="N19" s="2245"/>
      <c r="O19" s="2246"/>
      <c r="P19" s="1392">
        <f>N19+O19</f>
        <v>0</v>
      </c>
      <c r="R19" s="1243">
        <f t="shared" ref="R19:S26" si="5">D19+H19</f>
        <v>8.7100000000000009</v>
      </c>
      <c r="S19" s="1244">
        <f t="shared" si="5"/>
        <v>49.61</v>
      </c>
    </row>
    <row r="20" spans="1:19">
      <c r="A20" s="2247"/>
      <c r="B20" s="50" t="s">
        <v>1955</v>
      </c>
      <c r="C20" s="2922" t="s">
        <v>4672</v>
      </c>
      <c r="D20" s="48">
        <f t="shared" ref="D20:D26" si="6">ROUND($D$3*E20/$E$3,2)</f>
        <v>0</v>
      </c>
      <c r="E20" s="56">
        <f t="shared" si="1"/>
        <v>0</v>
      </c>
      <c r="F20" s="57"/>
      <c r="G20" s="58"/>
      <c r="H20" s="716">
        <f t="shared" ref="H20:H26" si="7">ROUND($D$3*I20/$E$3,2)</f>
        <v>0</v>
      </c>
      <c r="I20" s="51">
        <f t="shared" si="2"/>
        <v>0</v>
      </c>
      <c r="J20" s="1381"/>
      <c r="K20" s="1380">
        <f t="shared" si="3"/>
        <v>0</v>
      </c>
      <c r="L20" s="1243">
        <f t="shared" si="4"/>
        <v>0</v>
      </c>
      <c r="M20" s="1392">
        <f t="shared" ref="M20:M26" si="8">K20+L20</f>
        <v>0</v>
      </c>
      <c r="N20" s="2245"/>
      <c r="O20" s="2246"/>
      <c r="P20" s="1392">
        <f t="shared" ref="P20:P26" si="9">N20+O20</f>
        <v>0</v>
      </c>
      <c r="R20" s="1243">
        <f t="shared" si="5"/>
        <v>0</v>
      </c>
      <c r="S20" s="1244">
        <f t="shared" si="5"/>
        <v>0</v>
      </c>
    </row>
    <row r="21" spans="1:19">
      <c r="A21" s="2247"/>
      <c r="B21" s="50" t="s">
        <v>1955</v>
      </c>
      <c r="C21" s="2244"/>
      <c r="D21" s="48">
        <f t="shared" si="6"/>
        <v>0</v>
      </c>
      <c r="E21" s="56">
        <f t="shared" si="1"/>
        <v>0</v>
      </c>
      <c r="F21" s="57"/>
      <c r="G21" s="58"/>
      <c r="H21" s="716">
        <f t="shared" si="7"/>
        <v>0</v>
      </c>
      <c r="I21" s="51">
        <f t="shared" si="2"/>
        <v>0</v>
      </c>
      <c r="J21" s="1381"/>
      <c r="K21" s="1380">
        <f t="shared" si="3"/>
        <v>0</v>
      </c>
      <c r="L21" s="1243">
        <f t="shared" si="4"/>
        <v>0</v>
      </c>
      <c r="M21" s="1392">
        <f t="shared" si="8"/>
        <v>0</v>
      </c>
      <c r="N21" s="2245"/>
      <c r="O21" s="2246"/>
      <c r="P21" s="1392">
        <f t="shared" si="9"/>
        <v>0</v>
      </c>
      <c r="R21" s="1243">
        <f t="shared" si="5"/>
        <v>0</v>
      </c>
      <c r="S21" s="1244">
        <f t="shared" si="5"/>
        <v>0</v>
      </c>
    </row>
    <row r="22" spans="1:19">
      <c r="A22" s="2247"/>
      <c r="B22" s="50" t="s">
        <v>1955</v>
      </c>
      <c r="C22" s="59"/>
      <c r="D22" s="48">
        <f t="shared" si="6"/>
        <v>0</v>
      </c>
      <c r="E22" s="56">
        <f t="shared" si="1"/>
        <v>0</v>
      </c>
      <c r="F22" s="60"/>
      <c r="G22" s="61"/>
      <c r="H22" s="716">
        <f t="shared" si="7"/>
        <v>0</v>
      </c>
      <c r="I22" s="51">
        <f t="shared" si="2"/>
        <v>0</v>
      </c>
      <c r="J22" s="1381"/>
      <c r="K22" s="1380">
        <f t="shared" si="3"/>
        <v>0</v>
      </c>
      <c r="L22" s="1243">
        <f t="shared" si="4"/>
        <v>0</v>
      </c>
      <c r="M22" s="1392">
        <f t="shared" si="8"/>
        <v>0</v>
      </c>
      <c r="N22" s="2245"/>
      <c r="O22" s="2246"/>
      <c r="P22" s="1392">
        <f t="shared" si="9"/>
        <v>0</v>
      </c>
      <c r="R22" s="1243">
        <f t="shared" si="5"/>
        <v>0</v>
      </c>
      <c r="S22" s="1244">
        <f t="shared" si="5"/>
        <v>0</v>
      </c>
    </row>
    <row r="23" spans="1:19">
      <c r="A23" s="2247"/>
      <c r="B23" s="50" t="s">
        <v>1955</v>
      </c>
      <c r="C23" s="59"/>
      <c r="D23" s="48">
        <f>ROUND($D$3*E23/$E$3,2)</f>
        <v>0</v>
      </c>
      <c r="E23" s="56">
        <f>SUM(F23:G23)</f>
        <v>0</v>
      </c>
      <c r="F23" s="60"/>
      <c r="G23" s="61"/>
      <c r="H23" s="716">
        <f>ROUND($D$3*I23/$E$3,2)</f>
        <v>0</v>
      </c>
      <c r="I23" s="51">
        <f t="shared" si="2"/>
        <v>0</v>
      </c>
      <c r="J23" s="1381"/>
      <c r="K23" s="1380">
        <f t="shared" si="3"/>
        <v>0</v>
      </c>
      <c r="L23" s="1243">
        <f t="shared" si="4"/>
        <v>0</v>
      </c>
      <c r="M23" s="1392">
        <f t="shared" si="8"/>
        <v>0</v>
      </c>
      <c r="N23" s="2245"/>
      <c r="O23" s="2246"/>
      <c r="P23" s="1392">
        <f t="shared" si="9"/>
        <v>0</v>
      </c>
      <c r="R23" s="1243">
        <f t="shared" si="5"/>
        <v>0</v>
      </c>
      <c r="S23" s="1244">
        <f t="shared" si="5"/>
        <v>0</v>
      </c>
    </row>
    <row r="24" spans="1:19">
      <c r="A24" s="2247"/>
      <c r="B24" s="50" t="s">
        <v>1955</v>
      </c>
      <c r="C24" s="59"/>
      <c r="D24" s="48">
        <f>ROUND($D$3*E24/$E$3,2)</f>
        <v>0</v>
      </c>
      <c r="E24" s="56">
        <f>SUM(F24:G24)</f>
        <v>0</v>
      </c>
      <c r="F24" s="60"/>
      <c r="G24" s="61"/>
      <c r="H24" s="716">
        <f>ROUND($D$3*I24/$E$3,2)</f>
        <v>0</v>
      </c>
      <c r="I24" s="51">
        <f t="shared" si="2"/>
        <v>0</v>
      </c>
      <c r="J24" s="1381"/>
      <c r="K24" s="1380">
        <f t="shared" si="3"/>
        <v>0</v>
      </c>
      <c r="L24" s="1243">
        <f t="shared" si="4"/>
        <v>0</v>
      </c>
      <c r="M24" s="1392">
        <f t="shared" si="8"/>
        <v>0</v>
      </c>
      <c r="N24" s="2245"/>
      <c r="O24" s="2246"/>
      <c r="P24" s="1392">
        <f t="shared" si="9"/>
        <v>0</v>
      </c>
      <c r="R24" s="1243">
        <f t="shared" si="5"/>
        <v>0</v>
      </c>
      <c r="S24" s="1244">
        <f t="shared" si="5"/>
        <v>0</v>
      </c>
    </row>
    <row r="25" spans="1:19">
      <c r="A25" s="2247"/>
      <c r="B25" s="50" t="s">
        <v>1955</v>
      </c>
      <c r="C25" s="59"/>
      <c r="D25" s="48">
        <f t="shared" si="6"/>
        <v>0</v>
      </c>
      <c r="E25" s="56">
        <f t="shared" si="1"/>
        <v>0</v>
      </c>
      <c r="F25" s="60"/>
      <c r="G25" s="61"/>
      <c r="H25" s="47">
        <f t="shared" si="7"/>
        <v>0</v>
      </c>
      <c r="I25" s="51">
        <f t="shared" si="2"/>
        <v>0</v>
      </c>
      <c r="J25" s="1381"/>
      <c r="K25" s="1380">
        <f t="shared" si="3"/>
        <v>0</v>
      </c>
      <c r="L25" s="1243">
        <f t="shared" si="4"/>
        <v>0</v>
      </c>
      <c r="M25" s="1392">
        <f t="shared" si="8"/>
        <v>0</v>
      </c>
      <c r="N25" s="2245"/>
      <c r="O25" s="2246"/>
      <c r="P25" s="1392">
        <f t="shared" si="9"/>
        <v>0</v>
      </c>
      <c r="R25" s="1243">
        <f t="shared" si="5"/>
        <v>0</v>
      </c>
      <c r="S25" s="1244">
        <f t="shared" si="5"/>
        <v>0</v>
      </c>
    </row>
    <row r="26" spans="1:19">
      <c r="A26" s="2247"/>
      <c r="B26" s="50" t="s">
        <v>1955</v>
      </c>
      <c r="C26" s="62"/>
      <c r="D26" s="48">
        <f t="shared" si="6"/>
        <v>0</v>
      </c>
      <c r="E26" s="56">
        <f t="shared" si="1"/>
        <v>0</v>
      </c>
      <c r="F26" s="60"/>
      <c r="G26" s="61"/>
      <c r="H26" s="47">
        <f t="shared" si="7"/>
        <v>0</v>
      </c>
      <c r="I26" s="51">
        <f t="shared" si="2"/>
        <v>0</v>
      </c>
      <c r="J26" s="1381"/>
      <c r="K26" s="1387">
        <f t="shared" si="3"/>
        <v>0</v>
      </c>
      <c r="L26" s="1388">
        <f t="shared" si="4"/>
        <v>0</v>
      </c>
      <c r="M26" s="66">
        <f t="shared" si="8"/>
        <v>0</v>
      </c>
      <c r="N26" s="2248"/>
      <c r="O26" s="2249"/>
      <c r="P26" s="66">
        <f t="shared" si="9"/>
        <v>0</v>
      </c>
      <c r="R26" s="1243">
        <f t="shared" si="5"/>
        <v>0</v>
      </c>
      <c r="S26" s="1244">
        <f t="shared" si="5"/>
        <v>0</v>
      </c>
    </row>
    <row r="27" spans="1:19" ht="15.75" thickBot="1">
      <c r="A27" s="2247"/>
      <c r="B27" s="48"/>
      <c r="C27" s="2250" t="s">
        <v>1956</v>
      </c>
      <c r="D27" s="1382">
        <f>SUM(D19:D26)</f>
        <v>8.7100000000000009</v>
      </c>
      <c r="E27" s="1383">
        <f>IF(SUM(E19:E26)='数据-基础表'!BA5,SUM(E19:E26),IF(F27="地上面积有误","面积有误","地下面积有误"))</f>
        <v>49.61</v>
      </c>
      <c r="F27" s="1382">
        <f>IF(SUM(F19:F26)=E8,SUM(F19:F26),"地上面积有误")</f>
        <v>49.61</v>
      </c>
      <c r="G27" s="1384">
        <f>SUM(G19:G26)</f>
        <v>0</v>
      </c>
      <c r="H27" s="1385">
        <f>SUM(H19:H26)</f>
        <v>0</v>
      </c>
      <c r="I27" s="1386">
        <f>SUM(I19:I26)</f>
        <v>0</v>
      </c>
      <c r="J27" s="1381"/>
      <c r="K27" s="1389">
        <f t="shared" ref="K27:P27" si="10">SUM(K19:K26)</f>
        <v>0</v>
      </c>
      <c r="L27" s="1390">
        <f t="shared" si="10"/>
        <v>0</v>
      </c>
      <c r="M27" s="1393">
        <f t="shared" si="10"/>
        <v>0</v>
      </c>
      <c r="N27" s="1389">
        <f t="shared" si="10"/>
        <v>0</v>
      </c>
      <c r="O27" s="1390">
        <f t="shared" si="10"/>
        <v>0</v>
      </c>
      <c r="P27" s="1391">
        <f t="shared" si="10"/>
        <v>0</v>
      </c>
      <c r="R27" s="1245">
        <f>IF(SUM(R19:R26)=$D$3,SUM(R19:R26),SUM(R19:R26)&amp;"误差"&amp;ROUND(SUM(R19:R26)-$D$3,2))</f>
        <v>8.7100000000000009</v>
      </c>
      <c r="S27" s="1243">
        <f>IF(SUM(S19:S26)=$E$3,SUM(S19:S26),SUM(S19:S26)&amp;"误差"&amp;ROUND(SUM(S19:S26)-E3,2))</f>
        <v>49.61</v>
      </c>
    </row>
    <row r="28" spans="1:19">
      <c r="A28" s="2247"/>
      <c r="B28" s="50" t="s">
        <v>1957</v>
      </c>
      <c r="C28" s="1255" t="s">
        <v>1958</v>
      </c>
      <c r="D28" s="48">
        <f>ROUND($D$3*E28/$E$3,2)</f>
        <v>0</v>
      </c>
      <c r="E28" s="56">
        <f>SUM(F28:G28)</f>
        <v>0</v>
      </c>
      <c r="F28" s="63">
        <f>'数据-基础表'!BQ5+'数据-基础表'!BS5</f>
        <v>0</v>
      </c>
      <c r="G28" s="64">
        <f>'数据-基础表'!BR5+'数据-基础表'!BT5</f>
        <v>0</v>
      </c>
      <c r="H28" s="1381"/>
      <c r="I28" s="1381"/>
      <c r="J28" s="1381"/>
      <c r="K28" s="1381"/>
      <c r="L28" s="1381"/>
      <c r="M28" s="1381"/>
      <c r="N28" s="1381"/>
      <c r="O28" s="1381"/>
      <c r="P28" s="1381"/>
    </row>
    <row r="29" spans="1:19">
      <c r="A29" s="2247"/>
      <c r="B29" s="50" t="s">
        <v>1957</v>
      </c>
      <c r="C29" s="2251" t="s">
        <v>1959</v>
      </c>
      <c r="D29" s="48">
        <f>ROUND($D$3*E29/$E$3,2)</f>
        <v>0</v>
      </c>
      <c r="E29" s="56">
        <f>SUM(F29:G29)</f>
        <v>0</v>
      </c>
      <c r="F29" s="65">
        <f>'数据-基础表'!BM5+'数据-基础表'!BO5</f>
        <v>0</v>
      </c>
      <c r="G29" s="66">
        <f>'数据-基础表'!BN5+'数据-基础表'!BP5</f>
        <v>0</v>
      </c>
      <c r="H29" s="1381"/>
      <c r="I29" s="1381"/>
      <c r="J29" s="1381"/>
      <c r="K29" s="1381"/>
      <c r="L29" s="1381"/>
      <c r="M29" s="1381"/>
      <c r="N29" s="1381"/>
      <c r="O29" s="1381"/>
      <c r="P29" s="1381"/>
    </row>
    <row r="30" spans="1:19" ht="15">
      <c r="A30" s="2247"/>
      <c r="B30" s="50"/>
      <c r="C30" s="2252" t="s">
        <v>1956</v>
      </c>
      <c r="D30" s="1382">
        <f>SUM(D28:D29)</f>
        <v>0</v>
      </c>
      <c r="E30" s="1382">
        <f>SUM(E28:E29)</f>
        <v>0</v>
      </c>
      <c r="F30" s="1382">
        <f>SUM(F28:F29)</f>
        <v>0</v>
      </c>
      <c r="G30" s="1384">
        <f>SUM(G28:G29)</f>
        <v>0</v>
      </c>
      <c r="H30" s="1381"/>
      <c r="I30" s="1381"/>
      <c r="J30" s="1381"/>
      <c r="K30" s="1381"/>
      <c r="L30" s="1381"/>
      <c r="M30" s="1381"/>
      <c r="N30" s="1381"/>
      <c r="O30" s="1381"/>
      <c r="P30" s="1381"/>
    </row>
    <row r="31" spans="1:19" ht="15.75" thickBot="1">
      <c r="A31" s="2253"/>
      <c r="B31" s="2254"/>
      <c r="C31" s="1003" t="s">
        <v>1960</v>
      </c>
      <c r="D31" s="722">
        <f>D27+D30</f>
        <v>8.7100000000000009</v>
      </c>
      <c r="E31" s="722">
        <f>E27+E30</f>
        <v>49.61</v>
      </c>
      <c r="F31" s="723">
        <f>F27+F30</f>
        <v>49.61</v>
      </c>
      <c r="G31" s="724">
        <f>G27+G30</f>
        <v>0</v>
      </c>
      <c r="H31" s="1381"/>
      <c r="I31" s="1381"/>
      <c r="J31" s="1381"/>
      <c r="K31" s="1381"/>
      <c r="L31" s="1381"/>
      <c r="M31" s="1381"/>
      <c r="N31" s="1381"/>
      <c r="O31" s="1381"/>
      <c r="P31" s="1381"/>
    </row>
    <row r="32" spans="1:19">
      <c r="A32" s="2217"/>
      <c r="B32" s="2217" t="s">
        <v>1961</v>
      </c>
      <c r="C32" s="2217"/>
      <c r="D32" s="2217"/>
      <c r="E32" s="1270">
        <f>SUMIF(C19:C26,"*住宅*",E19:E26)</f>
        <v>0</v>
      </c>
      <c r="F32" s="2217"/>
      <c r="G32" s="2217"/>
      <c r="H32" s="1381"/>
      <c r="I32" s="1381"/>
      <c r="J32" s="1381"/>
      <c r="K32" s="1381"/>
      <c r="L32" s="1381"/>
      <c r="M32" s="1381"/>
      <c r="N32" s="1381"/>
      <c r="O32" s="1381"/>
      <c r="P32" s="1381"/>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36" priority="1" stopIfTrue="1" operator="containsText" text="面积有误">
      <formula>NOT(ISERROR(SEARCH("面积有误",E27)))</formula>
    </cfRule>
    <cfRule type="cellIs" dxfId="135" priority="3" stopIfTrue="1" operator="equal">
      <formula>"地下面积有误"</formula>
    </cfRule>
  </conditionalFormatting>
  <conditionalFormatting sqref="F27">
    <cfRule type="cellIs" dxfId="13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W9" sqref="W9"/>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3"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3.75" style="2258"/>
    <col min="41" max="41" width="11.625" style="2258" customWidth="1"/>
    <col min="42" max="42" width="9.75" style="2258" customWidth="1"/>
    <col min="43" max="67" width="13.75" style="2258"/>
    <col min="68" max="16384" width="13.75" style="2259"/>
  </cols>
  <sheetData>
    <row r="1" spans="1:67" ht="19.5" thickBot="1">
      <c r="A1" s="2256" t="s">
        <v>1962</v>
      </c>
      <c r="B1" s="725"/>
      <c r="C1" s="1571"/>
      <c r="D1" s="2257"/>
      <c r="E1" s="1571"/>
      <c r="F1" s="1571"/>
      <c r="G1" s="1571"/>
      <c r="H1" s="1571"/>
      <c r="I1" s="1571"/>
      <c r="J1" s="1571"/>
      <c r="K1" s="168"/>
      <c r="L1" s="168"/>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row>
    <row r="2" spans="1:67" s="2020" customFormat="1" ht="15.75" thickBot="1">
      <c r="A2" s="2260" t="s">
        <v>1963</v>
      </c>
      <c r="B2" s="1262">
        <f>项目基本情况!D3</f>
        <v>43028</v>
      </c>
      <c r="C2" s="2261"/>
      <c r="D2" s="2262"/>
      <c r="E2" s="2261"/>
      <c r="F2" s="2261"/>
      <c r="G2" s="2261"/>
      <c r="H2" s="2261"/>
      <c r="I2" s="2261"/>
      <c r="J2" s="2261"/>
      <c r="K2" s="1416"/>
      <c r="L2" s="1416"/>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20" customFormat="1" ht="15" thickBot="1">
      <c r="A3" s="2018"/>
      <c r="B3" s="2264"/>
      <c r="C3" s="2261"/>
      <c r="D3" s="2262"/>
      <c r="E3" s="2261"/>
      <c r="F3" s="2261"/>
      <c r="G3" s="2261"/>
      <c r="H3" s="2261"/>
      <c r="I3" s="2261"/>
      <c r="J3" s="2261"/>
      <c r="K3" s="1416"/>
      <c r="L3" s="1416"/>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20" customFormat="1" ht="15" thickBot="1">
      <c r="A4" s="67" t="s">
        <v>1964</v>
      </c>
      <c r="B4" s="2265"/>
      <c r="C4" s="2266"/>
      <c r="D4" s="2267"/>
      <c r="E4" s="2266" t="s">
        <v>1965</v>
      </c>
      <c r="F4" s="2266"/>
      <c r="G4" s="2266"/>
      <c r="H4" s="2266"/>
      <c r="I4" s="2266"/>
      <c r="J4" s="2268"/>
      <c r="K4" s="2269"/>
      <c r="L4" s="2270"/>
      <c r="M4" s="2266"/>
      <c r="N4" s="2266" t="s">
        <v>1966</v>
      </c>
      <c r="O4" s="2266"/>
      <c r="P4" s="2266"/>
      <c r="Q4" s="2266"/>
      <c r="R4" s="2266"/>
      <c r="S4" s="2268"/>
      <c r="T4" s="2271" t="str">
        <f>'数据-汇总表'!I17</f>
        <v>按面积比例</v>
      </c>
      <c r="U4" s="2265" t="s">
        <v>1967</v>
      </c>
      <c r="V4" s="2266"/>
      <c r="W4" s="2266"/>
      <c r="X4" s="2266"/>
      <c r="Y4" s="2268"/>
      <c r="Z4" s="2228" t="s">
        <v>1968</v>
      </c>
      <c r="AA4" s="2228"/>
      <c r="AB4" s="2228"/>
      <c r="AC4" s="2228"/>
      <c r="AD4" s="2228"/>
      <c r="AE4" s="2226" t="s">
        <v>1969</v>
      </c>
      <c r="AF4" s="2228"/>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21" customFormat="1" ht="42">
      <c r="A5" s="2273" t="s">
        <v>1970</v>
      </c>
      <c r="B5" s="2274" t="s">
        <v>1971</v>
      </c>
      <c r="C5" s="2275" t="s">
        <v>1972</v>
      </c>
      <c r="D5" s="2276" t="s">
        <v>1973</v>
      </c>
      <c r="E5" s="1264" t="s">
        <v>1974</v>
      </c>
      <c r="F5" s="2277" t="s">
        <v>1975</v>
      </c>
      <c r="G5" s="1264" t="s">
        <v>1976</v>
      </c>
      <c r="H5" s="1264" t="s">
        <v>1977</v>
      </c>
      <c r="I5" s="1264" t="s">
        <v>1978</v>
      </c>
      <c r="J5" s="2278" t="s">
        <v>1979</v>
      </c>
      <c r="K5" s="2279" t="s">
        <v>1980</v>
      </c>
      <c r="L5" s="2280" t="s">
        <v>1981</v>
      </c>
      <c r="M5" s="2281" t="s">
        <v>1982</v>
      </c>
      <c r="N5" s="2282" t="s">
        <v>3070</v>
      </c>
      <c r="O5" s="2280" t="s">
        <v>1983</v>
      </c>
      <c r="P5" s="2283" t="s">
        <v>1984</v>
      </c>
      <c r="Q5" s="68" t="s">
        <v>1985</v>
      </c>
      <c r="R5" s="2284" t="s">
        <v>1986</v>
      </c>
      <c r="S5" s="2285" t="s">
        <v>1987</v>
      </c>
      <c r="T5" s="2286" t="s">
        <v>1988</v>
      </c>
      <c r="U5" s="1263" t="s">
        <v>1989</v>
      </c>
      <c r="V5" s="1264" t="s">
        <v>1990</v>
      </c>
      <c r="W5" s="1264" t="s">
        <v>1991</v>
      </c>
      <c r="X5" s="70"/>
      <c r="Y5" s="69" t="s">
        <v>1992</v>
      </c>
      <c r="Z5" s="2287" t="s">
        <v>1989</v>
      </c>
      <c r="AA5" s="1264" t="s">
        <v>1990</v>
      </c>
      <c r="AB5" s="1264" t="s">
        <v>1991</v>
      </c>
      <c r="AC5" s="70"/>
      <c r="AD5" s="70" t="s">
        <v>1992</v>
      </c>
      <c r="AE5" s="1263" t="s">
        <v>1993</v>
      </c>
      <c r="AF5" s="1264" t="s">
        <v>1994</v>
      </c>
      <c r="AG5" s="69" t="s">
        <v>1995</v>
      </c>
      <c r="AH5" s="1263" t="s">
        <v>1996</v>
      </c>
      <c r="AI5" s="2287" t="s">
        <v>1997</v>
      </c>
      <c r="AJ5" s="2287" t="s">
        <v>1998</v>
      </c>
      <c r="AK5" s="1264" t="s">
        <v>1999</v>
      </c>
      <c r="AL5" s="1264" t="s">
        <v>2000</v>
      </c>
      <c r="AM5" s="69" t="s">
        <v>2001</v>
      </c>
      <c r="AN5" s="2288" t="s">
        <v>2002</v>
      </c>
      <c r="AO5" s="2058" t="s">
        <v>2003</v>
      </c>
      <c r="AP5" s="1245" t="s">
        <v>2004</v>
      </c>
      <c r="AQ5" s="2289" t="s">
        <v>2005</v>
      </c>
      <c r="AR5" s="2289" t="s">
        <v>2006</v>
      </c>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row>
    <row r="6" spans="1:67" s="2020" customFormat="1" ht="14.25">
      <c r="A6" s="2290" t="str">
        <f>'数据-汇总表'!C19</f>
        <v>地上办公3-301</v>
      </c>
      <c r="B6" s="2291" t="str">
        <f>IF(A6=0,"","经营性")</f>
        <v>经营性</v>
      </c>
      <c r="C6" s="2292" t="s">
        <v>27</v>
      </c>
      <c r="D6" s="1047">
        <f>SUMIF(项目基本情况!D$12:I$12,C6,项目基本情况!D$14:I$14)</f>
        <v>50</v>
      </c>
      <c r="E6" s="1044">
        <f>IF(B6="","",SUMIF(项目基本情况!D$12:I$12,C6,项目基本情况!D$13:I$13))</f>
        <v>54966</v>
      </c>
      <c r="F6" s="71">
        <f>SUMIF(项目基本情况!D$12:I$12,C6,项目基本情况!D$15:I$15)</f>
        <v>32.700000000000003</v>
      </c>
      <c r="G6" s="72">
        <f t="shared" ref="G6:G13" si="0">IF(ISERROR(ROUND(POWER(1+H6,D6-F6)*(POWER(1+H6,F6)-1)/(POWER(1+H6,D6)-1),3)),0,ROUND(POWER(1+H6,D6-F6)*(POWER(1+H6,F6)-1)/(POWER(1+H6,D6)-1),3))</f>
        <v>0.85799999999999998</v>
      </c>
      <c r="H6" s="795">
        <v>4.4999999999999998E-2</v>
      </c>
      <c r="I6" s="795">
        <v>0.05</v>
      </c>
      <c r="J6" s="73">
        <v>8.5000000000000006E-2</v>
      </c>
      <c r="K6" s="1247">
        <f>SUMIF('数据-汇总表'!C$19:C$33,A6,'数据-汇总表'!E$19:E$33)</f>
        <v>49.61</v>
      </c>
      <c r="L6" s="796">
        <v>2200</v>
      </c>
      <c r="M6" s="74">
        <f t="shared" ref="M6:M14" si="1">ROUND(K6*L6/10000,0)</f>
        <v>11</v>
      </c>
      <c r="N6" s="794">
        <f>ROUND(1-(2017-2015)/60,2)</f>
        <v>0.97</v>
      </c>
      <c r="O6" s="74" t="str">
        <f>IF($N$5="成新度","——",ROUND(M6*N6,0))</f>
        <v>——</v>
      </c>
      <c r="P6" s="75" t="str">
        <f>IF($N$5="成新度","——",M6-O6)</f>
        <v>——</v>
      </c>
      <c r="Q6" s="797">
        <v>0.25</v>
      </c>
      <c r="R6" s="76">
        <f ca="1">SUMIF('数据-汇总表'!C$19:C$33,A6,'数据-汇总表'!R$19:R$27)</f>
        <v>8.7100000000000009</v>
      </c>
      <c r="S6" s="54">
        <f>IF('数据-汇总表'!$I$17="按面积比例",SUMIF('数据-汇总表'!C$19:C$33,A6,'数据-汇总表'!K$19:K$33),SUMIF('数据-汇总表'!C$19:C$33,A6,'数据-汇总表'!N$19:N$33))</f>
        <v>0</v>
      </c>
      <c r="T6" s="1432">
        <f>ROUND($L$14*S6/10000,0)</f>
        <v>0</v>
      </c>
      <c r="U6" s="77">
        <v>2.5</v>
      </c>
      <c r="V6" s="78">
        <v>0.03</v>
      </c>
      <c r="W6" s="78">
        <v>0.1</v>
      </c>
      <c r="X6" s="1257"/>
      <c r="Y6" s="79"/>
      <c r="Z6" s="80"/>
      <c r="AA6" s="73"/>
      <c r="AB6" s="73"/>
      <c r="AC6" s="1257"/>
      <c r="AD6" s="81"/>
      <c r="AE6" s="1258">
        <f ca="1">IF(AN6="",0,SUMIF(INDIRECT("'"&amp;AN6&amp;"'"&amp;"!E:E"),$AE$5,INDIRECT("'"&amp;AN6&amp;"'"&amp;"!F:F")))</f>
        <v>32.700000000000003</v>
      </c>
      <c r="AF6" s="1794"/>
      <c r="AG6" s="146">
        <f>IF(AF6="",0,AE6-AF6)</f>
        <v>0</v>
      </c>
      <c r="AH6" s="82"/>
      <c r="AI6" s="84">
        <v>365</v>
      </c>
      <c r="AJ6" s="85"/>
      <c r="AK6" s="86">
        <v>1.4999999999999999E-2</v>
      </c>
      <c r="AL6" s="87">
        <v>2E-3</v>
      </c>
      <c r="AM6" s="88">
        <v>0.02</v>
      </c>
      <c r="AN6" s="2293" t="s">
        <v>3071</v>
      </c>
      <c r="AO6" s="55">
        <f ca="1">SUMIF(INDIRECT("'"&amp;AN6&amp;"'"&amp;"!A:A"),"总价",INDIRECT("'"&amp;AN6&amp;"'"&amp;"!B:B"))</f>
        <v>70</v>
      </c>
      <c r="AP6" s="2294">
        <f>IF(C6="住宅",K6*L6,0)</f>
        <v>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20" customFormat="1" ht="14.25">
      <c r="A7" s="2290" t="str">
        <f>'数据-汇总表'!C20</f>
        <v>地上办公</v>
      </c>
      <c r="B7" s="2291" t="str">
        <f t="shared" ref="B7:B13" si="2">IF(A7=0,"","经营性")</f>
        <v>经营性</v>
      </c>
      <c r="C7" s="2292" t="s">
        <v>27</v>
      </c>
      <c r="D7" s="1047">
        <f>SUMIF(项目基本情况!D$12:I$12,C7,项目基本情况!D$14:I$14)</f>
        <v>50</v>
      </c>
      <c r="E7" s="1044">
        <f>IF(B7="","",SUMIF(项目基本情况!D$12:I$12,C7,项目基本情况!D$13:I$13))</f>
        <v>54966</v>
      </c>
      <c r="F7" s="71">
        <f>SUMIF(项目基本情况!D$12:I$12,C7,项目基本情况!D$15:I$15)</f>
        <v>32.700000000000003</v>
      </c>
      <c r="G7" s="72">
        <f t="shared" si="0"/>
        <v>0.85799999999999998</v>
      </c>
      <c r="H7" s="795">
        <v>4.4999999999999998E-2</v>
      </c>
      <c r="I7" s="795">
        <v>0.05</v>
      </c>
      <c r="J7" s="73">
        <v>8.5000000000000006E-2</v>
      </c>
      <c r="K7" s="1247">
        <f>SUMIF('数据-汇总表'!C$19:C$33,A7,'数据-汇总表'!E$19:E$33)</f>
        <v>0</v>
      </c>
      <c r="L7" s="796">
        <v>2200</v>
      </c>
      <c r="M7" s="74">
        <f t="shared" si="1"/>
        <v>0</v>
      </c>
      <c r="N7" s="794">
        <f>ROUND(1-(2017-2015)/60,2)</f>
        <v>0.97</v>
      </c>
      <c r="O7" s="74" t="str">
        <f t="shared" ref="O7:O14" si="3">IF($N$5="成新度","——",ROUND(M7*N7,0))</f>
        <v>——</v>
      </c>
      <c r="P7" s="75" t="str">
        <f t="shared" ref="P7:P14" si="4">IF($N$5="成新度","——",M7-O7)</f>
        <v>——</v>
      </c>
      <c r="Q7" s="797">
        <v>0.25</v>
      </c>
      <c r="R7" s="76">
        <f ca="1">SUMIF('数据-汇总表'!C$19:C$33,A7,'数据-汇总表'!R$19:R$27)</f>
        <v>0</v>
      </c>
      <c r="S7" s="54">
        <f>IF('数据-汇总表'!$I$17="按面积比例",SUMIF('数据-汇总表'!C$19:C$33,A7,'数据-汇总表'!K$19:K$33),SUMIF('数据-汇总表'!C$19:C$33,A7,'数据-汇总表'!N$19:N$33))</f>
        <v>0</v>
      </c>
      <c r="T7" s="1432">
        <f t="shared" ref="T7:T13" si="5">ROUND($L$14*S7/10000,0)</f>
        <v>0</v>
      </c>
      <c r="U7" s="77">
        <v>2.5</v>
      </c>
      <c r="V7" s="78">
        <v>0.03</v>
      </c>
      <c r="W7" s="78">
        <v>0.1</v>
      </c>
      <c r="X7" s="1257"/>
      <c r="Y7" s="79"/>
      <c r="Z7" s="80"/>
      <c r="AA7" s="73"/>
      <c r="AB7" s="73"/>
      <c r="AC7" s="1257"/>
      <c r="AD7" s="81"/>
      <c r="AE7" s="1258">
        <f t="shared" ref="AE7:AE13" ca="1" si="6">IF(AN7="",0,SUMIF(INDIRECT("'"&amp;AN7&amp;"'"&amp;"!E:E"),$AE$5,INDIRECT("'"&amp;AN7&amp;"'"&amp;"!F:F")))</f>
        <v>0</v>
      </c>
      <c r="AF7" s="1794"/>
      <c r="AG7" s="146">
        <f t="shared" ref="AG7:AG13" si="7">IF(AF7="",0,AE7-AF7)</f>
        <v>0</v>
      </c>
      <c r="AH7" s="82"/>
      <c r="AI7" s="84">
        <v>365</v>
      </c>
      <c r="AJ7" s="85"/>
      <c r="AK7" s="86">
        <v>1.4999999999999999E-2</v>
      </c>
      <c r="AL7" s="87">
        <v>2E-3</v>
      </c>
      <c r="AM7" s="88">
        <v>0.02</v>
      </c>
      <c r="AN7" s="2293"/>
      <c r="AO7" s="55" t="e">
        <f t="shared" ref="AO7:AO13" ca="1" si="8">SUMIF(INDIRECT("'"&amp;AN7&amp;"'"&amp;"!A:A"),"总价",INDIRECT("'"&amp;AN7&amp;"'"&amp;"!B:B"))</f>
        <v>#REF!</v>
      </c>
      <c r="AP7" s="2294">
        <f t="shared" ref="AP7:AP13" si="9">IF(C7="住宅",K7*L7,0)</f>
        <v>0</v>
      </c>
      <c r="AQ7" s="55">
        <f t="shared" ref="AQ7:AQ13" si="10">ROUND($L$14*$N$14*S7/10000,0)</f>
        <v>0</v>
      </c>
      <c r="AR7" s="55">
        <f t="shared" ref="AR7:AR13" si="11">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20" customFormat="1" ht="14.25">
      <c r="A8" s="2290">
        <f>'数据-汇总表'!C21</f>
        <v>0</v>
      </c>
      <c r="B8" s="2291" t="str">
        <f t="shared" si="2"/>
        <v/>
      </c>
      <c r="C8" s="2292"/>
      <c r="D8" s="1047">
        <f>SUMIF(项目基本情况!D$12:I$12,C8,项目基本情况!D$14:I$14)</f>
        <v>0</v>
      </c>
      <c r="E8" s="1044" t="str">
        <f>IF(B8="","",SUMIF(项目基本情况!D$12:I$12,C8,项目基本情况!D$13:I$13))</f>
        <v/>
      </c>
      <c r="F8" s="71">
        <f>SUMIF(项目基本情况!D$12:I$12,C8,项目基本情况!D$15:I$15)</f>
        <v>0</v>
      </c>
      <c r="G8" s="72">
        <f t="shared" si="0"/>
        <v>0</v>
      </c>
      <c r="H8" s="795"/>
      <c r="I8" s="795"/>
      <c r="J8" s="73"/>
      <c r="K8" s="1247">
        <f>SUMIF('数据-汇总表'!C$19:C$33,A8,'数据-汇总表'!E$19:E$33)</f>
        <v>0</v>
      </c>
      <c r="L8" s="796"/>
      <c r="M8" s="74">
        <f>ROUND(K8*L8/10000,0)</f>
        <v>0</v>
      </c>
      <c r="N8" s="794"/>
      <c r="O8" s="74" t="str">
        <f t="shared" si="3"/>
        <v>——</v>
      </c>
      <c r="P8" s="75" t="str">
        <f t="shared" si="4"/>
        <v>——</v>
      </c>
      <c r="Q8" s="797"/>
      <c r="R8" s="76">
        <f ca="1">SUMIF('数据-汇总表'!C$19:C$33,A8,'数据-汇总表'!R$19:R$27)</f>
        <v>0</v>
      </c>
      <c r="S8" s="54">
        <f>IF('数据-汇总表'!$I$17="按面积比例",SUMIF('数据-汇总表'!C$19:C$33,A8,'数据-汇总表'!K$19:K$33),SUMIF('数据-汇总表'!C$19:C$33,A8,'数据-汇总表'!N$19:N$33))</f>
        <v>0</v>
      </c>
      <c r="T8" s="1432">
        <f t="shared" si="5"/>
        <v>0</v>
      </c>
      <c r="U8" s="798"/>
      <c r="V8" s="799"/>
      <c r="W8" s="799"/>
      <c r="X8" s="1257"/>
      <c r="Y8" s="800"/>
      <c r="Z8" s="80"/>
      <c r="AA8" s="73"/>
      <c r="AB8" s="73"/>
      <c r="AC8" s="1257"/>
      <c r="AD8" s="81"/>
      <c r="AE8" s="1258">
        <f t="shared" ca="1" si="6"/>
        <v>0</v>
      </c>
      <c r="AF8" s="1794"/>
      <c r="AG8" s="146">
        <f t="shared" si="7"/>
        <v>0</v>
      </c>
      <c r="AH8" s="801"/>
      <c r="AI8" s="84"/>
      <c r="AJ8" s="85"/>
      <c r="AK8" s="802"/>
      <c r="AL8" s="803"/>
      <c r="AM8" s="804"/>
      <c r="AN8" s="2293"/>
      <c r="AO8" s="55" t="e">
        <f t="shared" ca="1" si="8"/>
        <v>#REF!</v>
      </c>
      <c r="AP8" s="2294">
        <f t="shared" si="9"/>
        <v>0</v>
      </c>
      <c r="AQ8" s="55">
        <f t="shared" si="10"/>
        <v>0</v>
      </c>
      <c r="AR8" s="55">
        <f t="shared" si="11"/>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20" customFormat="1" ht="14.25">
      <c r="A9" s="2290">
        <f>'数据-汇总表'!C22</f>
        <v>0</v>
      </c>
      <c r="B9" s="2291" t="str">
        <f t="shared" si="2"/>
        <v/>
      </c>
      <c r="C9" s="2292"/>
      <c r="D9" s="1047">
        <f>SUMIF(项目基本情况!D$12:I$12,C9,项目基本情况!D$14:I$14)</f>
        <v>0</v>
      </c>
      <c r="E9" s="1044" t="str">
        <f>IF(B9="","",SUMIF(项目基本情况!D$12:I$12,C9,项目基本情况!D$13:I$13))</f>
        <v/>
      </c>
      <c r="F9" s="71">
        <f>SUMIF(项目基本情况!D$12:I$12,C9,项目基本情况!D$15:I$15)</f>
        <v>0</v>
      </c>
      <c r="G9" s="72">
        <f t="shared" si="0"/>
        <v>0</v>
      </c>
      <c r="H9" s="73"/>
      <c r="I9" s="73"/>
      <c r="J9" s="73"/>
      <c r="K9" s="1247">
        <f>SUMIF('数据-汇总表'!C$19:C$33,A9,'数据-汇总表'!E$19:E$33)</f>
        <v>0</v>
      </c>
      <c r="L9" s="796"/>
      <c r="M9" s="74">
        <f t="shared" si="1"/>
        <v>0</v>
      </c>
      <c r="N9" s="794"/>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32">
        <f t="shared" si="5"/>
        <v>0</v>
      </c>
      <c r="U9" s="77"/>
      <c r="V9" s="78"/>
      <c r="W9" s="78"/>
      <c r="X9" s="1257"/>
      <c r="Y9" s="79"/>
      <c r="Z9" s="80"/>
      <c r="AA9" s="73"/>
      <c r="AB9" s="73"/>
      <c r="AC9" s="1257"/>
      <c r="AD9" s="81"/>
      <c r="AE9" s="1258">
        <f t="shared" ca="1" si="6"/>
        <v>0</v>
      </c>
      <c r="AF9" s="1794"/>
      <c r="AG9" s="146">
        <f t="shared" si="7"/>
        <v>0</v>
      </c>
      <c r="AH9" s="82"/>
      <c r="AI9" s="84"/>
      <c r="AJ9" s="85"/>
      <c r="AK9" s="86"/>
      <c r="AL9" s="87"/>
      <c r="AM9" s="88"/>
      <c r="AN9" s="2293"/>
      <c r="AO9" s="55" t="e">
        <f t="shared" ca="1" si="8"/>
        <v>#REF!</v>
      </c>
      <c r="AP9" s="2294">
        <f t="shared" si="9"/>
        <v>0</v>
      </c>
      <c r="AQ9" s="55">
        <f t="shared" si="10"/>
        <v>0</v>
      </c>
      <c r="AR9" s="55">
        <f t="shared" si="11"/>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20" customFormat="1" ht="14.25">
      <c r="A10" s="2290">
        <f>'数据-汇总表'!C23</f>
        <v>0</v>
      </c>
      <c r="B10" s="2291" t="str">
        <f t="shared" si="2"/>
        <v/>
      </c>
      <c r="C10" s="2292"/>
      <c r="D10" s="1047">
        <f>SUMIF(项目基本情况!D$12:I$12,C10,项目基本情况!D$14:I$14)</f>
        <v>0</v>
      </c>
      <c r="E10" s="1044" t="str">
        <f>IF(B10="","",SUMIF(项目基本情况!D$12:I$12,C10,项目基本情况!D$13:I$13))</f>
        <v/>
      </c>
      <c r="F10" s="71">
        <f>SUMIF(项目基本情况!D$12:I$12,C10,项目基本情况!D$15:I$15)</f>
        <v>0</v>
      </c>
      <c r="G10" s="72">
        <f t="shared" si="0"/>
        <v>0</v>
      </c>
      <c r="H10" s="73"/>
      <c r="I10" s="73"/>
      <c r="J10" s="73"/>
      <c r="K10" s="1247">
        <f>SUMIF('数据-汇总表'!C$19:C$33,A10,'数据-汇总表'!E$19:E$33)</f>
        <v>0</v>
      </c>
      <c r="L10" s="796"/>
      <c r="M10" s="74">
        <f t="shared" si="1"/>
        <v>0</v>
      </c>
      <c r="N10" s="794"/>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32">
        <f t="shared" si="5"/>
        <v>0</v>
      </c>
      <c r="U10" s="77"/>
      <c r="V10" s="78"/>
      <c r="W10" s="78"/>
      <c r="X10" s="1257"/>
      <c r="Y10" s="79"/>
      <c r="Z10" s="80"/>
      <c r="AA10" s="73"/>
      <c r="AB10" s="73"/>
      <c r="AC10" s="1257"/>
      <c r="AD10" s="81"/>
      <c r="AE10" s="1258">
        <f t="shared" ca="1" si="6"/>
        <v>0</v>
      </c>
      <c r="AF10" s="1794"/>
      <c r="AG10" s="146">
        <f t="shared" si="7"/>
        <v>0</v>
      </c>
      <c r="AH10" s="82"/>
      <c r="AI10" s="84"/>
      <c r="AJ10" s="85"/>
      <c r="AK10" s="86"/>
      <c r="AL10" s="87"/>
      <c r="AM10" s="88"/>
      <c r="AN10" s="2293"/>
      <c r="AO10" s="55" t="e">
        <f t="shared" ca="1" si="8"/>
        <v>#REF!</v>
      </c>
      <c r="AP10" s="2294">
        <f t="shared" si="9"/>
        <v>0</v>
      </c>
      <c r="AQ10" s="55">
        <f t="shared" si="10"/>
        <v>0</v>
      </c>
      <c r="AR10" s="55">
        <f t="shared" si="11"/>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20" customFormat="1" ht="14.25">
      <c r="A11" s="2290">
        <f>'数据-汇总表'!C24</f>
        <v>0</v>
      </c>
      <c r="B11" s="2291" t="str">
        <f t="shared" si="2"/>
        <v/>
      </c>
      <c r="C11" s="2292"/>
      <c r="D11" s="1047">
        <f>SUMIF(项目基本情况!D$12:I$12,C11,项目基本情况!D$14:I$14)</f>
        <v>0</v>
      </c>
      <c r="E11" s="1044" t="str">
        <f>IF(B11="","",SUMIF(项目基本情况!D$12:I$12,C11,项目基本情况!D$13:I$13))</f>
        <v/>
      </c>
      <c r="F11" s="71">
        <f>SUMIF(项目基本情况!D$12:I$12,C11,项目基本情况!D$15:I$15)</f>
        <v>0</v>
      </c>
      <c r="G11" s="72">
        <f t="shared" si="0"/>
        <v>0</v>
      </c>
      <c r="H11" s="73"/>
      <c r="I11" s="73"/>
      <c r="J11" s="73"/>
      <c r="K11" s="1247">
        <f>SUMIF('数据-汇总表'!C$19:C$33,A11,'数据-汇总表'!E$19:E$33)</f>
        <v>0</v>
      </c>
      <c r="L11" s="90"/>
      <c r="M11" s="74">
        <f t="shared" si="1"/>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32">
        <f t="shared" si="5"/>
        <v>0</v>
      </c>
      <c r="U11" s="82"/>
      <c r="V11" s="73"/>
      <c r="W11" s="73"/>
      <c r="X11" s="1257"/>
      <c r="Y11" s="79"/>
      <c r="Z11" s="92"/>
      <c r="AA11" s="73"/>
      <c r="AB11" s="73"/>
      <c r="AC11" s="1257"/>
      <c r="AD11" s="81"/>
      <c r="AE11" s="1258">
        <f t="shared" ca="1" si="6"/>
        <v>0</v>
      </c>
      <c r="AF11" s="1794"/>
      <c r="AG11" s="146">
        <f t="shared" si="7"/>
        <v>0</v>
      </c>
      <c r="AH11" s="82"/>
      <c r="AI11" s="84"/>
      <c r="AJ11" s="85"/>
      <c r="AK11" s="93"/>
      <c r="AL11" s="94"/>
      <c r="AM11" s="95"/>
      <c r="AN11" s="2293"/>
      <c r="AO11" s="55" t="e">
        <f t="shared" ca="1" si="8"/>
        <v>#REF!</v>
      </c>
      <c r="AP11" s="2294">
        <f t="shared" si="9"/>
        <v>0</v>
      </c>
      <c r="AQ11" s="55">
        <f t="shared" si="10"/>
        <v>0</v>
      </c>
      <c r="AR11" s="55">
        <f t="shared" si="11"/>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20" customFormat="1" ht="14.25">
      <c r="A12" s="2290">
        <f>'数据-汇总表'!C25</f>
        <v>0</v>
      </c>
      <c r="B12" s="2291" t="str">
        <f t="shared" si="2"/>
        <v/>
      </c>
      <c r="C12" s="2292"/>
      <c r="D12" s="1047">
        <f>SUMIF(项目基本情况!D$12:I$12,C12,项目基本情况!D$14:I$14)</f>
        <v>0</v>
      </c>
      <c r="E12" s="1044" t="str">
        <f>IF(B12="","",SUMIF(项目基本情况!D$12:I$12,C12,项目基本情况!D$13:I$13))</f>
        <v/>
      </c>
      <c r="F12" s="71">
        <f>SUMIF(项目基本情况!D$12:I$12,C12,项目基本情况!D$15:I$15)</f>
        <v>0</v>
      </c>
      <c r="G12" s="72">
        <f t="shared" si="0"/>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2">
        <f t="shared" si="5"/>
        <v>0</v>
      </c>
      <c r="U12" s="82"/>
      <c r="V12" s="73"/>
      <c r="W12" s="73"/>
      <c r="X12" s="1257"/>
      <c r="Y12" s="79"/>
      <c r="Z12" s="92"/>
      <c r="AA12" s="73"/>
      <c r="AB12" s="73"/>
      <c r="AC12" s="1257"/>
      <c r="AD12" s="81"/>
      <c r="AE12" s="1258">
        <f t="shared" ca="1" si="6"/>
        <v>0</v>
      </c>
      <c r="AF12" s="1794"/>
      <c r="AG12" s="146">
        <f t="shared" si="7"/>
        <v>0</v>
      </c>
      <c r="AH12" s="82"/>
      <c r="AI12" s="84"/>
      <c r="AJ12" s="85"/>
      <c r="AK12" s="93"/>
      <c r="AL12" s="94"/>
      <c r="AM12" s="95"/>
      <c r="AN12" s="2293"/>
      <c r="AO12" s="55" t="e">
        <f t="shared" ca="1" si="8"/>
        <v>#REF!</v>
      </c>
      <c r="AP12" s="2294">
        <f t="shared" si="9"/>
        <v>0</v>
      </c>
      <c r="AQ12" s="55">
        <f t="shared" si="10"/>
        <v>0</v>
      </c>
      <c r="AR12" s="55">
        <f t="shared" si="11"/>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20" customFormat="1" ht="14.25">
      <c r="A13" s="2290">
        <f>'数据-汇总表'!C26</f>
        <v>0</v>
      </c>
      <c r="B13" s="2291" t="str">
        <f t="shared" si="2"/>
        <v/>
      </c>
      <c r="C13" s="2292"/>
      <c r="D13" s="1047">
        <f>SUMIF(项目基本情况!D$12:I$12,C13,项目基本情况!D$14:I$14)</f>
        <v>0</v>
      </c>
      <c r="E13" s="1044" t="str">
        <f>IF(B13="","",SUMIF(项目基本情况!D$12:I$12,C13,项目基本情况!D$13:I$13))</f>
        <v/>
      </c>
      <c r="F13" s="71">
        <f>SUMIF(项目基本情况!D$12:I$12,C13,项目基本情况!D$15:I$15)</f>
        <v>0</v>
      </c>
      <c r="G13" s="72">
        <f t="shared" si="0"/>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2">
        <f t="shared" si="5"/>
        <v>0</v>
      </c>
      <c r="U13" s="77"/>
      <c r="V13" s="78"/>
      <c r="W13" s="78"/>
      <c r="X13" s="1257"/>
      <c r="Y13" s="79"/>
      <c r="Z13" s="80"/>
      <c r="AA13" s="73"/>
      <c r="AB13" s="73"/>
      <c r="AC13" s="1257"/>
      <c r="AD13" s="81"/>
      <c r="AE13" s="1258">
        <f t="shared" ca="1" si="6"/>
        <v>0</v>
      </c>
      <c r="AF13" s="1794"/>
      <c r="AG13" s="146">
        <f t="shared" si="7"/>
        <v>0</v>
      </c>
      <c r="AH13" s="82"/>
      <c r="AI13" s="84"/>
      <c r="AJ13" s="85"/>
      <c r="AK13" s="86"/>
      <c r="AL13" s="87"/>
      <c r="AM13" s="88"/>
      <c r="AN13" s="2293"/>
      <c r="AO13" s="55" t="e">
        <f t="shared" ca="1" si="8"/>
        <v>#REF!</v>
      </c>
      <c r="AP13" s="2294">
        <f t="shared" si="9"/>
        <v>0</v>
      </c>
      <c r="AQ13" s="55">
        <f t="shared" si="10"/>
        <v>0</v>
      </c>
      <c r="AR13" s="55">
        <f t="shared" si="11"/>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20" customFormat="1" ht="14.25">
      <c r="A14" s="2295" t="s">
        <v>2007</v>
      </c>
      <c r="B14" s="2291" t="s">
        <v>2008</v>
      </c>
      <c r="C14" s="2296" t="s">
        <v>2007</v>
      </c>
      <c r="D14" s="1047"/>
      <c r="E14" s="1044"/>
      <c r="F14" s="71"/>
      <c r="G14" s="72"/>
      <c r="H14" s="1246"/>
      <c r="I14" s="1246"/>
      <c r="J14" s="1246"/>
      <c r="K14" s="1247">
        <f>SUMIF('数据-汇总表'!C$19:C$33,A14,'数据-汇总表'!E$19:E$33)</f>
        <v>0</v>
      </c>
      <c r="L14" s="90"/>
      <c r="M14" s="74">
        <f t="shared" si="1"/>
        <v>0</v>
      </c>
      <c r="N14" s="91"/>
      <c r="O14" s="74" t="str">
        <f t="shared" si="3"/>
        <v>——</v>
      </c>
      <c r="P14" s="75" t="str">
        <f t="shared" si="4"/>
        <v>——</v>
      </c>
      <c r="Q14" s="1250"/>
      <c r="R14" s="76"/>
      <c r="S14" s="54"/>
      <c r="T14" s="1432"/>
      <c r="U14" s="716"/>
      <c r="V14" s="1252"/>
      <c r="W14" s="1252"/>
      <c r="X14" s="1253"/>
      <c r="Y14" s="1254"/>
      <c r="Z14" s="1255"/>
      <c r="AA14" s="1256"/>
      <c r="AB14" s="1256"/>
      <c r="AC14" s="1257"/>
      <c r="AD14" s="1253"/>
      <c r="AE14" s="1258"/>
      <c r="AF14" s="55"/>
      <c r="AG14" s="146"/>
      <c r="AH14" s="1258"/>
      <c r="AI14" s="1805"/>
      <c r="AJ14" s="766"/>
      <c r="AK14" s="1259"/>
      <c r="AL14" s="1260"/>
      <c r="AM14" s="1261"/>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20" customFormat="1" ht="27">
      <c r="A15" s="2295" t="s">
        <v>2009</v>
      </c>
      <c r="B15" s="2291" t="s">
        <v>2008</v>
      </c>
      <c r="C15" s="2296" t="s">
        <v>2010</v>
      </c>
      <c r="D15" s="1047"/>
      <c r="E15" s="1044"/>
      <c r="F15" s="71"/>
      <c r="G15" s="72"/>
      <c r="H15" s="1246"/>
      <c r="I15" s="1246"/>
      <c r="J15" s="1246"/>
      <c r="K15" s="1247">
        <f>SUMIF('数据-汇总表'!C$19:C$33,A15,'数据-汇总表'!E$19:E$33)</f>
        <v>0</v>
      </c>
      <c r="L15" s="1248"/>
      <c r="M15" s="74"/>
      <c r="N15" s="1249"/>
      <c r="O15" s="74"/>
      <c r="P15" s="75"/>
      <c r="Q15" s="1250"/>
      <c r="R15" s="76"/>
      <c r="S15" s="54"/>
      <c r="T15" s="1432"/>
      <c r="U15" s="716"/>
      <c r="V15" s="1252"/>
      <c r="W15" s="1252"/>
      <c r="X15" s="1253"/>
      <c r="Y15" s="1254"/>
      <c r="Z15" s="1255"/>
      <c r="AA15" s="1256"/>
      <c r="AB15" s="1256"/>
      <c r="AC15" s="1257"/>
      <c r="AD15" s="1253"/>
      <c r="AE15" s="1258"/>
      <c r="AF15" s="55"/>
      <c r="AG15" s="146"/>
      <c r="AH15" s="1258"/>
      <c r="AI15" s="1805"/>
      <c r="AJ15" s="766"/>
      <c r="AK15" s="1259"/>
      <c r="AL15" s="1260"/>
      <c r="AM15" s="1261"/>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20" customFormat="1" ht="15.75" thickBot="1">
      <c r="A16" s="2297" t="s">
        <v>2011</v>
      </c>
      <c r="B16" s="96"/>
      <c r="C16" s="1001"/>
      <c r="D16" s="2298"/>
      <c r="E16" s="96"/>
      <c r="F16" s="96"/>
      <c r="G16" s="97">
        <f>ROUND(SUMPRODUCT(G6:G13,K6:K13)/SUMPRODUCT((G6:G13&gt;0)*(K6:K13)),3)</f>
        <v>0.85799999999999998</v>
      </c>
      <c r="H16" s="98">
        <f>ROUND(SUMPRODUCT(H6:H13,K6:K13)/SUMPRODUCT((H6:H13&gt;0)*(K6:K13)),3)</f>
        <v>4.4999999999999998E-2</v>
      </c>
      <c r="I16" s="99"/>
      <c r="J16" s="99"/>
      <c r="K16" s="100">
        <f>SUM(K6:K15)</f>
        <v>49.61</v>
      </c>
      <c r="L16" s="101">
        <f>ROUND(M16*10000/SUM(K6:K14),0)</f>
        <v>2217</v>
      </c>
      <c r="M16" s="101">
        <f>SUM(M6:M14)</f>
        <v>11</v>
      </c>
      <c r="N16" s="102">
        <f>ROUND(SUMPRODUCT(M6:M14,N6:N14)/M16,3)</f>
        <v>0.97</v>
      </c>
      <c r="O16" s="101">
        <f>SUM(O6:O14)</f>
        <v>0</v>
      </c>
      <c r="P16" s="101">
        <f>SUM(P6:P14)</f>
        <v>0</v>
      </c>
      <c r="Q16" s="103">
        <f>ROUND(SUMPRODUCT(Q6:Q13,K6:K13)/SUMPRODUCT((Q6:Q13&gt;0)*(K6:K13)),2)</f>
        <v>0.25</v>
      </c>
      <c r="R16" s="1251">
        <f ca="1">SUM(R6:R13)</f>
        <v>8.7100000000000009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25"/>
      <c r="C17" s="1571"/>
      <c r="D17" s="2257"/>
      <c r="E17" s="2257"/>
      <c r="F17" s="1571"/>
      <c r="G17" s="1571"/>
      <c r="H17" s="1571"/>
      <c r="I17" s="1571"/>
      <c r="J17" s="1571"/>
      <c r="K17" s="168"/>
      <c r="L17" s="168"/>
      <c r="M17" s="1571"/>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c r="AL17" s="1571"/>
      <c r="AM17" s="1571"/>
    </row>
    <row r="18" spans="1:67" ht="15" thickBot="1">
      <c r="A18" s="67" t="s">
        <v>2012</v>
      </c>
      <c r="B18" s="2264"/>
      <c r="C18" s="2261"/>
      <c r="D18" s="2262"/>
      <c r="E18" s="2261"/>
      <c r="F18" s="2261"/>
      <c r="G18" s="2261"/>
      <c r="H18" s="2261"/>
      <c r="I18" s="2261"/>
      <c r="J18" s="2261"/>
      <c r="K18" s="168"/>
      <c r="L18" s="168"/>
      <c r="M18" s="1571"/>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c r="AL18" s="1571"/>
      <c r="AM18" s="1571"/>
    </row>
    <row r="19" spans="1:67" ht="14.25">
      <c r="A19" s="2300" t="s">
        <v>2013</v>
      </c>
      <c r="B19" s="111">
        <v>0</v>
      </c>
      <c r="C19" s="2261" t="s">
        <v>2014</v>
      </c>
      <c r="D19" s="2262"/>
      <c r="E19" s="2261"/>
      <c r="F19" s="2261"/>
      <c r="G19" s="2261"/>
      <c r="H19" s="2261"/>
      <c r="I19" s="2261"/>
      <c r="J19" s="2261"/>
      <c r="K19" s="168"/>
      <c r="L19" s="168"/>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c r="AM19" s="1571"/>
    </row>
    <row r="20" spans="1:67" ht="14.25">
      <c r="A20" s="2301" t="s">
        <v>2015</v>
      </c>
      <c r="B20" s="112">
        <v>2.5</v>
      </c>
      <c r="C20" s="2261" t="s">
        <v>2016</v>
      </c>
      <c r="D20" s="2262"/>
      <c r="E20" s="2261"/>
      <c r="F20" s="2261"/>
      <c r="G20" s="2261"/>
      <c r="H20" s="2261"/>
      <c r="I20" s="2261"/>
      <c r="J20" s="2261"/>
      <c r="K20" s="168"/>
      <c r="L20" s="168"/>
      <c r="M20" s="1571"/>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c r="AL20" s="1571"/>
      <c r="AM20" s="1571"/>
    </row>
    <row r="21" spans="1:67" ht="14.25">
      <c r="A21" s="2302" t="s">
        <v>2017</v>
      </c>
      <c r="B21" s="112">
        <v>2.5</v>
      </c>
      <c r="C21" s="2261"/>
      <c r="D21" s="2262"/>
      <c r="E21" s="2261"/>
      <c r="F21" s="2261"/>
      <c r="G21" s="2261"/>
      <c r="H21" s="2261"/>
      <c r="I21" s="2261"/>
      <c r="J21" s="2261"/>
      <c r="K21" s="168"/>
      <c r="L21" s="168"/>
      <c r="M21" s="1571"/>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c r="AL21" s="1571"/>
      <c r="AM21" s="1571"/>
    </row>
    <row r="22" spans="1:67" ht="14.25">
      <c r="A22" s="2301" t="s">
        <v>2018</v>
      </c>
      <c r="B22" s="113">
        <f>B19+B20</f>
        <v>2.5</v>
      </c>
      <c r="C22" s="2261"/>
      <c r="D22" s="2262"/>
      <c r="E22" s="2261"/>
      <c r="F22" s="2261"/>
      <c r="G22" s="2261"/>
      <c r="H22" s="2261"/>
      <c r="I22" s="2261"/>
      <c r="J22" s="2261"/>
      <c r="K22" s="168"/>
      <c r="L22" s="168"/>
      <c r="M22" s="1571"/>
      <c r="N22" s="1571"/>
      <c r="O22" s="1571"/>
      <c r="P22" s="1571"/>
      <c r="Q22" s="1571"/>
      <c r="R22" s="1571"/>
      <c r="S22" s="1571"/>
      <c r="T22" s="1571"/>
      <c r="U22" s="1571"/>
      <c r="V22" s="1571"/>
      <c r="W22" s="1571"/>
      <c r="X22" s="1571"/>
      <c r="Y22" s="1571"/>
      <c r="Z22" s="1571"/>
      <c r="AA22" s="1571"/>
      <c r="AB22" s="1571"/>
      <c r="AC22" s="1571"/>
      <c r="AD22" s="1571"/>
      <c r="AE22" s="1571"/>
      <c r="AF22" s="1571"/>
      <c r="AG22" s="1571"/>
      <c r="AH22" s="1571"/>
      <c r="AI22" s="1571"/>
      <c r="AJ22" s="1571"/>
      <c r="AK22" s="1571"/>
      <c r="AL22" s="1571"/>
      <c r="AM22" s="1571"/>
    </row>
    <row r="23" spans="1:67" ht="14.25">
      <c r="A23" s="2302" t="s">
        <v>2019</v>
      </c>
      <c r="B23" s="113">
        <f>B19+B21</f>
        <v>2.5</v>
      </c>
      <c r="C23" s="2261"/>
      <c r="D23" s="2262"/>
      <c r="E23" s="2261"/>
      <c r="F23" s="2261"/>
      <c r="G23" s="2261"/>
      <c r="H23" s="2261"/>
      <c r="I23" s="2261"/>
      <c r="J23" s="2261"/>
      <c r="K23" s="168"/>
      <c r="L23" s="168"/>
      <c r="M23" s="1571"/>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c r="AL23" s="1571"/>
      <c r="AM23" s="1571"/>
    </row>
    <row r="24" spans="1:67" ht="15" thickBot="1">
      <c r="A24" s="2303" t="s">
        <v>2020</v>
      </c>
      <c r="B24" s="114">
        <f>B20-B21</f>
        <v>0</v>
      </c>
      <c r="C24" s="2261"/>
      <c r="D24" s="2262"/>
      <c r="E24" s="2261"/>
      <c r="F24" s="2261"/>
      <c r="G24" s="2261"/>
      <c r="H24" s="2261"/>
      <c r="I24" s="2261"/>
      <c r="J24" s="2261"/>
      <c r="K24" s="168"/>
      <c r="L24" s="168"/>
      <c r="M24" s="1571"/>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c r="AL24" s="1571"/>
      <c r="AM24" s="1571"/>
    </row>
    <row r="25" spans="1:67" ht="15" thickBot="1">
      <c r="A25" s="2018"/>
      <c r="B25" s="2264"/>
      <c r="C25" s="2261"/>
      <c r="D25" s="2262"/>
      <c r="E25" s="2261"/>
      <c r="F25" s="2261"/>
      <c r="G25" s="2261"/>
      <c r="H25" s="2261"/>
      <c r="I25" s="2261"/>
      <c r="J25" s="2261"/>
      <c r="K25" s="168"/>
      <c r="L25" s="168"/>
      <c r="M25" s="1571"/>
      <c r="N25" s="1571"/>
      <c r="O25" s="1571"/>
      <c r="P25" s="1571"/>
      <c r="Q25" s="1571"/>
      <c r="R25" s="1571"/>
      <c r="S25" s="1571"/>
      <c r="T25" s="1571"/>
      <c r="U25" s="1571"/>
      <c r="V25" s="1571"/>
      <c r="W25" s="1571"/>
      <c r="X25" s="1571"/>
      <c r="Y25" s="1571"/>
      <c r="Z25" s="1571"/>
      <c r="AA25" s="1571"/>
      <c r="AB25" s="1571"/>
      <c r="AC25" s="1571"/>
      <c r="AD25" s="1571"/>
      <c r="AE25" s="1571"/>
      <c r="AF25" s="1571"/>
      <c r="AG25" s="1571"/>
      <c r="AH25" s="1571"/>
      <c r="AI25" s="1571"/>
      <c r="AJ25" s="1571"/>
      <c r="AK25" s="1571"/>
      <c r="AL25" s="1571"/>
      <c r="AM25" s="1571"/>
    </row>
    <row r="26" spans="1:67" ht="15" thickBot="1">
      <c r="A26" s="2260" t="s">
        <v>2021</v>
      </c>
      <c r="B26" s="2304" t="s">
        <v>2022</v>
      </c>
      <c r="C26" s="2305" t="s">
        <v>2023</v>
      </c>
      <c r="D26" s="2262"/>
      <c r="E26" s="2261"/>
      <c r="F26" s="2261"/>
      <c r="G26" s="2261"/>
      <c r="H26" s="2261"/>
      <c r="I26" s="2261"/>
      <c r="J26" s="2261"/>
      <c r="K26" s="168"/>
      <c r="L26" s="168"/>
      <c r="M26" s="1571"/>
      <c r="N26" s="1571"/>
      <c r="O26" s="1571"/>
      <c r="P26" s="1571"/>
      <c r="Q26" s="1571"/>
      <c r="R26" s="1571"/>
      <c r="S26" s="1571"/>
      <c r="T26" s="1571"/>
      <c r="U26" s="1571"/>
      <c r="V26" s="1571"/>
      <c r="W26" s="1571"/>
      <c r="X26" s="1571"/>
      <c r="Y26" s="1571"/>
      <c r="Z26" s="1571"/>
      <c r="AA26" s="1571"/>
      <c r="AB26" s="1571"/>
      <c r="AC26" s="1571"/>
      <c r="AD26" s="1571"/>
      <c r="AE26" s="1571"/>
      <c r="AF26" s="1571"/>
      <c r="AG26" s="1571"/>
      <c r="AH26" s="1571"/>
      <c r="AI26" s="1571"/>
      <c r="AJ26" s="1571"/>
      <c r="AK26" s="1571"/>
      <c r="AL26" s="1571"/>
      <c r="AM26" s="1571"/>
    </row>
    <row r="27" spans="1:67" s="2308" customFormat="1" ht="27.75">
      <c r="A27" s="2306" t="s">
        <v>2024</v>
      </c>
      <c r="B27" s="115">
        <f>ROUND(150*0.7,0)</f>
        <v>105</v>
      </c>
      <c r="C27" s="1754" t="s">
        <v>2025</v>
      </c>
      <c r="D27" s="2307"/>
      <c r="E27" s="1416"/>
      <c r="F27" s="1416"/>
      <c r="G27" s="2261"/>
      <c r="H27" s="2261"/>
      <c r="I27" s="2261"/>
      <c r="J27" s="2261"/>
      <c r="K27" s="168"/>
      <c r="L27" s="168"/>
      <c r="M27" s="1571"/>
      <c r="N27" s="1571"/>
      <c r="O27" s="1571"/>
      <c r="P27" s="1571"/>
      <c r="Q27" s="1571"/>
      <c r="R27" s="1571"/>
      <c r="S27" s="1571"/>
      <c r="T27" s="1571"/>
      <c r="U27" s="1571"/>
      <c r="V27" s="1571"/>
      <c r="W27" s="1571"/>
      <c r="X27" s="1571"/>
      <c r="Y27" s="1571"/>
      <c r="Z27" s="1571"/>
      <c r="AA27" s="1571"/>
      <c r="AB27" s="1571"/>
      <c r="AC27" s="1571"/>
      <c r="AD27" s="1571"/>
      <c r="AE27" s="1571"/>
      <c r="AF27" s="1571"/>
      <c r="AG27" s="1571"/>
      <c r="AH27" s="1571"/>
      <c r="AI27" s="1571"/>
      <c r="AJ27" s="1571"/>
      <c r="AK27" s="1571"/>
      <c r="AL27" s="1571"/>
      <c r="AM27" s="1571"/>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08" customFormat="1" ht="27.75">
      <c r="A28" s="2309" t="s">
        <v>2026</v>
      </c>
      <c r="B28" s="118">
        <f>ROUND(220*0.7,0)</f>
        <v>154</v>
      </c>
      <c r="C28" s="2310"/>
      <c r="D28" s="2307"/>
      <c r="E28" s="1416"/>
      <c r="F28" s="1416"/>
      <c r="G28" s="2261"/>
      <c r="H28" s="2261"/>
      <c r="I28" s="2261"/>
      <c r="J28" s="2261"/>
      <c r="K28" s="168"/>
      <c r="L28" s="168"/>
      <c r="M28" s="1571"/>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c r="AL28" s="1571"/>
      <c r="AM28" s="1571"/>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08" customFormat="1" ht="28.5" thickBot="1">
      <c r="A29" s="2311" t="s">
        <v>2027</v>
      </c>
      <c r="B29" s="120"/>
      <c r="C29" s="1754" t="s">
        <v>2028</v>
      </c>
      <c r="D29" s="2307"/>
      <c r="E29" s="1416"/>
      <c r="F29" s="1416"/>
      <c r="G29" s="2261"/>
      <c r="H29" s="2261"/>
      <c r="I29" s="2261"/>
      <c r="J29" s="2261"/>
      <c r="K29" s="168"/>
      <c r="L29" s="168"/>
      <c r="M29" s="1571"/>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c r="AL29" s="1571"/>
      <c r="AM29" s="1571"/>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08" customFormat="1" ht="27">
      <c r="A30" s="2312" t="s">
        <v>2029</v>
      </c>
      <c r="B30" s="717">
        <v>200</v>
      </c>
      <c r="C30" s="2310"/>
      <c r="D30" s="2307"/>
      <c r="E30" s="1416"/>
      <c r="F30" s="1416"/>
      <c r="G30" s="2261"/>
      <c r="H30" s="2261"/>
      <c r="I30" s="2261"/>
      <c r="J30" s="2261"/>
      <c r="K30" s="168"/>
      <c r="L30" s="168"/>
      <c r="M30" s="1571"/>
      <c r="N30" s="1571"/>
      <c r="O30" s="1571"/>
      <c r="P30" s="1571"/>
      <c r="Q30" s="1571"/>
      <c r="R30" s="1571"/>
      <c r="S30" s="1571"/>
      <c r="T30" s="1571"/>
      <c r="U30" s="1571"/>
      <c r="V30" s="1571"/>
      <c r="W30" s="1571"/>
      <c r="X30" s="1571"/>
      <c r="Y30" s="1571"/>
      <c r="Z30" s="1571"/>
      <c r="AA30" s="1571"/>
      <c r="AB30" s="1571"/>
      <c r="AC30" s="1571"/>
      <c r="AD30" s="1571"/>
      <c r="AE30" s="1571"/>
      <c r="AF30" s="1571"/>
      <c r="AG30" s="1571"/>
      <c r="AH30" s="1571"/>
      <c r="AI30" s="1571"/>
      <c r="AJ30" s="1571"/>
      <c r="AK30" s="1571"/>
      <c r="AL30" s="1571"/>
      <c r="AM30" s="1571"/>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08" customFormat="1" ht="27">
      <c r="A31" s="2309" t="s">
        <v>2030</v>
      </c>
      <c r="B31" s="119">
        <f>B30-B32</f>
        <v>200</v>
      </c>
      <c r="C31" s="1754"/>
      <c r="D31" s="2307"/>
      <c r="E31" s="1416"/>
      <c r="F31" s="1416"/>
      <c r="G31" s="2261"/>
      <c r="H31" s="2261"/>
      <c r="I31" s="2261"/>
      <c r="J31" s="2261"/>
      <c r="K31" s="168"/>
      <c r="L31" s="168"/>
      <c r="M31" s="1571"/>
      <c r="N31" s="1571"/>
      <c r="O31" s="1571"/>
      <c r="P31" s="1571"/>
      <c r="Q31" s="1571"/>
      <c r="R31" s="1571"/>
      <c r="S31" s="1571"/>
      <c r="T31" s="1571"/>
      <c r="U31" s="1571"/>
      <c r="V31" s="1571"/>
      <c r="W31" s="1571"/>
      <c r="X31" s="1571"/>
      <c r="Y31" s="1571"/>
      <c r="Z31" s="1571"/>
      <c r="AA31" s="1571"/>
      <c r="AB31" s="1571"/>
      <c r="AC31" s="1571"/>
      <c r="AD31" s="1571"/>
      <c r="AE31" s="1571"/>
      <c r="AF31" s="1571"/>
      <c r="AG31" s="1571"/>
      <c r="AH31" s="1571"/>
      <c r="AI31" s="1571"/>
      <c r="AJ31" s="1571"/>
      <c r="AK31" s="1571"/>
      <c r="AL31" s="1571"/>
      <c r="AM31" s="1571"/>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08" customFormat="1" ht="27.75" thickBot="1">
      <c r="A32" s="2313" t="s">
        <v>2031</v>
      </c>
      <c r="B32" s="718">
        <v>0</v>
      </c>
      <c r="C32" s="2310"/>
      <c r="D32" s="2262"/>
      <c r="E32" s="2261"/>
      <c r="F32" s="2261"/>
      <c r="G32" s="2261"/>
      <c r="H32" s="2261"/>
      <c r="I32" s="2261"/>
      <c r="J32" s="2261"/>
      <c r="K32" s="168"/>
      <c r="L32" s="168"/>
      <c r="M32" s="1571"/>
      <c r="N32" s="1571"/>
      <c r="O32" s="1571"/>
      <c r="P32" s="1571"/>
      <c r="Q32" s="1571"/>
      <c r="R32" s="1571"/>
      <c r="S32" s="1571"/>
      <c r="T32" s="1571"/>
      <c r="U32" s="1571"/>
      <c r="V32" s="1571"/>
      <c r="W32" s="1571"/>
      <c r="X32" s="1571"/>
      <c r="Y32" s="1571"/>
      <c r="Z32" s="1571"/>
      <c r="AA32" s="1571"/>
      <c r="AB32" s="1571"/>
      <c r="AC32" s="1571"/>
      <c r="AD32" s="1571"/>
      <c r="AE32" s="1571"/>
      <c r="AF32" s="1571"/>
      <c r="AG32" s="1571"/>
      <c r="AH32" s="1571"/>
      <c r="AI32" s="1571"/>
      <c r="AJ32" s="1571"/>
      <c r="AK32" s="1571"/>
      <c r="AL32" s="1571"/>
      <c r="AM32" s="1571"/>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08" customFormat="1" ht="14.25">
      <c r="A33" s="2306" t="s">
        <v>2032</v>
      </c>
      <c r="B33" s="719">
        <v>0.03</v>
      </c>
      <c r="C33" s="1753" t="s">
        <v>2033</v>
      </c>
      <c r="D33" s="2262"/>
      <c r="E33" s="2261"/>
      <c r="F33" s="2261"/>
      <c r="G33" s="2261"/>
      <c r="H33" s="2261"/>
      <c r="I33" s="2261"/>
      <c r="J33" s="2261"/>
      <c r="K33" s="168"/>
      <c r="L33" s="168"/>
      <c r="M33" s="1571"/>
      <c r="N33" s="1571"/>
      <c r="O33" s="1571"/>
      <c r="P33" s="1571"/>
      <c r="Q33" s="1571"/>
      <c r="R33" s="1571"/>
      <c r="S33" s="1571"/>
      <c r="T33" s="1571"/>
      <c r="U33" s="1571"/>
      <c r="V33" s="1571"/>
      <c r="W33" s="1571"/>
      <c r="X33" s="1571"/>
      <c r="Y33" s="1571"/>
      <c r="Z33" s="1571"/>
      <c r="AA33" s="1571"/>
      <c r="AB33" s="1571"/>
      <c r="AC33" s="1571"/>
      <c r="AD33" s="1571"/>
      <c r="AE33" s="1571"/>
      <c r="AF33" s="1571"/>
      <c r="AG33" s="1571"/>
      <c r="AH33" s="1571"/>
      <c r="AI33" s="1571"/>
      <c r="AJ33" s="1571"/>
      <c r="AK33" s="1571"/>
      <c r="AL33" s="1571"/>
      <c r="AM33" s="1571"/>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08" customFormat="1" ht="14.25">
      <c r="A34" s="2309" t="s">
        <v>2034</v>
      </c>
      <c r="B34" s="121">
        <v>0.05</v>
      </c>
      <c r="C34" s="1753" t="s">
        <v>2035</v>
      </c>
      <c r="D34" s="2262" t="s">
        <v>2036</v>
      </c>
      <c r="E34" s="725"/>
      <c r="F34" s="2261"/>
      <c r="G34" s="2261"/>
      <c r="H34" s="2261"/>
      <c r="I34" s="2261"/>
      <c r="J34" s="2261"/>
      <c r="K34" s="168"/>
      <c r="L34" s="168"/>
      <c r="M34" s="1571"/>
      <c r="N34" s="1571"/>
      <c r="O34" s="1571"/>
      <c r="P34" s="1571"/>
      <c r="Q34" s="1571"/>
      <c r="R34" s="1571"/>
      <c r="S34" s="1571"/>
      <c r="T34" s="1571"/>
      <c r="U34" s="1571"/>
      <c r="V34" s="1571"/>
      <c r="W34" s="1571"/>
      <c r="X34" s="1571"/>
      <c r="Y34" s="1571"/>
      <c r="Z34" s="1571"/>
      <c r="AA34" s="1571"/>
      <c r="AB34" s="1571"/>
      <c r="AC34" s="1571"/>
      <c r="AD34" s="1571"/>
      <c r="AE34" s="1571"/>
      <c r="AF34" s="1571"/>
      <c r="AG34" s="1571"/>
      <c r="AH34" s="1571"/>
      <c r="AI34" s="1571"/>
      <c r="AJ34" s="1571"/>
      <c r="AK34" s="1571"/>
      <c r="AL34" s="1571"/>
      <c r="AM34" s="1571"/>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08" customFormat="1" ht="14.25">
      <c r="A35" s="2309" t="s">
        <v>2037</v>
      </c>
      <c r="B35" s="118">
        <v>200</v>
      </c>
      <c r="C35" s="1753" t="s">
        <v>2038</v>
      </c>
      <c r="D35" s="2307"/>
      <c r="E35" s="1416"/>
      <c r="F35" s="1416"/>
      <c r="G35" s="2261"/>
      <c r="H35" s="2261"/>
      <c r="I35" s="2261"/>
      <c r="J35" s="2261"/>
      <c r="K35" s="168"/>
      <c r="L35" s="168"/>
      <c r="M35" s="1571"/>
      <c r="N35" s="1571"/>
      <c r="O35" s="1571"/>
      <c r="P35" s="1571"/>
      <c r="Q35" s="1571"/>
      <c r="R35" s="1571"/>
      <c r="S35" s="1571"/>
      <c r="T35" s="1571"/>
      <c r="U35" s="1571"/>
      <c r="V35" s="1571"/>
      <c r="W35" s="1571"/>
      <c r="X35" s="1571"/>
      <c r="Y35" s="1571"/>
      <c r="Z35" s="1571"/>
      <c r="AA35" s="1571"/>
      <c r="AB35" s="1571"/>
      <c r="AC35" s="1571"/>
      <c r="AD35" s="1571"/>
      <c r="AE35" s="1571"/>
      <c r="AF35" s="1571"/>
      <c r="AG35" s="1571"/>
      <c r="AH35" s="1571"/>
      <c r="AI35" s="1571"/>
      <c r="AJ35" s="1571"/>
      <c r="AK35" s="1571"/>
      <c r="AL35" s="1571"/>
      <c r="AM35" s="1571"/>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1" t="s">
        <v>2039</v>
      </c>
      <c r="B36" s="122">
        <v>1.4999999999999999E-2</v>
      </c>
      <c r="C36" s="1753" t="s">
        <v>2040</v>
      </c>
      <c r="D36" s="2262"/>
      <c r="E36" s="2261"/>
      <c r="F36" s="2261"/>
      <c r="G36" s="2261"/>
      <c r="H36" s="2261"/>
      <c r="I36" s="2261"/>
      <c r="J36" s="2261"/>
      <c r="K36" s="168"/>
      <c r="L36" s="168"/>
      <c r="M36" s="1571"/>
      <c r="N36" s="1571"/>
      <c r="O36" s="1571"/>
      <c r="P36" s="1571"/>
      <c r="Q36" s="1571"/>
      <c r="R36" s="1571"/>
      <c r="S36" s="1571"/>
      <c r="T36" s="1571"/>
      <c r="U36" s="1571"/>
      <c r="V36" s="1571"/>
      <c r="W36" s="1571"/>
      <c r="X36" s="1571"/>
      <c r="Y36" s="1571"/>
      <c r="Z36" s="1571"/>
      <c r="AA36" s="1571"/>
      <c r="AB36" s="1571"/>
      <c r="AC36" s="1571"/>
      <c r="AD36" s="1571"/>
      <c r="AE36" s="1571"/>
      <c r="AF36" s="1571"/>
      <c r="AG36" s="1571"/>
      <c r="AH36" s="1571"/>
      <c r="AI36" s="1571"/>
      <c r="AJ36" s="1571"/>
      <c r="AK36" s="1571"/>
      <c r="AL36" s="1571"/>
      <c r="AM36" s="1571"/>
    </row>
    <row r="37" spans="1:67" ht="14.25">
      <c r="A37" s="2312" t="s">
        <v>2041</v>
      </c>
      <c r="B37" s="123">
        <v>0.02</v>
      </c>
      <c r="C37" s="1753" t="s">
        <v>2042</v>
      </c>
      <c r="D37" s="2262"/>
      <c r="E37" s="2261"/>
      <c r="F37" s="2261"/>
      <c r="G37" s="2261"/>
      <c r="H37" s="2261"/>
      <c r="I37" s="2261"/>
      <c r="J37" s="2261"/>
      <c r="K37" s="168"/>
      <c r="L37" s="168"/>
      <c r="M37" s="1571"/>
      <c r="N37" s="1571"/>
      <c r="O37" s="1571"/>
      <c r="P37" s="1571"/>
      <c r="Q37" s="1571"/>
      <c r="R37" s="1571"/>
      <c r="S37" s="1571"/>
      <c r="T37" s="1571"/>
      <c r="U37" s="1571"/>
      <c r="V37" s="1571"/>
      <c r="W37" s="1571"/>
      <c r="X37" s="1571"/>
      <c r="Y37" s="1571"/>
      <c r="Z37" s="1571"/>
      <c r="AA37" s="1571"/>
      <c r="AB37" s="1571"/>
      <c r="AC37" s="1571"/>
      <c r="AD37" s="1571"/>
      <c r="AE37" s="1571"/>
      <c r="AF37" s="1571"/>
      <c r="AG37" s="1571"/>
      <c r="AH37" s="1571"/>
      <c r="AI37" s="1571"/>
      <c r="AJ37" s="1571"/>
      <c r="AK37" s="1571"/>
      <c r="AL37" s="1571"/>
      <c r="AM37" s="1571"/>
    </row>
    <row r="38" spans="1:67" ht="14.25">
      <c r="A38" s="2309" t="s">
        <v>2043</v>
      </c>
      <c r="B38" s="121">
        <v>0.02</v>
      </c>
      <c r="C38" s="1753" t="s">
        <v>2042</v>
      </c>
      <c r="D38" s="2262"/>
      <c r="E38" s="2261"/>
      <c r="F38" s="2261"/>
      <c r="G38" s="2261"/>
      <c r="H38" s="2261"/>
      <c r="I38" s="2261"/>
      <c r="J38" s="2261"/>
      <c r="K38" s="168"/>
      <c r="L38" s="168"/>
      <c r="M38" s="1571"/>
      <c r="N38" s="1571"/>
      <c r="O38" s="1571"/>
      <c r="P38" s="1571"/>
      <c r="Q38" s="1571"/>
      <c r="R38" s="1571"/>
      <c r="S38" s="1571"/>
      <c r="T38" s="1571"/>
      <c r="U38" s="1571"/>
      <c r="V38" s="1571"/>
      <c r="W38" s="1571"/>
      <c r="X38" s="1571"/>
      <c r="Y38" s="1571"/>
      <c r="Z38" s="1571"/>
      <c r="AA38" s="1571"/>
      <c r="AB38" s="1571"/>
      <c r="AC38" s="1571"/>
      <c r="AD38" s="1571"/>
      <c r="AE38" s="1571"/>
      <c r="AF38" s="1571"/>
      <c r="AG38" s="1571"/>
      <c r="AH38" s="1571"/>
      <c r="AI38" s="1571"/>
      <c r="AJ38" s="1571"/>
      <c r="AK38" s="1571"/>
      <c r="AL38" s="1571"/>
      <c r="AM38" s="1571"/>
    </row>
    <row r="39" spans="1:67" ht="14.25">
      <c r="A39" s="2313" t="s">
        <v>2044</v>
      </c>
      <c r="B39" s="362">
        <f ca="1">存贷款利率!I1</f>
        <v>1.4999999999999999E-2</v>
      </c>
      <c r="C39" s="1753"/>
      <c r="D39" s="2262"/>
      <c r="E39" s="2261"/>
      <c r="F39" s="2261"/>
      <c r="G39" s="2261"/>
      <c r="H39" s="2261"/>
      <c r="I39" s="2261"/>
      <c r="J39" s="2261"/>
      <c r="K39" s="168"/>
      <c r="L39" s="168"/>
      <c r="M39" s="1571"/>
      <c r="N39" s="1571"/>
      <c r="O39" s="1571"/>
      <c r="P39" s="1571"/>
      <c r="Q39" s="1571"/>
      <c r="R39" s="1571"/>
      <c r="S39" s="1571"/>
      <c r="T39" s="1571"/>
      <c r="U39" s="1571"/>
      <c r="V39" s="1571"/>
      <c r="W39" s="1571"/>
      <c r="X39" s="1571"/>
      <c r="Y39" s="1571"/>
      <c r="Z39" s="1571"/>
      <c r="AA39" s="1571"/>
      <c r="AB39" s="1571"/>
      <c r="AC39" s="1571"/>
      <c r="AD39" s="1571"/>
      <c r="AE39" s="1571"/>
      <c r="AF39" s="1571"/>
      <c r="AG39" s="1571"/>
      <c r="AH39" s="1571"/>
      <c r="AI39" s="1571"/>
      <c r="AJ39" s="1571"/>
      <c r="AK39" s="1571"/>
      <c r="AL39" s="1571"/>
      <c r="AM39" s="1571"/>
    </row>
    <row r="40" spans="1:67" ht="15" thickBot="1">
      <c r="A40" s="2313" t="s">
        <v>2045</v>
      </c>
      <c r="B40" s="1294">
        <f ca="1">存贷款利率!G1</f>
        <v>4.7500000000000001E-2</v>
      </c>
      <c r="C40" s="1753" t="s">
        <v>2046</v>
      </c>
      <c r="D40" s="1571"/>
      <c r="E40" s="2262"/>
      <c r="F40" s="2261"/>
      <c r="G40" s="2261"/>
      <c r="H40" s="2261"/>
      <c r="I40" s="2261"/>
      <c r="J40" s="2261"/>
      <c r="K40" s="168"/>
      <c r="L40" s="168"/>
      <c r="M40" s="1571"/>
      <c r="N40" s="1571"/>
      <c r="O40" s="1571"/>
      <c r="P40" s="1571"/>
      <c r="Q40" s="1571"/>
      <c r="R40" s="1571"/>
      <c r="S40" s="1571"/>
      <c r="T40" s="1571"/>
      <c r="U40" s="1571"/>
      <c r="V40" s="1571"/>
      <c r="W40" s="1571"/>
      <c r="X40" s="1571"/>
      <c r="Y40" s="1571"/>
      <c r="Z40" s="1571"/>
      <c r="AA40" s="1571"/>
      <c r="AB40" s="1571"/>
      <c r="AC40" s="1571"/>
      <c r="AD40" s="1571"/>
      <c r="AE40" s="1571"/>
      <c r="AF40" s="1571"/>
      <c r="AG40" s="1571"/>
      <c r="AH40" s="1571"/>
      <c r="AI40" s="1571"/>
      <c r="AJ40" s="1571"/>
      <c r="AK40" s="1571"/>
      <c r="AL40" s="1571"/>
      <c r="AM40" s="1571"/>
    </row>
    <row r="41" spans="1:67" ht="14.25">
      <c r="A41" s="2306" t="s">
        <v>2047</v>
      </c>
      <c r="B41" s="124">
        <f>B42+B43</f>
        <v>6.2719999999999998E-2</v>
      </c>
      <c r="C41" s="1754"/>
      <c r="D41" s="1571"/>
      <c r="E41" s="2262"/>
      <c r="F41" s="2261"/>
      <c r="G41" s="2261"/>
      <c r="H41" s="2261"/>
      <c r="I41" s="2261"/>
      <c r="J41" s="2261"/>
      <c r="K41" s="168"/>
      <c r="L41" s="168"/>
      <c r="M41" s="1571"/>
      <c r="N41" s="1571"/>
      <c r="O41" s="1571"/>
      <c r="P41" s="1571"/>
      <c r="Q41" s="1571"/>
      <c r="R41" s="1571"/>
      <c r="S41" s="1571"/>
      <c r="T41" s="1571"/>
      <c r="U41" s="1571"/>
      <c r="V41" s="1571"/>
      <c r="W41" s="1571"/>
      <c r="X41" s="1571"/>
      <c r="Y41" s="1571"/>
      <c r="Z41" s="1571"/>
      <c r="AA41" s="1571"/>
      <c r="AB41" s="1571"/>
      <c r="AC41" s="1571"/>
      <c r="AD41" s="1571"/>
      <c r="AE41" s="1571"/>
      <c r="AF41" s="1571"/>
      <c r="AG41" s="1571"/>
      <c r="AH41" s="1571"/>
      <c r="AI41" s="1571"/>
      <c r="AJ41" s="1571"/>
      <c r="AK41" s="1571"/>
      <c r="AL41" s="1571"/>
      <c r="AM41" s="1571"/>
    </row>
    <row r="42" spans="1:67" ht="14.25">
      <c r="A42" s="2314" t="s">
        <v>2048</v>
      </c>
      <c r="B42" s="125">
        <v>5.6000000000000001E-2</v>
      </c>
      <c r="C42" s="2315">
        <f>IF(B2&lt;DATE(2016,5,1),0,B42)</f>
        <v>5.6000000000000001E-2</v>
      </c>
      <c r="D42" s="2262"/>
      <c r="E42" s="2261"/>
      <c r="F42" s="2261"/>
      <c r="G42" s="2261"/>
      <c r="H42" s="2261"/>
      <c r="I42" s="2261"/>
      <c r="J42" s="2261"/>
      <c r="K42" s="168"/>
      <c r="L42" s="168"/>
      <c r="M42" s="1571"/>
      <c r="N42" s="1571"/>
      <c r="O42" s="1571"/>
      <c r="P42" s="1571"/>
      <c r="Q42" s="1571"/>
      <c r="R42" s="1571"/>
      <c r="S42" s="1571"/>
      <c r="T42" s="1571"/>
      <c r="U42" s="1571"/>
      <c r="V42" s="1571"/>
      <c r="W42" s="1571"/>
      <c r="X42" s="1571"/>
      <c r="Y42" s="1571"/>
      <c r="Z42" s="1571"/>
      <c r="AA42" s="1571"/>
      <c r="AB42" s="1571"/>
      <c r="AC42" s="1571"/>
      <c r="AD42" s="1571"/>
      <c r="AE42" s="1571"/>
      <c r="AF42" s="1571"/>
      <c r="AG42" s="1571"/>
      <c r="AH42" s="1571"/>
      <c r="AI42" s="1571"/>
      <c r="AJ42" s="1571"/>
      <c r="AK42" s="1571"/>
      <c r="AL42" s="1571"/>
      <c r="AM42" s="1571"/>
    </row>
    <row r="43" spans="1:67" ht="14.25">
      <c r="A43" s="2314" t="s">
        <v>2049</v>
      </c>
      <c r="B43" s="126">
        <f>B42*(B44+B45+B46)+B47</f>
        <v>6.7200000000000003E-3</v>
      </c>
      <c r="C43" s="1754"/>
      <c r="D43" s="2262"/>
      <c r="E43" s="2261"/>
      <c r="F43" s="2261"/>
      <c r="G43" s="2261"/>
      <c r="H43" s="2261"/>
      <c r="I43" s="2261"/>
      <c r="J43" s="2261"/>
      <c r="K43" s="168"/>
      <c r="L43" s="168"/>
      <c r="M43" s="1571"/>
      <c r="N43" s="1571"/>
      <c r="O43" s="1571"/>
      <c r="P43" s="1571"/>
      <c r="Q43" s="1571"/>
      <c r="R43" s="1571"/>
      <c r="S43" s="1571"/>
      <c r="T43" s="1571"/>
      <c r="U43" s="1571"/>
      <c r="V43" s="1571"/>
      <c r="W43" s="1571"/>
      <c r="X43" s="1571"/>
      <c r="Y43" s="1571"/>
      <c r="Z43" s="1571"/>
      <c r="AA43" s="1571"/>
      <c r="AB43" s="1571"/>
      <c r="AC43" s="1571"/>
      <c r="AD43" s="1571"/>
      <c r="AE43" s="1571"/>
      <c r="AF43" s="1571"/>
      <c r="AG43" s="1571"/>
      <c r="AH43" s="1571"/>
      <c r="AI43" s="1571"/>
      <c r="AJ43" s="1571"/>
      <c r="AK43" s="1571"/>
      <c r="AL43" s="1571"/>
      <c r="AM43" s="1571"/>
    </row>
    <row r="44" spans="1:67" ht="14.25">
      <c r="A44" s="2316" t="s">
        <v>2050</v>
      </c>
      <c r="B44" s="127">
        <v>7.0000000000000007E-2</v>
      </c>
      <c r="C44" s="1753" t="s">
        <v>2051</v>
      </c>
      <c r="D44" s="2262"/>
      <c r="E44" s="2261"/>
      <c r="F44" s="2261"/>
      <c r="G44" s="2261"/>
      <c r="H44" s="2261"/>
      <c r="I44" s="2261"/>
      <c r="J44" s="2261"/>
      <c r="K44" s="168"/>
      <c r="L44" s="168"/>
      <c r="M44" s="1571"/>
      <c r="N44" s="1571"/>
      <c r="O44" s="1571"/>
      <c r="P44" s="1571"/>
      <c r="Q44" s="1571"/>
      <c r="R44" s="1571"/>
      <c r="S44" s="1571"/>
      <c r="T44" s="1571"/>
      <c r="U44" s="1571"/>
      <c r="V44" s="1571"/>
      <c r="W44" s="1571"/>
      <c r="X44" s="1571"/>
      <c r="Y44" s="1571"/>
      <c r="Z44" s="1571"/>
      <c r="AA44" s="1571"/>
      <c r="AB44" s="1571"/>
      <c r="AC44" s="1571"/>
      <c r="AD44" s="1571"/>
      <c r="AE44" s="1571"/>
      <c r="AF44" s="1571"/>
      <c r="AG44" s="1571"/>
      <c r="AH44" s="1571"/>
      <c r="AI44" s="1571"/>
      <c r="AJ44" s="1571"/>
      <c r="AK44" s="1571"/>
      <c r="AL44" s="1571"/>
      <c r="AM44" s="1571"/>
    </row>
    <row r="45" spans="1:67" ht="14.25">
      <c r="A45" s="2316" t="s">
        <v>2052</v>
      </c>
      <c r="B45" s="125">
        <v>0.03</v>
      </c>
      <c r="C45" s="1754" t="s">
        <v>2053</v>
      </c>
      <c r="D45" s="2262"/>
      <c r="E45" s="2261"/>
      <c r="F45" s="2261"/>
      <c r="G45" s="2261"/>
      <c r="H45" s="2261"/>
      <c r="I45" s="2261"/>
      <c r="J45" s="2261"/>
      <c r="K45" s="168"/>
      <c r="L45" s="168"/>
      <c r="M45" s="1571"/>
      <c r="N45" s="1571"/>
      <c r="O45" s="1571"/>
      <c r="P45" s="1571"/>
      <c r="Q45" s="1571"/>
      <c r="R45" s="1571"/>
      <c r="S45" s="1571"/>
      <c r="T45" s="1571"/>
      <c r="U45" s="1571"/>
      <c r="V45" s="1571"/>
      <c r="W45" s="1571"/>
      <c r="X45" s="1571"/>
      <c r="Y45" s="1571"/>
      <c r="Z45" s="1571"/>
      <c r="AA45" s="1571"/>
      <c r="AB45" s="1571"/>
      <c r="AC45" s="1571"/>
      <c r="AD45" s="1571"/>
      <c r="AE45" s="1571"/>
      <c r="AF45" s="1571"/>
      <c r="AG45" s="1571"/>
      <c r="AH45" s="1571"/>
      <c r="AI45" s="1571"/>
      <c r="AJ45" s="1571"/>
      <c r="AK45" s="1571"/>
      <c r="AL45" s="1571"/>
      <c r="AM45" s="1571"/>
    </row>
    <row r="46" spans="1:67" ht="14.25">
      <c r="A46" s="2316" t="s">
        <v>2054</v>
      </c>
      <c r="B46" s="125">
        <v>0.02</v>
      </c>
      <c r="C46" s="1754" t="s">
        <v>2055</v>
      </c>
      <c r="D46" s="2262"/>
      <c r="E46" s="2261"/>
      <c r="F46" s="2261"/>
      <c r="G46" s="2261"/>
      <c r="H46" s="2261"/>
      <c r="I46" s="2261"/>
      <c r="J46" s="2261"/>
      <c r="K46" s="168"/>
      <c r="L46" s="168"/>
      <c r="M46" s="1571"/>
      <c r="N46" s="1571"/>
      <c r="O46" s="1571"/>
      <c r="P46" s="1571"/>
      <c r="Q46" s="1571"/>
      <c r="R46" s="1571"/>
      <c r="S46" s="1571"/>
      <c r="T46" s="1571"/>
      <c r="U46" s="1571"/>
      <c r="V46" s="1571"/>
      <c r="W46" s="1571"/>
      <c r="X46" s="1571"/>
      <c r="Y46" s="1571"/>
      <c r="Z46" s="1571"/>
      <c r="AA46" s="1571"/>
      <c r="AB46" s="1571"/>
      <c r="AC46" s="1571"/>
      <c r="AD46" s="1571"/>
      <c r="AE46" s="1571"/>
      <c r="AF46" s="1571"/>
      <c r="AG46" s="1571"/>
      <c r="AH46" s="1571"/>
      <c r="AI46" s="1571"/>
      <c r="AJ46" s="1571"/>
      <c r="AK46" s="1571"/>
      <c r="AL46" s="1571"/>
      <c r="AM46" s="1571"/>
    </row>
    <row r="47" spans="1:67" ht="15" thickBot="1">
      <c r="A47" s="2317" t="s">
        <v>2056</v>
      </c>
      <c r="B47" s="128"/>
      <c r="C47" s="1754" t="s">
        <v>2057</v>
      </c>
      <c r="D47" s="2262"/>
      <c r="E47" s="2261"/>
      <c r="F47" s="2261"/>
      <c r="G47" s="2261"/>
      <c r="H47" s="2261"/>
      <c r="I47" s="2261"/>
      <c r="J47" s="2261"/>
      <c r="K47" s="168"/>
      <c r="L47" s="168"/>
      <c r="M47" s="1571"/>
      <c r="N47" s="1571"/>
      <c r="O47" s="1571"/>
      <c r="P47" s="1571"/>
      <c r="Q47" s="1571"/>
      <c r="R47" s="1571"/>
      <c r="S47" s="1571"/>
      <c r="T47" s="1571"/>
      <c r="U47" s="1571"/>
      <c r="V47" s="1571"/>
      <c r="W47" s="1571"/>
      <c r="X47" s="1571"/>
      <c r="Y47" s="1571"/>
      <c r="Z47" s="1571"/>
      <c r="AA47" s="1571"/>
      <c r="AB47" s="1571"/>
      <c r="AC47" s="1571"/>
      <c r="AD47" s="1571"/>
      <c r="AE47" s="1571"/>
      <c r="AF47" s="1571"/>
      <c r="AG47" s="1571"/>
      <c r="AH47" s="1571"/>
      <c r="AI47" s="1571"/>
      <c r="AJ47" s="1571"/>
      <c r="AK47" s="1571"/>
      <c r="AL47" s="1571"/>
      <c r="AM47" s="1571"/>
    </row>
    <row r="48" spans="1:67" ht="14.25">
      <c r="A48" s="2318" t="s">
        <v>2058</v>
      </c>
      <c r="B48" s="129">
        <v>0.03</v>
      </c>
      <c r="C48" s="1761" t="s">
        <v>2059</v>
      </c>
      <c r="D48" s="2262"/>
      <c r="E48" s="2261"/>
      <c r="F48" s="2261"/>
      <c r="G48" s="2261"/>
      <c r="H48" s="2261"/>
      <c r="I48" s="2261"/>
      <c r="J48" s="2261"/>
      <c r="K48" s="168"/>
      <c r="L48" s="168"/>
      <c r="M48" s="1571"/>
      <c r="N48" s="1571"/>
      <c r="O48" s="1571"/>
      <c r="P48" s="1571"/>
      <c r="Q48" s="1571"/>
      <c r="R48" s="1571"/>
      <c r="S48" s="1571"/>
      <c r="T48" s="1571"/>
      <c r="U48" s="1571"/>
      <c r="V48" s="1571"/>
      <c r="W48" s="1571"/>
      <c r="X48" s="1571"/>
      <c r="Y48" s="1571"/>
      <c r="Z48" s="1571"/>
      <c r="AA48" s="1571"/>
      <c r="AB48" s="1571"/>
      <c r="AC48" s="1571"/>
      <c r="AD48" s="1571"/>
      <c r="AE48" s="1571"/>
      <c r="AF48" s="1571"/>
      <c r="AG48" s="1571"/>
      <c r="AH48" s="1571"/>
      <c r="AI48" s="1571"/>
      <c r="AJ48" s="1571"/>
      <c r="AK48" s="1571"/>
      <c r="AL48" s="1571"/>
      <c r="AM48" s="1571"/>
    </row>
    <row r="49" spans="1:39" ht="15" thickBot="1">
      <c r="A49" s="2313" t="s">
        <v>2060</v>
      </c>
      <c r="B49" s="125">
        <v>5.0000000000000001E-4</v>
      </c>
      <c r="C49" s="1761" t="s">
        <v>2061</v>
      </c>
      <c r="D49" s="2262"/>
      <c r="E49" s="2261"/>
      <c r="F49" s="2261"/>
      <c r="G49" s="2261"/>
      <c r="H49" s="2261"/>
      <c r="I49" s="2261"/>
      <c r="J49" s="2261"/>
      <c r="K49" s="168"/>
      <c r="L49" s="168"/>
      <c r="M49" s="1571"/>
      <c r="N49" s="1571"/>
      <c r="O49" s="1571"/>
      <c r="P49" s="1571"/>
      <c r="Q49" s="1571"/>
      <c r="R49" s="1571"/>
      <c r="S49" s="1571"/>
      <c r="T49" s="1571"/>
      <c r="U49" s="1571"/>
      <c r="V49" s="1571"/>
      <c r="W49" s="1571"/>
      <c r="X49" s="1571"/>
      <c r="Y49" s="1571"/>
      <c r="Z49" s="1571"/>
      <c r="AA49" s="1571"/>
      <c r="AB49" s="1571"/>
      <c r="AC49" s="1571"/>
      <c r="AD49" s="1571"/>
      <c r="AE49" s="1571"/>
      <c r="AF49" s="1571"/>
      <c r="AG49" s="1571"/>
      <c r="AH49" s="1571"/>
      <c r="AI49" s="1571"/>
      <c r="AJ49" s="1571"/>
      <c r="AK49" s="1571"/>
      <c r="AL49" s="1571"/>
      <c r="AM49" s="1571"/>
    </row>
    <row r="50" spans="1:39" ht="14.25">
      <c r="A50" s="2319" t="s">
        <v>2062</v>
      </c>
      <c r="B50" s="130">
        <v>1.2E-2</v>
      </c>
      <c r="C50" s="1416"/>
      <c r="D50" s="2262"/>
      <c r="E50" s="2261"/>
      <c r="F50" s="2261"/>
      <c r="G50" s="2261"/>
      <c r="H50" s="2261"/>
      <c r="I50" s="2261"/>
      <c r="J50" s="2261"/>
      <c r="K50" s="168"/>
      <c r="L50" s="168"/>
      <c r="M50" s="1571"/>
      <c r="N50" s="1571"/>
      <c r="O50" s="1571"/>
      <c r="P50" s="1571"/>
      <c r="Q50" s="1571"/>
      <c r="R50" s="1571"/>
      <c r="S50" s="1571"/>
      <c r="T50" s="1571"/>
      <c r="U50" s="1571"/>
      <c r="V50" s="1571"/>
      <c r="W50" s="1571"/>
      <c r="X50" s="1571"/>
      <c r="Y50" s="1571"/>
      <c r="Z50" s="1571"/>
      <c r="AA50" s="1571"/>
      <c r="AB50" s="1571"/>
      <c r="AC50" s="1571"/>
      <c r="AD50" s="1571"/>
      <c r="AE50" s="1571"/>
      <c r="AF50" s="1571"/>
      <c r="AG50" s="1571"/>
      <c r="AH50" s="1571"/>
      <c r="AI50" s="1571"/>
      <c r="AJ50" s="1571"/>
      <c r="AK50" s="1571"/>
      <c r="AL50" s="1571"/>
      <c r="AM50" s="1571"/>
    </row>
    <row r="51" spans="1:39" ht="15" thickBot="1">
      <c r="A51" s="2311" t="s">
        <v>2063</v>
      </c>
      <c r="B51" s="131">
        <v>0.12</v>
      </c>
      <c r="C51" s="1416"/>
      <c r="D51" s="2262"/>
      <c r="E51" s="2261"/>
      <c r="F51" s="2261"/>
      <c r="G51" s="2261"/>
      <c r="H51" s="2261"/>
      <c r="I51" s="2261"/>
      <c r="J51" s="2261"/>
      <c r="K51" s="168"/>
      <c r="L51" s="168"/>
      <c r="M51" s="1571"/>
      <c r="N51" s="1571"/>
      <c r="O51" s="1571"/>
      <c r="P51" s="1571"/>
      <c r="Q51" s="1571"/>
      <c r="R51" s="1571"/>
      <c r="S51" s="1571"/>
      <c r="T51" s="1571"/>
      <c r="U51" s="1571"/>
      <c r="V51" s="1571"/>
      <c r="W51" s="1571"/>
      <c r="X51" s="1571"/>
      <c r="Y51" s="1571"/>
      <c r="Z51" s="1571"/>
      <c r="AA51" s="1571"/>
      <c r="AB51" s="1571"/>
      <c r="AC51" s="1571"/>
      <c r="AD51" s="1571"/>
      <c r="AE51" s="1571"/>
      <c r="AF51" s="1571"/>
      <c r="AG51" s="1571"/>
      <c r="AH51" s="1571"/>
      <c r="AI51" s="1571"/>
      <c r="AJ51" s="1571"/>
      <c r="AK51" s="1571"/>
      <c r="AL51" s="1571"/>
      <c r="AM51" s="1571"/>
    </row>
    <row r="52" spans="1:39" ht="14.25">
      <c r="A52" s="2319" t="s">
        <v>2064</v>
      </c>
      <c r="B52" s="132">
        <f>SUMIF(A54:A63,B53,B54:B63)</f>
        <v>10</v>
      </c>
      <c r="C52" s="1416"/>
      <c r="D52" s="2262"/>
      <c r="E52" s="2261"/>
      <c r="F52" s="2261"/>
      <c r="G52" s="2261"/>
      <c r="H52" s="2261"/>
      <c r="I52" s="2261"/>
      <c r="J52" s="2261"/>
      <c r="K52" s="168"/>
      <c r="L52" s="168"/>
      <c r="M52" s="1571"/>
      <c r="N52" s="1571"/>
      <c r="O52" s="1571"/>
      <c r="P52" s="1571"/>
      <c r="Q52" s="1571"/>
      <c r="R52" s="1571"/>
      <c r="S52" s="1571"/>
      <c r="T52" s="1571"/>
      <c r="U52" s="1571"/>
      <c r="V52" s="1571"/>
      <c r="W52" s="1571"/>
      <c r="X52" s="1571"/>
      <c r="Y52" s="1571"/>
      <c r="Z52" s="1571"/>
      <c r="AA52" s="1571"/>
      <c r="AB52" s="1571"/>
      <c r="AC52" s="1571"/>
      <c r="AD52" s="1571"/>
      <c r="AE52" s="1571"/>
      <c r="AF52" s="1571"/>
      <c r="AG52" s="1571"/>
      <c r="AH52" s="1571"/>
      <c r="AI52" s="1571"/>
      <c r="AJ52" s="1571"/>
      <c r="AK52" s="1571"/>
      <c r="AL52" s="1571"/>
      <c r="AM52" s="1571"/>
    </row>
    <row r="53" spans="1:39" ht="27">
      <c r="A53" s="2309" t="s">
        <v>2065</v>
      </c>
      <c r="B53" s="2320" t="s">
        <v>3068</v>
      </c>
      <c r="C53" s="1416" t="s">
        <v>2066</v>
      </c>
      <c r="D53" s="2321" t="s">
        <v>2067</v>
      </c>
      <c r="E53" s="2261"/>
      <c r="F53" s="2261"/>
      <c r="G53" s="2261"/>
      <c r="H53" s="2261"/>
      <c r="I53" s="2261"/>
      <c r="J53" s="2261"/>
      <c r="K53" s="168"/>
      <c r="L53" s="168"/>
      <c r="M53" s="1571"/>
      <c r="N53" s="1571"/>
      <c r="O53" s="1571"/>
      <c r="P53" s="1571"/>
      <c r="Q53" s="1571"/>
      <c r="R53" s="1571"/>
      <c r="S53" s="1571"/>
      <c r="T53" s="1571"/>
      <c r="U53" s="1571"/>
      <c r="V53" s="1571"/>
      <c r="W53" s="1571"/>
      <c r="X53" s="1571"/>
      <c r="Y53" s="1571"/>
      <c r="Z53" s="1571"/>
      <c r="AA53" s="1571"/>
      <c r="AB53" s="1571"/>
      <c r="AC53" s="1571"/>
      <c r="AD53" s="1571"/>
      <c r="AE53" s="1571"/>
      <c r="AF53" s="1571"/>
      <c r="AG53" s="1571"/>
      <c r="AH53" s="1571"/>
      <c r="AI53" s="1571"/>
      <c r="AJ53" s="1571"/>
      <c r="AK53" s="1571"/>
      <c r="AL53" s="1571"/>
      <c r="AM53" s="1571"/>
    </row>
    <row r="54" spans="1:39" ht="14.25">
      <c r="A54" s="2322" t="s">
        <v>2068</v>
      </c>
      <c r="B54" s="83"/>
      <c r="C54" s="1416">
        <v>30</v>
      </c>
      <c r="D54" s="2262"/>
      <c r="E54" s="2261"/>
      <c r="F54" s="2261"/>
      <c r="G54" s="2261"/>
      <c r="H54" s="2261"/>
      <c r="I54" s="2261"/>
      <c r="J54" s="2261"/>
      <c r="K54" s="168"/>
      <c r="L54" s="168"/>
      <c r="M54" s="1571"/>
      <c r="N54" s="1571"/>
      <c r="O54" s="1571"/>
      <c r="P54" s="1571"/>
      <c r="Q54" s="1571"/>
      <c r="R54" s="1571"/>
      <c r="S54" s="1571"/>
      <c r="T54" s="1571"/>
      <c r="U54" s="1571"/>
      <c r="V54" s="1571"/>
      <c r="W54" s="1571"/>
      <c r="X54" s="1571"/>
      <c r="Y54" s="1571"/>
      <c r="Z54" s="1571"/>
      <c r="AA54" s="1571"/>
      <c r="AB54" s="1571"/>
      <c r="AC54" s="1571"/>
      <c r="AD54" s="1571"/>
      <c r="AE54" s="1571"/>
      <c r="AF54" s="1571"/>
      <c r="AG54" s="1571"/>
      <c r="AH54" s="1571"/>
      <c r="AI54" s="1571"/>
      <c r="AJ54" s="1571"/>
      <c r="AK54" s="1571"/>
      <c r="AL54" s="1571"/>
      <c r="AM54" s="1571"/>
    </row>
    <row r="55" spans="1:39" ht="14.25">
      <c r="A55" s="2923" t="s">
        <v>3069</v>
      </c>
      <c r="B55" s="83">
        <v>10</v>
      </c>
      <c r="C55" s="1416">
        <v>24</v>
      </c>
      <c r="D55" s="2262"/>
      <c r="E55" s="2261"/>
      <c r="F55" s="2261"/>
      <c r="G55" s="2261"/>
      <c r="H55" s="2261"/>
      <c r="I55" s="2323"/>
      <c r="J55" s="2261"/>
      <c r="K55" s="168"/>
      <c r="L55" s="168"/>
      <c r="M55" s="1571"/>
      <c r="N55" s="1571"/>
      <c r="O55" s="1571"/>
      <c r="P55" s="1571"/>
      <c r="Q55" s="1571"/>
      <c r="R55" s="1571"/>
      <c r="S55" s="1571"/>
      <c r="T55" s="1571"/>
      <c r="U55" s="1571"/>
      <c r="V55" s="1571"/>
      <c r="W55" s="1571"/>
      <c r="X55" s="1571"/>
      <c r="Y55" s="1571"/>
      <c r="Z55" s="1571"/>
      <c r="AA55" s="1571"/>
      <c r="AB55" s="1571"/>
      <c r="AC55" s="1571"/>
      <c r="AD55" s="1571"/>
      <c r="AE55" s="1571"/>
      <c r="AF55" s="1571"/>
      <c r="AG55" s="1571"/>
      <c r="AH55" s="1571"/>
      <c r="AI55" s="1571"/>
      <c r="AJ55" s="1571"/>
      <c r="AK55" s="1571"/>
      <c r="AL55" s="1571"/>
      <c r="AM55" s="1571"/>
    </row>
    <row r="56" spans="1:39" ht="14.25">
      <c r="A56" s="2322" t="s">
        <v>2069</v>
      </c>
      <c r="B56" s="83"/>
      <c r="C56" s="1416">
        <v>18</v>
      </c>
      <c r="D56" s="2262"/>
      <c r="E56" s="2261"/>
      <c r="F56" s="2261"/>
      <c r="G56" s="2261"/>
      <c r="H56" s="2261"/>
      <c r="I56" s="2261"/>
      <c r="J56" s="2261"/>
      <c r="K56" s="168"/>
      <c r="L56" s="168"/>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1"/>
      <c r="AI56" s="1571"/>
      <c r="AJ56" s="1571"/>
      <c r="AK56" s="1571"/>
      <c r="AL56" s="1571"/>
      <c r="AM56" s="1571"/>
    </row>
    <row r="57" spans="1:39" ht="14.25">
      <c r="A57" s="2322" t="s">
        <v>2070</v>
      </c>
      <c r="B57" s="83"/>
      <c r="C57" s="1416">
        <v>12</v>
      </c>
      <c r="D57" s="2262"/>
      <c r="E57" s="2261"/>
      <c r="F57" s="2261"/>
      <c r="G57" s="2261"/>
      <c r="H57" s="2261"/>
      <c r="I57" s="2261"/>
      <c r="J57" s="2261"/>
      <c r="K57" s="168"/>
      <c r="L57" s="168"/>
      <c r="M57" s="1571"/>
      <c r="N57" s="1571"/>
      <c r="O57" s="1571"/>
      <c r="P57" s="1571"/>
      <c r="Q57" s="1571"/>
      <c r="R57" s="1571"/>
      <c r="S57" s="1571"/>
      <c r="T57" s="1571"/>
      <c r="U57" s="1571"/>
      <c r="V57" s="1571"/>
      <c r="W57" s="1571"/>
      <c r="X57" s="1571"/>
      <c r="Y57" s="1571"/>
      <c r="Z57" s="1571"/>
      <c r="AA57" s="1571"/>
      <c r="AB57" s="1571"/>
      <c r="AC57" s="1571"/>
      <c r="AD57" s="1571"/>
      <c r="AE57" s="1571"/>
      <c r="AF57" s="1571"/>
      <c r="AG57" s="1571"/>
      <c r="AH57" s="1571"/>
      <c r="AI57" s="1571"/>
      <c r="AJ57" s="1571"/>
      <c r="AK57" s="1571"/>
      <c r="AL57" s="1571"/>
      <c r="AM57" s="1571"/>
    </row>
    <row r="58" spans="1:39" ht="14.25">
      <c r="A58" s="2322" t="s">
        <v>2071</v>
      </c>
      <c r="B58" s="83"/>
      <c r="C58" s="1416">
        <v>3</v>
      </c>
      <c r="D58" s="2262"/>
      <c r="E58" s="2261"/>
      <c r="F58" s="2261"/>
      <c r="G58" s="2261"/>
      <c r="H58" s="2261"/>
      <c r="I58" s="2261"/>
      <c r="J58" s="2261"/>
      <c r="K58" s="168"/>
      <c r="L58" s="168"/>
      <c r="M58" s="1571"/>
      <c r="N58" s="1571"/>
      <c r="O58" s="1571"/>
      <c r="P58" s="1571"/>
      <c r="Q58" s="1571"/>
      <c r="R58" s="1571"/>
      <c r="S58" s="1571"/>
      <c r="T58" s="1571"/>
      <c r="U58" s="1571"/>
      <c r="V58" s="1571"/>
      <c r="W58" s="1571"/>
      <c r="X58" s="1571"/>
      <c r="Y58" s="1571"/>
      <c r="Z58" s="1571"/>
      <c r="AA58" s="1571"/>
      <c r="AB58" s="1571"/>
      <c r="AC58" s="1571"/>
      <c r="AD58" s="1571"/>
      <c r="AE58" s="1571"/>
      <c r="AF58" s="1571"/>
      <c r="AG58" s="1571"/>
      <c r="AH58" s="1571"/>
      <c r="AI58" s="1571"/>
      <c r="AJ58" s="1571"/>
      <c r="AK58" s="1571"/>
      <c r="AL58" s="1571"/>
      <c r="AM58" s="1571"/>
    </row>
    <row r="59" spans="1:39" ht="14.25">
      <c r="A59" s="2322" t="s">
        <v>2072</v>
      </c>
      <c r="B59" s="83"/>
      <c r="C59" s="1416">
        <v>1.5</v>
      </c>
      <c r="D59" s="2262"/>
      <c r="E59" s="2261"/>
      <c r="F59" s="2261"/>
      <c r="G59" s="2261"/>
      <c r="H59" s="2261"/>
      <c r="I59" s="2261"/>
      <c r="J59" s="2261"/>
      <c r="K59" s="168"/>
      <c r="L59" s="168"/>
      <c r="M59" s="1571"/>
      <c r="N59" s="1571"/>
      <c r="O59" s="1571"/>
      <c r="P59" s="1571"/>
      <c r="Q59" s="1571"/>
      <c r="R59" s="1571"/>
      <c r="S59" s="1571"/>
      <c r="T59" s="1571"/>
      <c r="U59" s="1571"/>
      <c r="V59" s="1571"/>
      <c r="W59" s="1571"/>
      <c r="X59" s="1571"/>
      <c r="Y59" s="1571"/>
      <c r="Z59" s="1571"/>
      <c r="AA59" s="1571"/>
      <c r="AB59" s="1571"/>
      <c r="AC59" s="1571"/>
      <c r="AD59" s="1571"/>
      <c r="AE59" s="1571"/>
      <c r="AF59" s="1571"/>
      <c r="AG59" s="1571"/>
      <c r="AH59" s="1571"/>
      <c r="AI59" s="1571"/>
      <c r="AJ59" s="1571"/>
      <c r="AK59" s="1571"/>
      <c r="AL59" s="1571"/>
      <c r="AM59" s="1571"/>
    </row>
    <row r="60" spans="1:39" ht="14.25">
      <c r="A60" s="2322" t="s">
        <v>2073</v>
      </c>
      <c r="B60" s="83"/>
      <c r="C60" s="2261"/>
      <c r="D60" s="2262"/>
      <c r="E60" s="2261"/>
      <c r="F60" s="2261"/>
      <c r="G60" s="2261"/>
      <c r="H60" s="2261"/>
      <c r="I60" s="2261"/>
      <c r="J60" s="2261"/>
      <c r="K60" s="168"/>
      <c r="L60" s="168"/>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c r="AM60" s="1571"/>
    </row>
    <row r="61" spans="1:39" ht="14.25">
      <c r="A61" s="2322" t="s">
        <v>2074</v>
      </c>
      <c r="B61" s="83"/>
      <c r="C61" s="2261"/>
      <c r="D61" s="2262"/>
      <c r="E61" s="2261"/>
      <c r="F61" s="2261"/>
      <c r="G61" s="2261"/>
      <c r="H61" s="2261"/>
      <c r="I61" s="2261"/>
      <c r="J61" s="2261"/>
      <c r="K61" s="168"/>
      <c r="L61" s="168"/>
      <c r="M61" s="1571"/>
      <c r="N61" s="1571"/>
      <c r="O61" s="1571"/>
      <c r="P61" s="1571"/>
      <c r="Q61" s="1571"/>
      <c r="R61" s="1571"/>
      <c r="S61" s="1571"/>
      <c r="T61" s="1571"/>
      <c r="U61" s="1571"/>
      <c r="V61" s="1571"/>
      <c r="W61" s="1571"/>
      <c r="X61" s="1571"/>
      <c r="Y61" s="1571"/>
      <c r="Z61" s="1571"/>
      <c r="AA61" s="1571"/>
      <c r="AB61" s="1571"/>
      <c r="AC61" s="1571"/>
      <c r="AD61" s="1571"/>
      <c r="AE61" s="1571"/>
      <c r="AF61" s="1571"/>
      <c r="AG61" s="1571"/>
      <c r="AH61" s="1571"/>
      <c r="AI61" s="1571"/>
      <c r="AJ61" s="1571"/>
      <c r="AK61" s="1571"/>
      <c r="AL61" s="1571"/>
      <c r="AM61" s="1571"/>
    </row>
    <row r="62" spans="1:39" ht="14.25">
      <c r="A62" s="2322" t="s">
        <v>2075</v>
      </c>
      <c r="B62" s="83"/>
      <c r="C62" s="2261"/>
      <c r="D62" s="2262"/>
      <c r="E62" s="2261"/>
      <c r="F62" s="2261"/>
      <c r="G62" s="2261"/>
      <c r="H62" s="2261"/>
      <c r="I62" s="2261"/>
      <c r="J62" s="2261"/>
      <c r="K62" s="168"/>
      <c r="L62" s="168"/>
      <c r="M62" s="1571"/>
      <c r="N62" s="1571"/>
      <c r="O62" s="1571"/>
      <c r="P62" s="1571"/>
      <c r="Q62" s="1571"/>
      <c r="R62" s="1571"/>
      <c r="S62" s="1571"/>
      <c r="T62" s="1571"/>
      <c r="U62" s="1571"/>
      <c r="V62" s="1571"/>
      <c r="W62" s="1571"/>
      <c r="X62" s="1571"/>
      <c r="Y62" s="1571"/>
      <c r="Z62" s="1571"/>
      <c r="AA62" s="1571"/>
      <c r="AB62" s="1571"/>
      <c r="AC62" s="1571"/>
      <c r="AD62" s="1571"/>
      <c r="AE62" s="1571"/>
      <c r="AF62" s="1571"/>
      <c r="AG62" s="1571"/>
      <c r="AH62" s="1571"/>
      <c r="AI62" s="1571"/>
      <c r="AJ62" s="1571"/>
      <c r="AK62" s="1571"/>
      <c r="AL62" s="1571"/>
      <c r="AM62" s="1571"/>
    </row>
    <row r="63" spans="1:39" ht="15" thickBot="1">
      <c r="A63" s="2324" t="s">
        <v>2076</v>
      </c>
      <c r="B63" s="133"/>
      <c r="C63" s="2261"/>
      <c r="D63" s="2262"/>
      <c r="E63" s="2261"/>
      <c r="F63" s="2261"/>
      <c r="G63" s="2261"/>
      <c r="H63" s="2261"/>
      <c r="I63" s="2261"/>
      <c r="J63" s="2261"/>
      <c r="K63" s="168"/>
      <c r="L63" s="168"/>
      <c r="M63" s="1571"/>
      <c r="N63" s="1571"/>
      <c r="O63" s="1571"/>
      <c r="P63" s="1571"/>
      <c r="Q63" s="1571"/>
      <c r="R63" s="1571"/>
      <c r="S63" s="1571"/>
      <c r="T63" s="1571"/>
      <c r="U63" s="1571"/>
      <c r="V63" s="1571"/>
      <c r="W63" s="1571"/>
      <c r="X63" s="1571"/>
      <c r="Y63" s="1571"/>
      <c r="Z63" s="1571"/>
      <c r="AA63" s="1571"/>
      <c r="AB63" s="1571"/>
      <c r="AC63" s="1571"/>
      <c r="AD63" s="1571"/>
      <c r="AE63" s="1571"/>
      <c r="AF63" s="1571"/>
      <c r="AG63" s="1571"/>
      <c r="AH63" s="1571"/>
      <c r="AI63" s="1571"/>
      <c r="AJ63" s="1571"/>
      <c r="AK63" s="1571"/>
      <c r="AL63" s="1571"/>
      <c r="AM63" s="1571"/>
    </row>
    <row r="64" spans="1:39" s="960" customFormat="1">
      <c r="A64" s="2325"/>
      <c r="D64" s="2326"/>
      <c r="K64" s="791"/>
      <c r="L64" s="791"/>
    </row>
    <row r="65" spans="1:12" s="960" customFormat="1">
      <c r="A65" s="2325"/>
      <c r="D65" s="2326"/>
      <c r="K65" s="791"/>
      <c r="L65" s="791"/>
    </row>
    <row r="66" spans="1:12" s="960" customFormat="1">
      <c r="A66" s="2325"/>
      <c r="D66" s="2326"/>
      <c r="K66" s="791"/>
      <c r="L66" s="791"/>
    </row>
    <row r="67" spans="1:12" s="960" customFormat="1">
      <c r="A67" s="2325"/>
      <c r="D67" s="2326"/>
      <c r="K67" s="791"/>
      <c r="L67" s="791"/>
    </row>
    <row r="68" spans="1:12" s="960" customFormat="1">
      <c r="A68" s="2325"/>
      <c r="D68" s="2326"/>
      <c r="K68" s="791"/>
      <c r="L68" s="791"/>
    </row>
    <row r="69" spans="1:12" s="960" customFormat="1">
      <c r="A69" s="2325"/>
      <c r="D69" s="2326"/>
      <c r="K69" s="791"/>
      <c r="L69" s="791"/>
    </row>
    <row r="70" spans="1:12" s="960" customFormat="1">
      <c r="A70" s="2325"/>
      <c r="D70" s="2326"/>
      <c r="K70" s="791"/>
      <c r="L70" s="791"/>
    </row>
    <row r="71" spans="1:12" s="960" customFormat="1">
      <c r="A71" s="2325"/>
      <c r="D71" s="2326"/>
      <c r="K71" s="791"/>
      <c r="L71" s="791"/>
    </row>
    <row r="72" spans="1:12" s="960" customFormat="1">
      <c r="A72" s="2325"/>
      <c r="D72" s="2326"/>
      <c r="K72" s="791"/>
      <c r="L72" s="791"/>
    </row>
    <row r="73" spans="1:12" s="960" customFormat="1">
      <c r="A73" s="2325"/>
      <c r="D73" s="2326"/>
      <c r="K73" s="791"/>
      <c r="L73" s="791"/>
    </row>
    <row r="74" spans="1:12" s="960" customFormat="1">
      <c r="A74" s="2325"/>
      <c r="D74" s="2326"/>
      <c r="K74" s="791"/>
      <c r="L74" s="791"/>
    </row>
    <row r="75" spans="1:12" s="960" customFormat="1">
      <c r="A75" s="2325"/>
      <c r="D75" s="2326"/>
      <c r="K75" s="791"/>
      <c r="L75" s="791"/>
    </row>
    <row r="76" spans="1:12" s="960" customFormat="1">
      <c r="A76" s="2325"/>
      <c r="D76" s="2326"/>
      <c r="K76" s="791"/>
      <c r="L76" s="791"/>
    </row>
    <row r="77" spans="1:12" s="960" customFormat="1">
      <c r="A77" s="2325"/>
      <c r="D77" s="2326"/>
      <c r="K77" s="791"/>
      <c r="L77" s="791"/>
    </row>
    <row r="78" spans="1:12" s="960" customFormat="1">
      <c r="A78" s="2325"/>
      <c r="D78" s="2326"/>
      <c r="K78" s="791"/>
      <c r="L78" s="791"/>
    </row>
    <row r="79" spans="1:12" s="960" customFormat="1">
      <c r="A79" s="2325"/>
      <c r="D79" s="2326"/>
      <c r="K79" s="791"/>
      <c r="L79" s="791"/>
    </row>
    <row r="80" spans="1:12" s="960" customFormat="1">
      <c r="A80" s="2325"/>
      <c r="D80" s="2326"/>
      <c r="K80" s="791"/>
      <c r="L80" s="791"/>
    </row>
    <row r="81" spans="1:12" s="960" customFormat="1">
      <c r="A81" s="2325"/>
      <c r="D81" s="2326"/>
      <c r="K81" s="791"/>
      <c r="L81" s="791"/>
    </row>
    <row r="82" spans="1:12" s="960" customFormat="1">
      <c r="A82" s="2325"/>
      <c r="D82" s="2326"/>
      <c r="K82" s="791"/>
      <c r="L82" s="791"/>
    </row>
    <row r="83" spans="1:12" s="960" customFormat="1">
      <c r="A83" s="2325"/>
      <c r="D83" s="2326"/>
      <c r="K83" s="791"/>
      <c r="L83" s="791"/>
    </row>
    <row r="84" spans="1:12" s="960" customFormat="1">
      <c r="A84" s="2325"/>
      <c r="D84" s="2326"/>
      <c r="K84" s="791"/>
      <c r="L84" s="791"/>
    </row>
    <row r="85" spans="1:12" s="960" customFormat="1">
      <c r="A85" s="2325"/>
      <c r="D85" s="2326"/>
      <c r="K85" s="791"/>
      <c r="L85" s="791"/>
    </row>
    <row r="86" spans="1:12" s="960" customFormat="1">
      <c r="A86" s="2325"/>
      <c r="D86" s="2326"/>
      <c r="K86" s="791"/>
      <c r="L86" s="791"/>
    </row>
    <row r="87" spans="1:12" s="960" customFormat="1">
      <c r="A87" s="2325"/>
      <c r="D87" s="2326"/>
      <c r="K87" s="791"/>
      <c r="L87" s="791"/>
    </row>
    <row r="88" spans="1:12" s="960" customFormat="1">
      <c r="A88" s="2325"/>
      <c r="D88" s="2326"/>
      <c r="K88" s="791"/>
      <c r="L88" s="791"/>
    </row>
    <row r="89" spans="1:12" s="960" customFormat="1">
      <c r="A89" s="2325"/>
      <c r="D89" s="2326"/>
      <c r="K89" s="791"/>
      <c r="L89" s="791"/>
    </row>
    <row r="90" spans="1:12" s="960" customFormat="1">
      <c r="A90" s="2325"/>
      <c r="D90" s="2326"/>
      <c r="K90" s="791"/>
      <c r="L90" s="791"/>
    </row>
    <row r="91" spans="1:12" s="960" customFormat="1">
      <c r="A91" s="2325"/>
      <c r="D91" s="2326"/>
      <c r="K91" s="791"/>
      <c r="L91" s="791"/>
    </row>
    <row r="92" spans="1:12" s="960" customFormat="1">
      <c r="A92" s="2325"/>
      <c r="D92" s="2326"/>
      <c r="K92" s="791"/>
      <c r="L92" s="791"/>
    </row>
    <row r="93" spans="1:12" s="960" customFormat="1">
      <c r="A93" s="2325"/>
      <c r="D93" s="2326"/>
      <c r="K93" s="791"/>
      <c r="L93" s="791"/>
    </row>
    <row r="94" spans="1:12" s="960" customFormat="1">
      <c r="A94" s="2325"/>
      <c r="D94" s="2326"/>
      <c r="K94" s="791"/>
      <c r="L94" s="791"/>
    </row>
    <row r="95" spans="1:12" s="960" customFormat="1">
      <c r="A95" s="2325"/>
      <c r="D95" s="2326"/>
      <c r="K95" s="791"/>
      <c r="L95" s="791"/>
    </row>
    <row r="96" spans="1:12" s="960" customFormat="1">
      <c r="A96" s="2325"/>
      <c r="D96" s="2326"/>
      <c r="K96" s="791"/>
      <c r="L96" s="791"/>
    </row>
    <row r="97" spans="1:12" s="960" customFormat="1">
      <c r="A97" s="2325"/>
      <c r="D97" s="2326"/>
      <c r="K97" s="791"/>
      <c r="L97" s="791"/>
    </row>
    <row r="98" spans="1:12" s="960" customFormat="1">
      <c r="A98" s="2325"/>
      <c r="D98" s="2326"/>
      <c r="K98" s="791"/>
      <c r="L98" s="791"/>
    </row>
    <row r="99" spans="1:12" s="960" customFormat="1">
      <c r="A99" s="2325"/>
      <c r="D99" s="2326"/>
      <c r="K99" s="791"/>
      <c r="L99" s="791"/>
    </row>
    <row r="100" spans="1:12" s="960" customFormat="1">
      <c r="A100" s="2325"/>
      <c r="D100" s="2326"/>
      <c r="K100" s="791"/>
      <c r="L100" s="791"/>
    </row>
    <row r="101" spans="1:12" s="960" customFormat="1">
      <c r="A101" s="2325"/>
      <c r="D101" s="2326"/>
      <c r="K101" s="791"/>
      <c r="L101" s="791"/>
    </row>
    <row r="102" spans="1:12" s="960" customFormat="1">
      <c r="A102" s="2325"/>
      <c r="D102" s="2326"/>
      <c r="K102" s="791"/>
      <c r="L102" s="791"/>
    </row>
    <row r="103" spans="1:12" s="960" customFormat="1">
      <c r="A103" s="2325"/>
      <c r="D103" s="2326"/>
      <c r="K103" s="791"/>
      <c r="L103" s="791"/>
    </row>
    <row r="104" spans="1:12" s="960" customFormat="1">
      <c r="A104" s="2325"/>
      <c r="D104" s="2326"/>
      <c r="K104" s="791"/>
      <c r="L104" s="791"/>
    </row>
    <row r="105" spans="1:12" s="960" customFormat="1">
      <c r="A105" s="2325"/>
      <c r="D105" s="2326"/>
      <c r="K105" s="791"/>
      <c r="L105" s="791"/>
    </row>
    <row r="106" spans="1:12" s="960" customFormat="1">
      <c r="A106" s="2325"/>
      <c r="D106" s="2326"/>
      <c r="K106" s="791"/>
      <c r="L106" s="791"/>
    </row>
    <row r="107" spans="1:12" s="960" customFormat="1">
      <c r="A107" s="2325"/>
      <c r="D107" s="2326"/>
      <c r="K107" s="791"/>
      <c r="L107" s="791"/>
    </row>
    <row r="108" spans="1:12" s="960" customFormat="1">
      <c r="A108" s="2325"/>
      <c r="D108" s="2326"/>
      <c r="K108" s="791"/>
      <c r="L108" s="791"/>
    </row>
    <row r="109" spans="1:12" s="960" customFormat="1">
      <c r="A109" s="2325"/>
      <c r="D109" s="2326"/>
      <c r="K109" s="791"/>
      <c r="L109" s="791"/>
    </row>
    <row r="110" spans="1:12" s="960" customFormat="1">
      <c r="A110" s="2325"/>
      <c r="D110" s="2326"/>
      <c r="K110" s="791"/>
      <c r="L110" s="791"/>
    </row>
    <row r="111" spans="1:12" s="960" customFormat="1">
      <c r="A111" s="2325"/>
      <c r="D111" s="2326"/>
      <c r="K111" s="791"/>
      <c r="L111" s="791"/>
    </row>
    <row r="112" spans="1:12" s="960" customFormat="1">
      <c r="A112" s="2325"/>
      <c r="D112" s="2326"/>
      <c r="K112" s="791"/>
      <c r="L112" s="791"/>
    </row>
    <row r="113" spans="1:12" s="960" customFormat="1">
      <c r="A113" s="2325"/>
      <c r="D113" s="2326"/>
      <c r="K113" s="791"/>
      <c r="L113" s="791"/>
    </row>
    <row r="114" spans="1:12" s="960" customFormat="1">
      <c r="A114" s="2325"/>
      <c r="D114" s="2326"/>
      <c r="K114" s="791"/>
      <c r="L114" s="791"/>
    </row>
    <row r="115" spans="1:12" s="960" customFormat="1">
      <c r="A115" s="2325"/>
      <c r="D115" s="2326"/>
      <c r="K115" s="791"/>
      <c r="L115" s="791"/>
    </row>
    <row r="116" spans="1:12" s="960" customFormat="1">
      <c r="A116" s="2325"/>
      <c r="D116" s="2326"/>
      <c r="K116" s="791"/>
      <c r="L116" s="791"/>
    </row>
    <row r="117" spans="1:12" s="960" customFormat="1">
      <c r="A117" s="2325"/>
      <c r="D117" s="2326"/>
      <c r="K117" s="791"/>
      <c r="L117" s="791"/>
    </row>
    <row r="118" spans="1:12" s="960" customFormat="1">
      <c r="A118" s="2325"/>
      <c r="D118" s="2326"/>
      <c r="K118" s="791"/>
      <c r="L118" s="791"/>
    </row>
    <row r="119" spans="1:12" s="960" customFormat="1">
      <c r="A119" s="2325"/>
      <c r="D119" s="2326"/>
      <c r="K119" s="791"/>
      <c r="L119" s="791"/>
    </row>
    <row r="120" spans="1:12" s="960" customFormat="1">
      <c r="A120" s="2325"/>
      <c r="D120" s="2326"/>
      <c r="K120" s="791"/>
      <c r="L120" s="791"/>
    </row>
    <row r="121" spans="1:12" s="960" customFormat="1">
      <c r="A121" s="2325"/>
      <c r="D121" s="2326"/>
      <c r="K121" s="791"/>
      <c r="L121" s="791"/>
    </row>
    <row r="122" spans="1:12" s="960" customFormat="1">
      <c r="A122" s="2325"/>
      <c r="D122" s="2326"/>
      <c r="K122" s="791"/>
      <c r="L122" s="791"/>
    </row>
    <row r="123" spans="1:12" s="960" customFormat="1">
      <c r="A123" s="2325"/>
      <c r="D123" s="2326"/>
      <c r="K123" s="791"/>
      <c r="L123" s="791"/>
    </row>
    <row r="124" spans="1:12" s="960" customFormat="1">
      <c r="A124" s="2325"/>
      <c r="D124" s="2326"/>
      <c r="K124" s="791"/>
      <c r="L124" s="791"/>
    </row>
    <row r="125" spans="1:12" s="960" customFormat="1">
      <c r="A125" s="2325"/>
      <c r="D125" s="2326"/>
      <c r="K125" s="791"/>
      <c r="L125" s="791"/>
    </row>
    <row r="126" spans="1:12" s="960" customFormat="1">
      <c r="A126" s="2325"/>
      <c r="D126" s="2326"/>
      <c r="K126" s="791"/>
      <c r="L126" s="791"/>
    </row>
    <row r="127" spans="1:12" s="960" customFormat="1">
      <c r="A127" s="2325"/>
      <c r="D127" s="2326"/>
      <c r="K127" s="791"/>
      <c r="L127" s="791"/>
    </row>
    <row r="128" spans="1:12" s="960" customFormat="1">
      <c r="A128" s="2325"/>
      <c r="D128" s="2326"/>
      <c r="K128" s="791"/>
      <c r="L128" s="791"/>
    </row>
    <row r="129" spans="1:12" s="960" customFormat="1">
      <c r="A129" s="2325"/>
      <c r="D129" s="2326"/>
      <c r="K129" s="791"/>
      <c r="L129" s="791"/>
    </row>
    <row r="130" spans="1:12" s="960" customFormat="1">
      <c r="A130" s="2325"/>
      <c r="D130" s="2326"/>
      <c r="K130" s="791"/>
      <c r="L130" s="791"/>
    </row>
    <row r="131" spans="1:12" s="960" customFormat="1">
      <c r="A131" s="2325"/>
      <c r="D131" s="2326"/>
      <c r="K131" s="791"/>
      <c r="L131" s="791"/>
    </row>
    <row r="132" spans="1:12" s="960" customFormat="1">
      <c r="A132" s="2325"/>
      <c r="D132" s="2326"/>
      <c r="K132" s="791"/>
      <c r="L132" s="791"/>
    </row>
    <row r="133" spans="1:12" s="960" customFormat="1">
      <c r="A133" s="2325"/>
      <c r="D133" s="2326"/>
      <c r="K133" s="791"/>
      <c r="L133" s="791"/>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3"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2"/>
    <col min="30" max="16384" width="9" style="2353"/>
  </cols>
  <sheetData>
    <row r="1" spans="1:29" s="2346" customFormat="1" ht="19.5" thickBot="1">
      <c r="A1" s="3097" t="s">
        <v>2077</v>
      </c>
      <c r="B1" s="3098"/>
      <c r="C1" s="3098"/>
      <c r="D1" s="3098"/>
      <c r="E1" s="3098"/>
      <c r="F1" s="3098"/>
      <c r="G1" s="3098"/>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2078</v>
      </c>
      <c r="D2" s="2350"/>
      <c r="E2" s="2351"/>
      <c r="F2" s="2270"/>
      <c r="G2" s="2349" t="s">
        <v>2079</v>
      </c>
      <c r="H2" s="2352"/>
      <c r="I2" s="2352"/>
      <c r="J2" s="2352"/>
      <c r="K2" s="2352"/>
      <c r="L2" s="2352"/>
      <c r="M2" s="2352"/>
      <c r="N2" s="2352"/>
      <c r="O2" s="2352"/>
      <c r="P2" s="2352"/>
      <c r="Q2" s="2352"/>
      <c r="R2" s="2352"/>
    </row>
    <row r="3" spans="1:29" ht="54">
      <c r="A3" s="411" t="s">
        <v>2080</v>
      </c>
      <c r="B3" s="1264" t="s">
        <v>2081</v>
      </c>
      <c r="C3" s="2354" t="s">
        <v>2082</v>
      </c>
      <c r="D3" s="2355"/>
      <c r="E3" s="427" t="s">
        <v>2080</v>
      </c>
      <c r="F3" s="2356" t="s">
        <v>2083</v>
      </c>
      <c r="G3" s="2357" t="s">
        <v>2084</v>
      </c>
      <c r="H3" s="2352"/>
      <c r="I3" s="2352"/>
      <c r="J3" s="2352"/>
      <c r="K3" s="2352"/>
      <c r="L3" s="2352"/>
      <c r="M3" s="2352"/>
      <c r="N3" s="2352"/>
      <c r="O3" s="2352"/>
      <c r="P3" s="2352"/>
      <c r="Q3" s="2352"/>
      <c r="R3" s="2352"/>
    </row>
    <row r="4" spans="1:29" ht="41.25">
      <c r="A4" s="427"/>
      <c r="B4" s="1785" t="s">
        <v>2085</v>
      </c>
      <c r="C4" s="2358" t="s">
        <v>2086</v>
      </c>
      <c r="D4" s="2355"/>
      <c r="E4" s="2359"/>
      <c r="F4" s="42" t="s">
        <v>2087</v>
      </c>
      <c r="G4" s="2360" t="s">
        <v>2088</v>
      </c>
      <c r="H4" s="2352"/>
      <c r="I4" s="2352"/>
      <c r="J4" s="2352"/>
      <c r="K4" s="2352"/>
      <c r="L4" s="2352"/>
      <c r="M4" s="2352"/>
      <c r="N4" s="2352"/>
      <c r="O4" s="2352"/>
      <c r="P4" s="2352"/>
      <c r="Q4" s="2352"/>
      <c r="R4" s="2352"/>
    </row>
    <row r="5" spans="1:29" ht="41.25">
      <c r="A5" s="427"/>
      <c r="B5" s="1785" t="s">
        <v>2089</v>
      </c>
      <c r="C5" s="2358" t="s">
        <v>2090</v>
      </c>
      <c r="D5" s="2355"/>
      <c r="E5" s="2359"/>
      <c r="F5" s="1785" t="s">
        <v>2091</v>
      </c>
      <c r="G5" s="2360" t="s">
        <v>2092</v>
      </c>
      <c r="H5" s="2352"/>
      <c r="I5" s="2352"/>
      <c r="J5" s="2352"/>
      <c r="K5" s="2352"/>
      <c r="L5" s="2352"/>
      <c r="M5" s="2352"/>
      <c r="N5" s="2352"/>
      <c r="O5" s="2352"/>
      <c r="P5" s="2352"/>
      <c r="Q5" s="2352"/>
      <c r="R5" s="2352"/>
    </row>
    <row r="6" spans="1:29" ht="54">
      <c r="A6" s="427"/>
      <c r="B6" s="1785" t="s">
        <v>2093</v>
      </c>
      <c r="C6" s="2360" t="s">
        <v>2088</v>
      </c>
      <c r="D6" s="2355"/>
      <c r="E6" s="2359"/>
      <c r="F6" s="1785" t="s">
        <v>2094</v>
      </c>
      <c r="G6" s="2360" t="s">
        <v>2095</v>
      </c>
      <c r="H6" s="2352"/>
      <c r="I6" s="2352"/>
      <c r="J6" s="2352"/>
      <c r="K6" s="2352"/>
      <c r="L6" s="2352"/>
      <c r="M6" s="2352"/>
      <c r="N6" s="2352"/>
      <c r="O6" s="2352"/>
      <c r="P6" s="2352"/>
      <c r="Q6" s="2352"/>
      <c r="R6" s="2352"/>
    </row>
    <row r="7" spans="1:29" ht="41.25" thickBot="1">
      <c r="A7" s="427"/>
      <c r="B7" s="1785" t="s">
        <v>2091</v>
      </c>
      <c r="C7" s="2360" t="s">
        <v>2092</v>
      </c>
      <c r="D7" s="2361"/>
      <c r="E7" s="2362"/>
      <c r="F7" s="2363" t="s">
        <v>2096</v>
      </c>
      <c r="G7" s="2364" t="s">
        <v>2097</v>
      </c>
      <c r="H7" s="2352"/>
      <c r="I7" s="2352"/>
      <c r="J7" s="2352"/>
      <c r="K7" s="2352"/>
      <c r="L7" s="2352"/>
      <c r="M7" s="2352"/>
      <c r="N7" s="2352"/>
      <c r="O7" s="2352"/>
      <c r="P7" s="2352"/>
      <c r="Q7" s="2352"/>
      <c r="R7" s="2352"/>
    </row>
    <row r="8" spans="1:29" ht="27">
      <c r="A8" s="427"/>
      <c r="B8" s="1785" t="s">
        <v>2094</v>
      </c>
      <c r="C8" s="2360" t="s">
        <v>2095</v>
      </c>
      <c r="D8" s="2361"/>
      <c r="E8" s="2361"/>
      <c r="F8" s="1129"/>
      <c r="G8" s="1129"/>
      <c r="H8" s="2352"/>
      <c r="I8" s="2352"/>
      <c r="J8" s="2352"/>
      <c r="K8" s="2352"/>
      <c r="L8" s="2352"/>
      <c r="M8" s="2352"/>
      <c r="N8" s="2352"/>
      <c r="O8" s="2352"/>
      <c r="P8" s="2352"/>
      <c r="Q8" s="2352"/>
      <c r="R8" s="2352"/>
    </row>
    <row r="9" spans="1:29" ht="27">
      <c r="A9" s="427"/>
      <c r="B9" s="1785" t="s">
        <v>2098</v>
      </c>
      <c r="C9" s="2358" t="s">
        <v>2099</v>
      </c>
      <c r="D9" s="2355"/>
      <c r="E9" s="2361"/>
      <c r="F9" s="1129"/>
      <c r="G9" s="1129"/>
      <c r="H9" s="2352"/>
      <c r="I9" s="2352"/>
      <c r="J9" s="2352"/>
      <c r="K9" s="2352"/>
      <c r="L9" s="2352"/>
      <c r="M9" s="2352"/>
      <c r="N9" s="2352"/>
      <c r="O9" s="2352"/>
      <c r="P9" s="2352"/>
      <c r="Q9" s="2352"/>
      <c r="R9" s="2352"/>
    </row>
    <row r="10" spans="1:29" s="116" customFormat="1" ht="15.75" thickBot="1">
      <c r="A10" s="2365"/>
      <c r="B10" s="2366" t="s">
        <v>2100</v>
      </c>
      <c r="C10" s="2367"/>
      <c r="D10" s="2355"/>
      <c r="E10" s="2355"/>
      <c r="F10" s="1129"/>
      <c r="G10" s="1129"/>
      <c r="H10" s="2368"/>
      <c r="I10" s="2369"/>
      <c r="J10" s="2370"/>
      <c r="K10" s="2368"/>
      <c r="L10" s="2369"/>
      <c r="M10" s="2370"/>
      <c r="N10" s="2368"/>
      <c r="O10" s="2369"/>
      <c r="P10" s="2370"/>
      <c r="Q10" s="2368"/>
      <c r="R10" s="2369"/>
      <c r="S10" s="2352"/>
      <c r="T10" s="2352"/>
      <c r="U10" s="2352"/>
      <c r="V10" s="2352"/>
      <c r="W10" s="2352"/>
      <c r="X10" s="2352"/>
      <c r="Y10" s="2352"/>
      <c r="Z10" s="2352"/>
      <c r="AA10" s="2352"/>
      <c r="AB10" s="2352"/>
      <c r="AC10" s="2352"/>
    </row>
    <row r="11" spans="1:29" s="116" customFormat="1" ht="15">
      <c r="A11" s="2371"/>
      <c r="B11" s="2361"/>
      <c r="C11" s="2355"/>
      <c r="D11" s="2355"/>
      <c r="E11" s="2355"/>
      <c r="F11" s="2361"/>
      <c r="G11" s="1147"/>
      <c r="H11" s="2368"/>
      <c r="I11" s="2369"/>
      <c r="J11" s="2370"/>
      <c r="K11" s="2368"/>
      <c r="L11" s="2369"/>
      <c r="M11" s="2370"/>
      <c r="N11" s="2368"/>
      <c r="O11" s="2369"/>
      <c r="P11" s="2370"/>
      <c r="Q11" s="2368"/>
      <c r="R11" s="2369"/>
      <c r="S11" s="2352"/>
      <c r="T11" s="2352"/>
      <c r="U11" s="2352"/>
      <c r="V11" s="2352"/>
      <c r="W11" s="2352"/>
      <c r="X11" s="2352"/>
      <c r="Y11" s="2352"/>
      <c r="Z11" s="2352"/>
      <c r="AA11" s="2352"/>
      <c r="AB11" s="2352"/>
      <c r="AC11" s="2352"/>
    </row>
    <row r="12" spans="1:29" s="2346" customFormat="1" ht="18">
      <c r="A12" s="2371"/>
      <c r="B12" s="2361"/>
      <c r="C12" s="2355"/>
      <c r="D12" s="2372"/>
      <c r="E12" s="2355"/>
      <c r="F12" s="2361"/>
      <c r="G12" s="1147"/>
      <c r="H12" s="2373"/>
      <c r="I12" s="2374"/>
      <c r="J12" s="2373"/>
      <c r="K12" s="2373"/>
      <c r="L12" s="2375"/>
      <c r="M12" s="2373"/>
      <c r="N12" s="2376"/>
      <c r="O12" s="2377"/>
      <c r="P12" s="2376"/>
      <c r="Q12" s="2376"/>
      <c r="R12" s="2344"/>
      <c r="S12" s="2345"/>
      <c r="T12" s="2345"/>
      <c r="U12" s="2345"/>
      <c r="V12" s="2345"/>
      <c r="W12" s="2345"/>
      <c r="X12" s="2345"/>
      <c r="Y12" s="2345"/>
      <c r="Z12" s="2345"/>
      <c r="AA12" s="2345"/>
      <c r="AB12" s="2345"/>
      <c r="AC12" s="2345"/>
    </row>
    <row r="13" spans="1:29" ht="19.5" thickBot="1">
      <c r="A13" s="2378" t="s">
        <v>2101</v>
      </c>
      <c r="B13" s="2372"/>
      <c r="C13" s="2372"/>
      <c r="D13" s="2379"/>
      <c r="E13" s="2372"/>
      <c r="F13" s="2372"/>
      <c r="G13" s="2372"/>
    </row>
    <row r="14" spans="1:29" ht="15.75" thickBot="1">
      <c r="A14" s="2383"/>
      <c r="B14" s="2384"/>
      <c r="C14" s="2385" t="s">
        <v>2102</v>
      </c>
      <c r="D14" s="2355"/>
      <c r="E14" s="2386"/>
      <c r="F14" s="2386"/>
      <c r="G14" s="2349" t="s">
        <v>2103</v>
      </c>
    </row>
    <row r="15" spans="1:29" ht="57">
      <c r="A15" s="67" t="s">
        <v>2104</v>
      </c>
      <c r="B15" s="1263" t="s">
        <v>2081</v>
      </c>
      <c r="C15" s="2387" t="str">
        <f>C3</f>
        <v>估价对象周边居住用地比例、居住小区规模和社区发展完善程度，综合评价居住社区成熟度一般</v>
      </c>
      <c r="D15" s="2355"/>
      <c r="E15" s="2388" t="s">
        <v>2105</v>
      </c>
      <c r="F15" s="1263" t="s">
        <v>2106</v>
      </c>
      <c r="G15" s="134" t="str">
        <f>G3</f>
        <v>估价对象位于XX开发区，园区建设成熟度XX，产业集聚程度XX</v>
      </c>
    </row>
    <row r="16" spans="1:29" ht="42.75">
      <c r="A16" s="640"/>
      <c r="B16" s="2389" t="s">
        <v>2085</v>
      </c>
      <c r="C16" s="2390" t="str">
        <f>C4</f>
        <v>估价对象位于XX商圈，周边商业氛围成熟，人流量大，商业繁华度好</v>
      </c>
      <c r="D16" s="2355"/>
      <c r="E16" s="2391"/>
      <c r="F16" s="2392" t="s">
        <v>2087</v>
      </c>
      <c r="G16" s="135" t="str">
        <f>G4</f>
        <v>估价对象周边道路状况、公共交通通达情况、停车便捷程度，综合评价交通便捷度较好</v>
      </c>
    </row>
    <row r="17" spans="1:18" ht="42.75">
      <c r="A17" s="640"/>
      <c r="B17" s="2389" t="s">
        <v>2089</v>
      </c>
      <c r="C17" s="2390" t="str">
        <f>C5</f>
        <v>估价对象位于XX商圈，周边办公楼项目较多，入驻率高，办公集聚程度较好</v>
      </c>
      <c r="D17" s="2361"/>
      <c r="E17" s="2391"/>
      <c r="F17" s="2392" t="s">
        <v>2107</v>
      </c>
      <c r="G17" s="1559"/>
    </row>
    <row r="18" spans="1:18" ht="57">
      <c r="A18" s="640"/>
      <c r="B18" s="2392" t="s">
        <v>2093</v>
      </c>
      <c r="C18" s="135" t="str">
        <f>C6</f>
        <v>估价对象周边道路状况、公共交通通达情况、停车便捷程度，综合评价交通便捷度较好</v>
      </c>
      <c r="D18" s="2361"/>
      <c r="E18" s="2391"/>
      <c r="F18" s="2392" t="s">
        <v>2096</v>
      </c>
      <c r="G18" s="135" t="str">
        <f>G7</f>
        <v>该园区内是否有污染型企业，绿化情况，卫生条件，整体环境状况判断</v>
      </c>
    </row>
    <row r="19" spans="1:18" ht="28.5">
      <c r="A19" s="640"/>
      <c r="B19" s="2392" t="s">
        <v>2108</v>
      </c>
      <c r="C19" s="1559"/>
      <c r="D19" s="2355"/>
      <c r="E19" s="2391"/>
      <c r="F19" s="1785" t="s">
        <v>2091</v>
      </c>
      <c r="G19" s="135" t="str">
        <f>G5</f>
        <v>估价对象所在区域公共配套设施齐备情况</v>
      </c>
    </row>
    <row r="20" spans="1:18" ht="28.5">
      <c r="A20" s="640"/>
      <c r="B20" s="2392" t="s">
        <v>2109</v>
      </c>
      <c r="C20" s="2390" t="str">
        <f>C9</f>
        <v>区域自然环境：；人文环境；综合评价环境状况一般</v>
      </c>
      <c r="D20" s="2361"/>
      <c r="E20" s="2391"/>
      <c r="F20" s="1785" t="s">
        <v>2110</v>
      </c>
      <c r="G20" s="135" t="str">
        <f>G6</f>
        <v>估价对象所在区域基础设施水平</v>
      </c>
    </row>
    <row r="21" spans="1:18" ht="28.5">
      <c r="A21" s="640"/>
      <c r="B21" s="1785" t="s">
        <v>2091</v>
      </c>
      <c r="C21" s="135" t="str">
        <f>C7</f>
        <v>估价对象所在区域公共配套设施齐备情况</v>
      </c>
      <c r="D21" s="2355"/>
      <c r="E21" s="2391"/>
      <c r="F21" s="2392" t="s">
        <v>2111</v>
      </c>
      <c r="G21" s="2393"/>
    </row>
    <row r="22" spans="1:18" ht="13.5" customHeight="1">
      <c r="A22" s="640"/>
      <c r="B22" s="1785" t="s">
        <v>2094</v>
      </c>
      <c r="C22" s="135" t="str">
        <f>C8</f>
        <v>估价对象所在区域基础设施水平</v>
      </c>
      <c r="D22" s="2355"/>
      <c r="E22" s="2391"/>
      <c r="F22" s="2392" t="s">
        <v>2100</v>
      </c>
      <c r="G22" s="1559"/>
    </row>
    <row r="23" spans="1:18" s="2352" customFormat="1" ht="15.75" thickBot="1">
      <c r="A23" s="640"/>
      <c r="B23" s="2392" t="s">
        <v>2111</v>
      </c>
      <c r="C23" s="2393"/>
      <c r="D23" s="2380"/>
      <c r="E23" s="2394"/>
      <c r="F23" s="2395" t="s">
        <v>2112</v>
      </c>
      <c r="G23" s="2396"/>
      <c r="H23" s="2380"/>
      <c r="I23" s="2381"/>
      <c r="J23" s="2380"/>
      <c r="K23" s="2380"/>
      <c r="L23" s="2381"/>
      <c r="M23" s="2380"/>
      <c r="N23" s="2380"/>
      <c r="O23" s="2381"/>
      <c r="P23" s="2380"/>
      <c r="Q23" s="2380"/>
      <c r="R23" s="2382"/>
    </row>
    <row r="24" spans="1:18" s="2352" customFormat="1" ht="15.75" thickBot="1">
      <c r="A24" s="2397"/>
      <c r="B24" s="2395" t="s">
        <v>2113</v>
      </c>
      <c r="C24" s="136">
        <f>C10</f>
        <v>0</v>
      </c>
      <c r="D24" s="2380"/>
      <c r="E24" s="2398"/>
      <c r="F24" s="2398"/>
      <c r="G24" s="2399"/>
      <c r="H24" s="2380"/>
      <c r="I24" s="2381"/>
      <c r="J24" s="2380"/>
      <c r="K24" s="2380"/>
      <c r="L24" s="2381"/>
      <c r="M24" s="2380"/>
      <c r="N24" s="2380"/>
      <c r="O24" s="2381"/>
      <c r="P24" s="2380"/>
      <c r="Q24" s="2380"/>
      <c r="R24" s="2382"/>
    </row>
    <row r="25" spans="1:18" s="2352" customFormat="1">
      <c r="B25" s="2380"/>
      <c r="C25" s="2380"/>
      <c r="D25" s="2380"/>
      <c r="H25" s="2380"/>
      <c r="I25" s="2381"/>
      <c r="J25" s="2380"/>
      <c r="K25" s="2380"/>
      <c r="L25" s="2381"/>
      <c r="M25" s="2380"/>
      <c r="N25" s="2380"/>
      <c r="O25" s="2381"/>
      <c r="P25" s="2380"/>
      <c r="Q25" s="2380"/>
      <c r="R25" s="2382"/>
    </row>
    <row r="26" spans="1:18" s="2352" customFormat="1">
      <c r="B26" s="2380"/>
      <c r="C26" s="2380"/>
      <c r="D26" s="2380"/>
      <c r="H26" s="2380"/>
      <c r="I26" s="2381"/>
      <c r="J26" s="2380"/>
      <c r="K26" s="2380"/>
      <c r="L26" s="2381"/>
      <c r="M26" s="2380"/>
      <c r="N26" s="2380"/>
      <c r="O26" s="2381"/>
      <c r="P26" s="2380"/>
      <c r="Q26" s="2380"/>
      <c r="R26" s="2382"/>
    </row>
    <row r="27" spans="1:18" s="2352" customFormat="1">
      <c r="B27" s="2380"/>
      <c r="C27" s="2380"/>
      <c r="D27" s="2380"/>
      <c r="H27" s="2380"/>
      <c r="I27" s="2381"/>
      <c r="J27" s="2380"/>
      <c r="K27" s="2380"/>
      <c r="L27" s="2381"/>
      <c r="M27" s="2380"/>
      <c r="N27" s="2380"/>
      <c r="O27" s="2381"/>
      <c r="P27" s="2380"/>
      <c r="Q27" s="2380"/>
      <c r="R27" s="2382"/>
    </row>
    <row r="28" spans="1:18" s="2352" customFormat="1">
      <c r="B28" s="2380"/>
      <c r="C28" s="2380"/>
      <c r="D28" s="2380"/>
      <c r="H28" s="2380"/>
      <c r="I28" s="2381"/>
      <c r="J28" s="2380"/>
      <c r="K28" s="2380"/>
      <c r="L28" s="2381"/>
      <c r="M28" s="2380"/>
      <c r="N28" s="2380"/>
      <c r="O28" s="2381"/>
      <c r="P28" s="2380"/>
      <c r="Q28" s="2380"/>
      <c r="R28" s="2382"/>
    </row>
    <row r="29" spans="1:18" s="2352" customFormat="1">
      <c r="B29" s="2380"/>
      <c r="C29" s="2380"/>
      <c r="D29" s="2380"/>
      <c r="H29" s="2380"/>
      <c r="I29" s="2381"/>
      <c r="J29" s="2380"/>
      <c r="K29" s="2380"/>
      <c r="L29" s="2381"/>
      <c r="M29" s="2380"/>
      <c r="N29" s="2380"/>
      <c r="O29" s="2381"/>
      <c r="P29" s="2380"/>
      <c r="Q29" s="2380"/>
      <c r="R29" s="2382"/>
    </row>
    <row r="30" spans="1:18" s="2352" customFormat="1">
      <c r="B30" s="2380"/>
      <c r="C30" s="2380"/>
      <c r="D30" s="2380"/>
      <c r="H30" s="2380"/>
      <c r="I30" s="2381"/>
      <c r="J30" s="2380"/>
      <c r="K30" s="2380"/>
      <c r="L30" s="2381"/>
      <c r="M30" s="2380"/>
      <c r="N30" s="2380"/>
      <c r="O30" s="2381"/>
      <c r="P30" s="2380"/>
      <c r="Q30" s="2380"/>
      <c r="R30" s="2382"/>
    </row>
    <row r="31" spans="1:18" s="2352" customFormat="1">
      <c r="B31" s="2380"/>
      <c r="C31" s="2380"/>
      <c r="D31" s="2380"/>
      <c r="H31" s="2380"/>
      <c r="I31" s="2381"/>
      <c r="J31" s="2380"/>
      <c r="K31" s="2380"/>
      <c r="L31" s="2381"/>
      <c r="M31" s="2380"/>
      <c r="N31" s="2380"/>
      <c r="O31" s="2381"/>
      <c r="P31" s="2380"/>
      <c r="Q31" s="2380"/>
      <c r="R31" s="2382"/>
    </row>
    <row r="32" spans="1:18" s="2352" customFormat="1">
      <c r="B32" s="2380"/>
      <c r="C32" s="2380"/>
      <c r="D32" s="2380"/>
      <c r="H32" s="2380"/>
      <c r="I32" s="2381"/>
      <c r="J32" s="2380"/>
      <c r="K32" s="2380"/>
      <c r="L32" s="2381"/>
      <c r="M32" s="2380"/>
      <c r="N32" s="2380"/>
      <c r="O32" s="2381"/>
      <c r="P32" s="2380"/>
      <c r="Q32" s="2380"/>
      <c r="R32" s="2382"/>
    </row>
    <row r="33" spans="2:18" s="2352" customFormat="1">
      <c r="B33" s="2380"/>
      <c r="C33" s="2380"/>
      <c r="D33" s="2380"/>
      <c r="H33" s="2380"/>
      <c r="I33" s="2381"/>
      <c r="J33" s="2380"/>
      <c r="K33" s="2380"/>
      <c r="L33" s="2381"/>
      <c r="M33" s="2380"/>
      <c r="N33" s="2380"/>
      <c r="O33" s="2381"/>
      <c r="P33" s="2380"/>
      <c r="Q33" s="2380"/>
      <c r="R33" s="2382"/>
    </row>
    <row r="34" spans="2:18" s="2352" customFormat="1">
      <c r="B34" s="2380"/>
      <c r="C34" s="2380"/>
      <c r="D34" s="2380"/>
      <c r="H34" s="2380"/>
      <c r="I34" s="2381"/>
      <c r="J34" s="2380"/>
      <c r="K34" s="2380"/>
      <c r="L34" s="2381"/>
      <c r="M34" s="2380"/>
      <c r="N34" s="2380"/>
      <c r="O34" s="2381"/>
      <c r="P34" s="2380"/>
      <c r="Q34" s="2380"/>
      <c r="R34" s="2382"/>
    </row>
    <row r="35" spans="2:18" s="2352" customFormat="1">
      <c r="B35" s="2380"/>
      <c r="C35" s="2380"/>
      <c r="D35" s="2380"/>
      <c r="H35" s="2380"/>
      <c r="I35" s="2381"/>
      <c r="J35" s="2380"/>
      <c r="K35" s="2380"/>
      <c r="L35" s="2381"/>
      <c r="M35" s="2380"/>
      <c r="N35" s="2380"/>
      <c r="O35" s="2381"/>
      <c r="P35" s="2380"/>
      <c r="Q35" s="2380"/>
      <c r="R35" s="2382"/>
    </row>
    <row r="36" spans="2:18" s="2352" customFormat="1">
      <c r="B36" s="2380"/>
      <c r="C36" s="2380"/>
      <c r="D36" s="2380"/>
      <c r="H36" s="2380"/>
      <c r="I36" s="2381"/>
      <c r="J36" s="2380"/>
      <c r="K36" s="2380"/>
      <c r="L36" s="2381"/>
      <c r="M36" s="2380"/>
      <c r="N36" s="2380"/>
      <c r="O36" s="2381"/>
      <c r="P36" s="2380"/>
      <c r="Q36" s="2380"/>
      <c r="R36" s="2382"/>
    </row>
    <row r="37" spans="2:18" s="2352" customFormat="1">
      <c r="B37" s="2380"/>
      <c r="C37" s="2380"/>
      <c r="D37" s="2380"/>
      <c r="H37" s="2380"/>
      <c r="I37" s="2381"/>
      <c r="J37" s="2380"/>
      <c r="K37" s="2380"/>
      <c r="L37" s="2381"/>
      <c r="M37" s="2380"/>
      <c r="N37" s="2380"/>
      <c r="O37" s="2381"/>
      <c r="P37" s="2380"/>
      <c r="Q37" s="2380"/>
      <c r="R37" s="2382"/>
    </row>
    <row r="38" spans="2:18" s="2352" customFormat="1">
      <c r="B38" s="2380"/>
      <c r="C38" s="2380"/>
      <c r="D38" s="2380"/>
      <c r="E38" s="2380"/>
      <c r="F38" s="2380"/>
      <c r="G38" s="2381"/>
      <c r="H38" s="2380"/>
      <c r="I38" s="2381"/>
      <c r="J38" s="2380"/>
      <c r="K38" s="2380"/>
      <c r="L38" s="2381"/>
      <c r="M38" s="2380"/>
      <c r="N38" s="2380"/>
      <c r="O38" s="2381"/>
      <c r="P38" s="2380"/>
      <c r="Q38" s="2380"/>
      <c r="R38" s="2382"/>
    </row>
    <row r="39" spans="2:18" s="2352" customFormat="1">
      <c r="B39" s="2380"/>
      <c r="C39" s="2380"/>
      <c r="D39" s="2380"/>
      <c r="E39" s="2380"/>
      <c r="F39" s="2380"/>
      <c r="G39" s="2381"/>
      <c r="H39" s="2380"/>
      <c r="I39" s="2381"/>
      <c r="J39" s="2380"/>
      <c r="K39" s="2380"/>
      <c r="L39" s="2381"/>
      <c r="M39" s="2380"/>
      <c r="N39" s="2380"/>
      <c r="O39" s="2381"/>
      <c r="P39" s="2380"/>
      <c r="Q39" s="2380"/>
      <c r="R39" s="2382"/>
    </row>
    <row r="40" spans="2:18" s="2352" customFormat="1">
      <c r="B40" s="2380"/>
      <c r="C40" s="2380"/>
      <c r="D40" s="2380"/>
      <c r="E40" s="2380"/>
      <c r="F40" s="2380"/>
      <c r="G40" s="2381"/>
      <c r="H40" s="2380"/>
      <c r="I40" s="2381"/>
      <c r="J40" s="2380"/>
      <c r="K40" s="2380"/>
      <c r="L40" s="2381"/>
      <c r="M40" s="2380"/>
      <c r="N40" s="2380"/>
      <c r="O40" s="2381"/>
      <c r="P40" s="2380"/>
      <c r="Q40" s="2380"/>
      <c r="R40" s="2382"/>
    </row>
    <row r="41" spans="2:18" s="2352" customFormat="1">
      <c r="B41" s="2380"/>
      <c r="C41" s="2380"/>
      <c r="D41" s="2380"/>
      <c r="E41" s="2380"/>
      <c r="F41" s="2380"/>
      <c r="G41" s="2381"/>
      <c r="H41" s="2380"/>
      <c r="I41" s="2381"/>
      <c r="J41" s="2380"/>
      <c r="K41" s="2380"/>
      <c r="L41" s="2381"/>
      <c r="M41" s="2380"/>
      <c r="N41" s="2380"/>
      <c r="O41" s="2381"/>
      <c r="P41" s="2380"/>
      <c r="Q41" s="2380"/>
      <c r="R41" s="2382"/>
    </row>
    <row r="42" spans="2:18" s="2352" customFormat="1">
      <c r="B42" s="2380"/>
      <c r="C42" s="2380"/>
      <c r="D42" s="2380"/>
      <c r="E42" s="2380"/>
      <c r="F42" s="2380"/>
      <c r="G42" s="2381"/>
      <c r="H42" s="2380"/>
      <c r="I42" s="2381"/>
      <c r="J42" s="2380"/>
      <c r="K42" s="2380"/>
      <c r="L42" s="2381"/>
      <c r="M42" s="2380"/>
      <c r="N42" s="2380"/>
      <c r="O42" s="2381"/>
      <c r="P42" s="2380"/>
      <c r="Q42" s="2380"/>
      <c r="R42" s="2382"/>
    </row>
    <row r="43" spans="2:18" s="2352" customFormat="1">
      <c r="B43" s="2380"/>
      <c r="C43" s="2380"/>
      <c r="D43" s="2380"/>
      <c r="E43" s="2380"/>
      <c r="F43" s="2380"/>
      <c r="G43" s="2381"/>
      <c r="H43" s="2380"/>
      <c r="I43" s="2381"/>
      <c r="J43" s="2380"/>
      <c r="K43" s="2380"/>
      <c r="L43" s="2381"/>
      <c r="M43" s="2380"/>
      <c r="N43" s="2380"/>
      <c r="O43" s="2381"/>
      <c r="P43" s="2380"/>
      <c r="Q43" s="2380"/>
      <c r="R43" s="2382"/>
    </row>
    <row r="44" spans="2:18" s="2352" customFormat="1">
      <c r="B44" s="2380"/>
      <c r="C44" s="2380"/>
      <c r="D44" s="2380"/>
      <c r="E44" s="2380"/>
      <c r="F44" s="2380"/>
      <c r="G44" s="2381"/>
      <c r="H44" s="2380"/>
      <c r="I44" s="2381"/>
      <c r="J44" s="2380"/>
      <c r="K44" s="2380"/>
      <c r="L44" s="2381"/>
      <c r="M44" s="2380"/>
      <c r="N44" s="2380"/>
      <c r="O44" s="2381"/>
      <c r="P44" s="2380"/>
      <c r="Q44" s="2380"/>
      <c r="R44" s="2382"/>
    </row>
    <row r="45" spans="2:18" s="2352" customFormat="1">
      <c r="B45" s="2380"/>
      <c r="C45" s="2380"/>
      <c r="D45" s="2380"/>
      <c r="E45" s="2380"/>
      <c r="F45" s="2380"/>
      <c r="G45" s="2381"/>
      <c r="H45" s="2380"/>
      <c r="I45" s="2381"/>
      <c r="J45" s="2380"/>
      <c r="K45" s="2380"/>
      <c r="L45" s="2381"/>
      <c r="M45" s="2380"/>
      <c r="N45" s="2380"/>
      <c r="O45" s="2381"/>
      <c r="P45" s="2380"/>
      <c r="Q45" s="2380"/>
      <c r="R45" s="2382"/>
    </row>
    <row r="46" spans="2:18" s="2352" customFormat="1">
      <c r="B46" s="2380"/>
      <c r="C46" s="2380"/>
      <c r="D46" s="2380"/>
      <c r="E46" s="2380"/>
      <c r="F46" s="2380"/>
      <c r="G46" s="2381"/>
      <c r="H46" s="2380"/>
      <c r="I46" s="2381"/>
      <c r="J46" s="2380"/>
      <c r="K46" s="2380"/>
      <c r="L46" s="2381"/>
      <c r="M46" s="2380"/>
      <c r="N46" s="2380"/>
      <c r="O46" s="2381"/>
      <c r="P46" s="2380"/>
      <c r="Q46" s="2380"/>
      <c r="R46" s="2382"/>
    </row>
    <row r="47" spans="2:18" s="2352" customFormat="1">
      <c r="B47" s="2380"/>
      <c r="C47" s="2380"/>
      <c r="D47" s="2380"/>
      <c r="E47" s="2380"/>
      <c r="F47" s="2380"/>
      <c r="G47" s="2381"/>
      <c r="H47" s="2380"/>
      <c r="I47" s="2381"/>
      <c r="J47" s="2380"/>
      <c r="K47" s="2380"/>
      <c r="L47" s="2381"/>
      <c r="M47" s="2380"/>
      <c r="N47" s="2380"/>
      <c r="O47" s="2381"/>
      <c r="P47" s="2380"/>
      <c r="Q47" s="2380"/>
      <c r="R47" s="2382"/>
    </row>
    <row r="48" spans="2:18" s="2352" customFormat="1">
      <c r="B48" s="2380"/>
      <c r="C48" s="2380"/>
      <c r="D48" s="2380"/>
      <c r="E48" s="2380"/>
      <c r="F48" s="2380"/>
      <c r="G48" s="2381"/>
      <c r="H48" s="2380"/>
      <c r="I48" s="2381"/>
      <c r="J48" s="2380"/>
      <c r="K48" s="2380"/>
      <c r="L48" s="2381"/>
      <c r="M48" s="2380"/>
      <c r="N48" s="2380"/>
      <c r="O48" s="2381"/>
      <c r="P48" s="2380"/>
      <c r="Q48" s="2380"/>
      <c r="R48" s="2382"/>
    </row>
    <row r="49" spans="2:18" s="2352" customFormat="1">
      <c r="B49" s="2380"/>
      <c r="C49" s="2380"/>
      <c r="D49" s="2380"/>
      <c r="E49" s="2380"/>
      <c r="F49" s="2380"/>
      <c r="G49" s="2381"/>
      <c r="H49" s="2380"/>
      <c r="I49" s="2381"/>
      <c r="J49" s="2380"/>
      <c r="K49" s="2380"/>
      <c r="L49" s="2381"/>
      <c r="M49" s="2380"/>
      <c r="N49" s="2380"/>
      <c r="O49" s="2381"/>
      <c r="P49" s="2380"/>
      <c r="Q49" s="2380"/>
      <c r="R49" s="2382"/>
    </row>
    <row r="50" spans="2:18" s="2352" customFormat="1">
      <c r="B50" s="2380"/>
      <c r="C50" s="2380"/>
      <c r="D50" s="2380"/>
      <c r="E50" s="2380"/>
      <c r="F50" s="2380"/>
      <c r="G50" s="2381"/>
      <c r="H50" s="2380"/>
      <c r="I50" s="2381"/>
      <c r="J50" s="2380"/>
      <c r="K50" s="2380"/>
      <c r="L50" s="2381"/>
      <c r="M50" s="2380"/>
      <c r="N50" s="2380"/>
      <c r="O50" s="2381"/>
      <c r="P50" s="2380"/>
      <c r="Q50" s="2380"/>
      <c r="R50" s="2382"/>
    </row>
    <row r="51" spans="2:18" s="2352" customFormat="1">
      <c r="B51" s="2380"/>
      <c r="C51" s="2380"/>
      <c r="D51" s="2380"/>
      <c r="E51" s="2380"/>
      <c r="F51" s="2380"/>
      <c r="G51" s="2381"/>
      <c r="H51" s="2380"/>
      <c r="I51" s="2381"/>
      <c r="J51" s="2380"/>
      <c r="K51" s="2380"/>
      <c r="L51" s="2381"/>
      <c r="M51" s="2380"/>
      <c r="N51" s="2380"/>
      <c r="O51" s="2381"/>
      <c r="P51" s="2380"/>
      <c r="Q51" s="2380"/>
      <c r="R51" s="2382"/>
    </row>
    <row r="52" spans="2:18" s="2352" customFormat="1">
      <c r="B52" s="2380"/>
      <c r="C52" s="2380"/>
      <c r="D52" s="2380"/>
      <c r="E52" s="2380"/>
      <c r="F52" s="2380"/>
      <c r="G52" s="2381"/>
      <c r="H52" s="2380"/>
      <c r="I52" s="2381"/>
      <c r="J52" s="2380"/>
      <c r="K52" s="2380"/>
      <c r="L52" s="2381"/>
      <c r="M52" s="2380"/>
      <c r="N52" s="2380"/>
      <c r="O52" s="2381"/>
      <c r="P52" s="2380"/>
      <c r="Q52" s="2380"/>
      <c r="R52" s="2382"/>
    </row>
    <row r="53" spans="2:18" s="2352" customFormat="1">
      <c r="B53" s="2380"/>
      <c r="C53" s="2380"/>
      <c r="D53" s="2380"/>
      <c r="E53" s="2380"/>
      <c r="F53" s="2380"/>
      <c r="G53" s="2381"/>
      <c r="H53" s="2380"/>
      <c r="I53" s="2381"/>
      <c r="J53" s="2380"/>
      <c r="K53" s="2380"/>
      <c r="L53" s="2381"/>
      <c r="M53" s="2380"/>
      <c r="N53" s="2380"/>
      <c r="O53" s="2381"/>
      <c r="P53" s="2380"/>
      <c r="Q53" s="2380"/>
      <c r="R53" s="2382"/>
    </row>
    <row r="54" spans="2:18" s="2352" customFormat="1">
      <c r="B54" s="2380"/>
      <c r="C54" s="2380"/>
      <c r="D54" s="2380"/>
      <c r="E54" s="2380"/>
      <c r="F54" s="2380"/>
      <c r="G54" s="2381"/>
      <c r="H54" s="2380"/>
      <c r="I54" s="2381"/>
      <c r="J54" s="2380"/>
      <c r="K54" s="2380"/>
      <c r="L54" s="2381"/>
      <c r="M54" s="2380"/>
      <c r="N54" s="2380"/>
      <c r="O54" s="2381"/>
      <c r="P54" s="2380"/>
      <c r="Q54" s="2380"/>
      <c r="R54" s="2382"/>
    </row>
    <row r="55" spans="2:18" s="2352" customFormat="1">
      <c r="B55" s="2380"/>
      <c r="C55" s="2380"/>
      <c r="D55" s="2380"/>
      <c r="E55" s="2380"/>
      <c r="F55" s="2380"/>
      <c r="G55" s="2381"/>
      <c r="H55" s="2380"/>
      <c r="I55" s="2381"/>
      <c r="J55" s="2380"/>
      <c r="K55" s="2380"/>
      <c r="L55" s="2381"/>
      <c r="M55" s="2380"/>
      <c r="N55" s="2380"/>
      <c r="O55" s="2381"/>
      <c r="P55" s="2380"/>
      <c r="Q55" s="2380"/>
      <c r="R55" s="2382"/>
    </row>
    <row r="56" spans="2:18" s="2352" customFormat="1">
      <c r="B56" s="2380"/>
      <c r="C56" s="2380"/>
      <c r="D56" s="2380"/>
      <c r="E56" s="2380"/>
      <c r="F56" s="2380"/>
      <c r="G56" s="2381"/>
      <c r="H56" s="2380"/>
      <c r="I56" s="2381"/>
      <c r="J56" s="2380"/>
      <c r="K56" s="2380"/>
      <c r="L56" s="2381"/>
      <c r="M56" s="2380"/>
      <c r="N56" s="2380"/>
      <c r="O56" s="2381"/>
      <c r="P56" s="2380"/>
      <c r="Q56" s="2380"/>
      <c r="R56" s="2382"/>
    </row>
    <row r="57" spans="2:18" s="2352" customFormat="1">
      <c r="B57" s="2380"/>
      <c r="C57" s="2380"/>
      <c r="D57" s="2380"/>
      <c r="E57" s="2380"/>
      <c r="F57" s="2380"/>
      <c r="G57" s="2381"/>
      <c r="H57" s="2380"/>
      <c r="I57" s="2381"/>
      <c r="J57" s="2380"/>
      <c r="K57" s="2380"/>
      <c r="L57" s="2381"/>
      <c r="M57" s="2380"/>
      <c r="N57" s="2380"/>
      <c r="O57" s="2381"/>
      <c r="P57" s="2380"/>
      <c r="Q57" s="2380"/>
      <c r="R57" s="2382"/>
    </row>
    <row r="58" spans="2:18" s="2352" customFormat="1">
      <c r="B58" s="2380"/>
      <c r="C58" s="2380"/>
      <c r="D58" s="2380"/>
      <c r="E58" s="2380"/>
      <c r="F58" s="2380"/>
      <c r="G58" s="2381"/>
      <c r="H58" s="2380"/>
      <c r="I58" s="2381"/>
      <c r="J58" s="2380"/>
      <c r="K58" s="2380"/>
      <c r="L58" s="2381"/>
      <c r="M58" s="2380"/>
      <c r="N58" s="2380"/>
      <c r="O58" s="2381"/>
      <c r="P58" s="2380"/>
      <c r="Q58" s="2380"/>
      <c r="R58" s="2382"/>
    </row>
    <row r="59" spans="2:18" s="2352" customFormat="1">
      <c r="B59" s="2380"/>
      <c r="C59" s="2380"/>
      <c r="D59" s="2380"/>
      <c r="E59" s="2380"/>
      <c r="F59" s="2380"/>
      <c r="G59" s="2381"/>
      <c r="H59" s="2380"/>
      <c r="I59" s="2381"/>
      <c r="J59" s="2380"/>
      <c r="K59" s="2380"/>
      <c r="L59" s="2381"/>
      <c r="M59" s="2380"/>
      <c r="N59" s="2380"/>
      <c r="O59" s="2381"/>
      <c r="P59" s="2380"/>
      <c r="Q59" s="2380"/>
      <c r="R59" s="2382"/>
    </row>
    <row r="60" spans="2:18" s="2352" customFormat="1">
      <c r="B60" s="2380"/>
      <c r="C60" s="2380"/>
      <c r="D60" s="2380"/>
      <c r="E60" s="2380"/>
      <c r="F60" s="2380"/>
      <c r="G60" s="2381"/>
      <c r="H60" s="2380"/>
      <c r="I60" s="2381"/>
      <c r="J60" s="2380"/>
      <c r="K60" s="2380"/>
      <c r="L60" s="2381"/>
      <c r="M60" s="2380"/>
      <c r="N60" s="2380"/>
      <c r="O60" s="2381"/>
      <c r="P60" s="2380"/>
      <c r="Q60" s="2380"/>
      <c r="R60" s="2382"/>
    </row>
    <row r="61" spans="2:18" s="2352" customFormat="1">
      <c r="B61" s="2380"/>
      <c r="C61" s="2380"/>
      <c r="D61" s="2380"/>
      <c r="E61" s="2380"/>
      <c r="F61" s="2380"/>
      <c r="G61" s="2381"/>
      <c r="H61" s="2380"/>
      <c r="I61" s="2381"/>
      <c r="J61" s="2380"/>
      <c r="K61" s="2380"/>
      <c r="L61" s="2381"/>
      <c r="M61" s="2380"/>
      <c r="N61" s="2380"/>
      <c r="O61" s="2381"/>
      <c r="P61" s="2380"/>
      <c r="Q61" s="2380"/>
      <c r="R61" s="2382"/>
    </row>
    <row r="62" spans="2:18" s="2352" customFormat="1">
      <c r="B62" s="2380"/>
      <c r="C62" s="2380"/>
      <c r="D62" s="2380"/>
      <c r="E62" s="2380"/>
      <c r="F62" s="2380"/>
      <c r="G62" s="2381"/>
      <c r="H62" s="2380"/>
      <c r="I62" s="2381"/>
      <c r="J62" s="2380"/>
      <c r="K62" s="2380"/>
      <c r="L62" s="2381"/>
      <c r="M62" s="2380"/>
      <c r="N62" s="2380"/>
      <c r="O62" s="2381"/>
      <c r="P62" s="2380"/>
      <c r="Q62" s="2380"/>
      <c r="R62" s="2382"/>
    </row>
    <row r="63" spans="2:18" s="2352" customFormat="1">
      <c r="B63" s="2380"/>
      <c r="C63" s="2380"/>
      <c r="D63" s="2380"/>
      <c r="E63" s="2380"/>
      <c r="F63" s="2380"/>
      <c r="G63" s="2381"/>
      <c r="H63" s="2380"/>
      <c r="I63" s="2381"/>
      <c r="J63" s="2380"/>
      <c r="K63" s="2380"/>
      <c r="L63" s="2381"/>
      <c r="M63" s="2380"/>
      <c r="N63" s="2380"/>
      <c r="O63" s="2381"/>
      <c r="P63" s="2380"/>
      <c r="Q63" s="2380"/>
      <c r="R63" s="2382"/>
    </row>
    <row r="64" spans="2:18" s="2352" customFormat="1">
      <c r="B64" s="2380"/>
      <c r="C64" s="2380"/>
      <c r="D64" s="2380"/>
      <c r="E64" s="2380"/>
      <c r="F64" s="2380"/>
      <c r="G64" s="2381"/>
      <c r="H64" s="2380"/>
      <c r="I64" s="2381"/>
      <c r="J64" s="2380"/>
      <c r="K64" s="2380"/>
      <c r="L64" s="2381"/>
      <c r="M64" s="2380"/>
      <c r="N64" s="2380"/>
      <c r="O64" s="2381"/>
      <c r="P64" s="2380"/>
      <c r="Q64" s="2380"/>
      <c r="R64" s="2382"/>
    </row>
    <row r="65" spans="2:18" s="2352" customFormat="1">
      <c r="B65" s="2380"/>
      <c r="C65" s="2380"/>
      <c r="D65" s="2380"/>
      <c r="E65" s="2380"/>
      <c r="F65" s="2380"/>
      <c r="G65" s="2381"/>
      <c r="H65" s="2380"/>
      <c r="I65" s="2381"/>
      <c r="J65" s="2380"/>
      <c r="K65" s="2380"/>
      <c r="L65" s="2381"/>
      <c r="M65" s="2380"/>
      <c r="N65" s="2380"/>
      <c r="O65" s="2381"/>
      <c r="P65" s="2380"/>
      <c r="Q65" s="2380"/>
      <c r="R65" s="2382"/>
    </row>
    <row r="66" spans="2:18" s="2352" customFormat="1">
      <c r="B66" s="2380"/>
      <c r="C66" s="2380"/>
      <c r="D66" s="2380"/>
      <c r="E66" s="2380"/>
      <c r="F66" s="2380"/>
      <c r="G66" s="2381"/>
      <c r="H66" s="2380"/>
      <c r="I66" s="2381"/>
      <c r="J66" s="2380"/>
      <c r="K66" s="2380"/>
      <c r="L66" s="2381"/>
      <c r="M66" s="2380"/>
      <c r="N66" s="2380"/>
      <c r="O66" s="2381"/>
      <c r="P66" s="2380"/>
      <c r="Q66" s="2380"/>
      <c r="R66" s="2382"/>
    </row>
    <row r="67" spans="2:18" s="2352" customFormat="1">
      <c r="B67" s="2380"/>
      <c r="C67" s="2380"/>
      <c r="D67" s="2380"/>
      <c r="E67" s="2380"/>
      <c r="F67" s="2380"/>
      <c r="G67" s="2381"/>
      <c r="H67" s="2380"/>
      <c r="I67" s="2381"/>
      <c r="J67" s="2380"/>
      <c r="K67" s="2380"/>
      <c r="L67" s="2381"/>
      <c r="M67" s="2380"/>
      <c r="N67" s="2380"/>
      <c r="O67" s="2381"/>
      <c r="P67" s="2380"/>
      <c r="Q67" s="2380"/>
      <c r="R67" s="2382"/>
    </row>
    <row r="68" spans="2:18" s="2352" customFormat="1">
      <c r="B68" s="2380"/>
      <c r="C68" s="2380"/>
      <c r="D68" s="2380"/>
      <c r="E68" s="2380"/>
      <c r="F68" s="2380"/>
      <c r="G68" s="2381"/>
      <c r="H68" s="2380"/>
      <c r="I68" s="2381"/>
      <c r="J68" s="2380"/>
      <c r="K68" s="2380"/>
      <c r="L68" s="2381"/>
      <c r="M68" s="2380"/>
      <c r="N68" s="2380"/>
      <c r="O68" s="2381"/>
      <c r="P68" s="2380"/>
      <c r="Q68" s="2380"/>
      <c r="R68" s="2382"/>
    </row>
    <row r="69" spans="2:18" s="2352" customFormat="1">
      <c r="B69" s="2380"/>
      <c r="C69" s="2380"/>
      <c r="D69" s="2380"/>
      <c r="E69" s="2380"/>
      <c r="F69" s="2380"/>
      <c r="G69" s="2381"/>
      <c r="H69" s="2380"/>
      <c r="I69" s="2381"/>
      <c r="J69" s="2380"/>
      <c r="K69" s="2380"/>
      <c r="L69" s="2381"/>
      <c r="M69" s="2380"/>
      <c r="N69" s="2380"/>
      <c r="O69" s="2381"/>
      <c r="P69" s="2380"/>
      <c r="Q69" s="2380"/>
      <c r="R69" s="2382"/>
    </row>
    <row r="70" spans="2:18" s="2352" customFormat="1">
      <c r="B70" s="2380"/>
      <c r="C70" s="2380"/>
      <c r="D70" s="2380"/>
      <c r="E70" s="2380"/>
      <c r="F70" s="2380"/>
      <c r="G70" s="2381"/>
      <c r="H70" s="2380"/>
      <c r="I70" s="2381"/>
      <c r="J70" s="2380"/>
      <c r="K70" s="2380"/>
      <c r="L70" s="2381"/>
      <c r="M70" s="2380"/>
      <c r="N70" s="2380"/>
      <c r="O70" s="2381"/>
      <c r="P70" s="2380"/>
      <c r="Q70" s="2380"/>
      <c r="R70" s="2382"/>
    </row>
    <row r="71" spans="2:18" s="2352" customFormat="1">
      <c r="B71" s="2380"/>
      <c r="C71" s="2380"/>
      <c r="D71" s="2380"/>
      <c r="E71" s="2380"/>
      <c r="F71" s="2380"/>
      <c r="G71" s="2381"/>
      <c r="H71" s="2380"/>
      <c r="I71" s="2381"/>
      <c r="J71" s="2380"/>
      <c r="K71" s="2380"/>
      <c r="L71" s="2381"/>
      <c r="M71" s="2380"/>
      <c r="N71" s="2380"/>
      <c r="O71" s="2381"/>
      <c r="P71" s="2380"/>
      <c r="Q71" s="2380"/>
      <c r="R71" s="2382"/>
    </row>
    <row r="72" spans="2:18" s="2352" customFormat="1">
      <c r="B72" s="2380"/>
      <c r="C72" s="2380"/>
      <c r="D72" s="2380"/>
      <c r="E72" s="2380"/>
      <c r="F72" s="2380"/>
      <c r="G72" s="2381"/>
      <c r="H72" s="2380"/>
      <c r="I72" s="2381"/>
      <c r="J72" s="2380"/>
      <c r="K72" s="2380"/>
      <c r="L72" s="2381"/>
      <c r="M72" s="2380"/>
      <c r="N72" s="2380"/>
      <c r="O72" s="2381"/>
      <c r="P72" s="2380"/>
      <c r="Q72" s="2380"/>
      <c r="R72" s="2382"/>
    </row>
    <row r="73" spans="2:18" s="2352" customFormat="1">
      <c r="B73" s="2380"/>
      <c r="C73" s="2380"/>
      <c r="D73" s="2380"/>
      <c r="E73" s="2380"/>
      <c r="F73" s="2380"/>
      <c r="G73" s="2381"/>
      <c r="H73" s="2380"/>
      <c r="I73" s="2381"/>
      <c r="J73" s="2380"/>
      <c r="K73" s="2380"/>
      <c r="L73" s="2381"/>
      <c r="M73" s="2380"/>
      <c r="N73" s="2380"/>
      <c r="O73" s="2381"/>
      <c r="P73" s="2380"/>
      <c r="Q73" s="2380"/>
      <c r="R73" s="2382"/>
    </row>
    <row r="74" spans="2:18" s="2352" customFormat="1">
      <c r="B74" s="2380"/>
      <c r="C74" s="2380"/>
      <c r="D74" s="2380"/>
      <c r="E74" s="2380"/>
      <c r="F74" s="2380"/>
      <c r="G74" s="2381"/>
      <c r="H74" s="2380"/>
      <c r="I74" s="2381"/>
      <c r="J74" s="2380"/>
      <c r="K74" s="2380"/>
      <c r="L74" s="2381"/>
      <c r="M74" s="2380"/>
      <c r="N74" s="2380"/>
      <c r="O74" s="2381"/>
      <c r="P74" s="2380"/>
      <c r="Q74" s="2380"/>
      <c r="R74" s="2382"/>
    </row>
    <row r="75" spans="2:18" s="2352" customFormat="1">
      <c r="B75" s="2380"/>
      <c r="C75" s="2380"/>
      <c r="D75" s="2380"/>
      <c r="E75" s="2380"/>
      <c r="F75" s="2380"/>
      <c r="G75" s="2381"/>
      <c r="H75" s="2380"/>
      <c r="I75" s="2381"/>
      <c r="J75" s="2380"/>
      <c r="K75" s="2380"/>
      <c r="L75" s="2381"/>
      <c r="M75" s="2380"/>
      <c r="N75" s="2380"/>
      <c r="O75" s="2381"/>
      <c r="P75" s="2380"/>
      <c r="Q75" s="2380"/>
      <c r="R75" s="2382"/>
    </row>
    <row r="76" spans="2:18" s="2352" customFormat="1">
      <c r="B76" s="2380"/>
      <c r="C76" s="2380"/>
      <c r="D76" s="2380"/>
      <c r="E76" s="2380"/>
      <c r="F76" s="2380"/>
      <c r="G76" s="2381"/>
      <c r="H76" s="2380"/>
      <c r="I76" s="2381"/>
      <c r="J76" s="2380"/>
      <c r="K76" s="2380"/>
      <c r="L76" s="2381"/>
      <c r="M76" s="2380"/>
      <c r="N76" s="2380"/>
      <c r="O76" s="2381"/>
      <c r="P76" s="2380"/>
      <c r="Q76" s="2380"/>
      <c r="R76" s="2382"/>
    </row>
    <row r="77" spans="2:18" s="2352" customFormat="1">
      <c r="B77" s="2380"/>
      <c r="C77" s="2380"/>
      <c r="D77" s="2380"/>
      <c r="E77" s="2380"/>
      <c r="F77" s="2380"/>
      <c r="G77" s="2381"/>
      <c r="H77" s="2380"/>
      <c r="I77" s="2381"/>
      <c r="J77" s="2380"/>
      <c r="K77" s="2380"/>
      <c r="L77" s="2381"/>
      <c r="M77" s="2380"/>
      <c r="N77" s="2380"/>
      <c r="O77" s="2381"/>
      <c r="P77" s="2380"/>
      <c r="Q77" s="2380"/>
      <c r="R77" s="2382"/>
    </row>
    <row r="78" spans="2:18" s="2352" customFormat="1">
      <c r="B78" s="2380"/>
      <c r="C78" s="2380"/>
      <c r="D78" s="2380"/>
      <c r="E78" s="2380"/>
      <c r="F78" s="2380"/>
      <c r="G78" s="2381"/>
      <c r="H78" s="2380"/>
      <c r="I78" s="2381"/>
      <c r="J78" s="2380"/>
      <c r="K78" s="2380"/>
      <c r="L78" s="2381"/>
      <c r="M78" s="2380"/>
      <c r="N78" s="2380"/>
      <c r="O78" s="2381"/>
      <c r="P78" s="2380"/>
      <c r="Q78" s="2380"/>
      <c r="R78" s="2382"/>
    </row>
    <row r="79" spans="2:18" s="2352" customFormat="1">
      <c r="B79" s="2380"/>
      <c r="C79" s="2380"/>
      <c r="D79" s="2380"/>
      <c r="E79" s="2380"/>
      <c r="F79" s="2380"/>
      <c r="G79" s="2381"/>
      <c r="H79" s="2380"/>
      <c r="I79" s="2381"/>
      <c r="J79" s="2380"/>
      <c r="K79" s="2380"/>
      <c r="L79" s="2381"/>
      <c r="M79" s="2380"/>
      <c r="N79" s="2380"/>
      <c r="O79" s="2381"/>
      <c r="P79" s="2380"/>
      <c r="Q79" s="2380"/>
      <c r="R79" s="2382"/>
    </row>
    <row r="80" spans="2:18" s="2352" customFormat="1">
      <c r="B80" s="2380"/>
      <c r="C80" s="2380"/>
      <c r="D80" s="2380"/>
      <c r="E80" s="2380"/>
      <c r="F80" s="2380"/>
      <c r="G80" s="2381"/>
      <c r="H80" s="2380"/>
      <c r="I80" s="2381"/>
      <c r="J80" s="2380"/>
      <c r="K80" s="2380"/>
      <c r="L80" s="2381"/>
      <c r="M80" s="2380"/>
      <c r="N80" s="2380"/>
      <c r="O80" s="2381"/>
      <c r="P80" s="2380"/>
      <c r="Q80" s="2380"/>
      <c r="R80" s="2382"/>
    </row>
    <row r="81" spans="2:18" s="2352" customFormat="1">
      <c r="B81" s="2380"/>
      <c r="C81" s="2380"/>
      <c r="D81" s="2380"/>
      <c r="E81" s="2380"/>
      <c r="F81" s="2380"/>
      <c r="G81" s="2381"/>
      <c r="H81" s="2380"/>
      <c r="I81" s="2381"/>
      <c r="J81" s="2380"/>
      <c r="K81" s="2380"/>
      <c r="L81" s="2381"/>
      <c r="M81" s="2380"/>
      <c r="N81" s="2380"/>
      <c r="O81" s="2381"/>
      <c r="P81" s="2380"/>
      <c r="Q81" s="2380"/>
      <c r="R81" s="2382"/>
    </row>
    <row r="82" spans="2:18" s="2352" customFormat="1">
      <c r="B82" s="2380"/>
      <c r="C82" s="2380"/>
      <c r="D82" s="2380"/>
      <c r="E82" s="2380"/>
      <c r="F82" s="2380"/>
      <c r="G82" s="2381"/>
      <c r="H82" s="2380"/>
      <c r="I82" s="2381"/>
      <c r="J82" s="2380"/>
      <c r="K82" s="2380"/>
      <c r="L82" s="2381"/>
      <c r="M82" s="2380"/>
      <c r="N82" s="2380"/>
      <c r="O82" s="2381"/>
      <c r="P82" s="2380"/>
      <c r="Q82" s="2380"/>
      <c r="R82" s="2382"/>
    </row>
    <row r="83" spans="2:18" s="2352" customFormat="1">
      <c r="B83" s="2380"/>
      <c r="C83" s="2380"/>
      <c r="D83" s="2380"/>
      <c r="E83" s="2380"/>
      <c r="F83" s="2380"/>
      <c r="G83" s="2381"/>
      <c r="H83" s="2380"/>
      <c r="I83" s="2381"/>
      <c r="J83" s="2380"/>
      <c r="K83" s="2380"/>
      <c r="L83" s="2381"/>
      <c r="M83" s="2380"/>
      <c r="N83" s="2380"/>
      <c r="O83" s="2381"/>
      <c r="P83" s="2380"/>
      <c r="Q83" s="2380"/>
      <c r="R83" s="2382"/>
    </row>
    <row r="84" spans="2:18" s="2352" customFormat="1">
      <c r="B84" s="2380"/>
      <c r="C84" s="2380"/>
      <c r="D84" s="2380"/>
      <c r="E84" s="2380"/>
      <c r="F84" s="2380"/>
      <c r="G84" s="2381"/>
      <c r="H84" s="2380"/>
      <c r="I84" s="2381"/>
      <c r="J84" s="2380"/>
      <c r="K84" s="2380"/>
      <c r="L84" s="2381"/>
      <c r="M84" s="2380"/>
      <c r="N84" s="2380"/>
      <c r="O84" s="2381"/>
      <c r="P84" s="2380"/>
      <c r="Q84" s="2380"/>
      <c r="R84" s="2382"/>
    </row>
    <row r="85" spans="2:18" s="2352" customFormat="1">
      <c r="B85" s="2380"/>
      <c r="C85" s="2380"/>
      <c r="D85" s="2380"/>
      <c r="E85" s="2380"/>
      <c r="F85" s="2380"/>
      <c r="G85" s="2381"/>
      <c r="H85" s="2380"/>
      <c r="I85" s="2381"/>
      <c r="J85" s="2380"/>
      <c r="K85" s="2380"/>
      <c r="L85" s="2381"/>
      <c r="M85" s="2380"/>
      <c r="N85" s="2380"/>
      <c r="O85" s="2381"/>
      <c r="P85" s="2380"/>
      <c r="Q85" s="2380"/>
      <c r="R85" s="2382"/>
    </row>
    <row r="86" spans="2:18" s="2352" customFormat="1">
      <c r="B86" s="2380"/>
      <c r="C86" s="2380"/>
      <c r="D86" s="2380"/>
      <c r="E86" s="2380"/>
      <c r="F86" s="2380"/>
      <c r="G86" s="2381"/>
      <c r="H86" s="2380"/>
      <c r="I86" s="2381"/>
      <c r="J86" s="2380"/>
      <c r="K86" s="2380"/>
      <c r="L86" s="2381"/>
      <c r="M86" s="2380"/>
      <c r="N86" s="2380"/>
      <c r="O86" s="2381"/>
      <c r="P86" s="2380"/>
      <c r="Q86" s="2380"/>
      <c r="R86" s="2382"/>
    </row>
    <row r="87" spans="2:18" s="2352" customFormat="1">
      <c r="B87" s="2380"/>
      <c r="C87" s="2380"/>
      <c r="D87" s="2380"/>
      <c r="E87" s="2380"/>
      <c r="F87" s="2380"/>
      <c r="G87" s="2381"/>
      <c r="H87" s="2380"/>
      <c r="I87" s="2381"/>
      <c r="J87" s="2380"/>
      <c r="K87" s="2380"/>
      <c r="L87" s="2381"/>
      <c r="M87" s="2380"/>
      <c r="N87" s="2380"/>
      <c r="O87" s="2381"/>
      <c r="P87" s="2380"/>
      <c r="Q87" s="2380"/>
      <c r="R87" s="2382"/>
    </row>
    <row r="88" spans="2:18" s="2352" customFormat="1">
      <c r="B88" s="2380"/>
      <c r="C88" s="2380"/>
      <c r="D88" s="2380"/>
      <c r="E88" s="2380"/>
      <c r="F88" s="2380"/>
      <c r="G88" s="2381"/>
      <c r="H88" s="2380"/>
      <c r="I88" s="2381"/>
      <c r="J88" s="2380"/>
      <c r="K88" s="2380"/>
      <c r="L88" s="2381"/>
      <c r="M88" s="2380"/>
      <c r="N88" s="2380"/>
      <c r="O88" s="2381"/>
      <c r="P88" s="2380"/>
      <c r="Q88" s="2380"/>
      <c r="R88" s="2382"/>
    </row>
    <row r="89" spans="2:18" s="2352" customFormat="1">
      <c r="B89" s="2380"/>
      <c r="C89" s="2380"/>
      <c r="D89" s="2380"/>
      <c r="E89" s="2380"/>
      <c r="F89" s="2380"/>
      <c r="G89" s="2381"/>
      <c r="H89" s="2380"/>
      <c r="I89" s="2381"/>
      <c r="J89" s="2380"/>
      <c r="K89" s="2380"/>
      <c r="L89" s="2381"/>
      <c r="M89" s="2380"/>
      <c r="N89" s="2380"/>
      <c r="O89" s="2381"/>
      <c r="P89" s="2380"/>
      <c r="Q89" s="2380"/>
      <c r="R89" s="2382"/>
    </row>
    <row r="90" spans="2:18" s="2352" customFormat="1">
      <c r="B90" s="2380"/>
      <c r="C90" s="2380"/>
      <c r="D90" s="2380"/>
      <c r="E90" s="2380"/>
      <c r="F90" s="2380"/>
      <c r="G90" s="2381"/>
      <c r="H90" s="2380"/>
      <c r="I90" s="2381"/>
      <c r="J90" s="2380"/>
      <c r="K90" s="2380"/>
      <c r="L90" s="2381"/>
      <c r="M90" s="2380"/>
      <c r="N90" s="2380"/>
      <c r="O90" s="2381"/>
      <c r="P90" s="2380"/>
      <c r="Q90" s="2380"/>
      <c r="R90" s="2382"/>
    </row>
    <row r="91" spans="2:18" s="2352" customFormat="1">
      <c r="B91" s="2380"/>
      <c r="C91" s="2380"/>
      <c r="D91" s="2380"/>
      <c r="E91" s="2380"/>
      <c r="F91" s="2380"/>
      <c r="G91" s="2381"/>
      <c r="H91" s="2380"/>
      <c r="I91" s="2381"/>
      <c r="J91" s="2380"/>
      <c r="K91" s="2380"/>
      <c r="L91" s="2381"/>
      <c r="M91" s="2380"/>
      <c r="N91" s="2380"/>
      <c r="O91" s="2381"/>
      <c r="P91" s="2380"/>
      <c r="Q91" s="2380"/>
      <c r="R91" s="2382"/>
    </row>
    <row r="92" spans="2:18" s="2352" customFormat="1">
      <c r="B92" s="2380"/>
      <c r="C92" s="2380"/>
      <c r="D92" s="2380"/>
      <c r="E92" s="2380"/>
      <c r="F92" s="2380"/>
      <c r="G92" s="2381"/>
      <c r="H92" s="2380"/>
      <c r="I92" s="2381"/>
      <c r="J92" s="2380"/>
      <c r="K92" s="2380"/>
      <c r="L92" s="2381"/>
      <c r="M92" s="2380"/>
      <c r="N92" s="2380"/>
      <c r="O92" s="2381"/>
      <c r="P92" s="2380"/>
      <c r="Q92" s="2380"/>
      <c r="R92" s="2382"/>
    </row>
    <row r="93" spans="2:18" s="2352" customFormat="1">
      <c r="B93" s="2380"/>
      <c r="C93" s="2380"/>
      <c r="D93" s="2380"/>
      <c r="E93" s="2380"/>
      <c r="F93" s="2380"/>
      <c r="G93" s="2381"/>
      <c r="H93" s="2380"/>
      <c r="I93" s="2381"/>
      <c r="J93" s="2380"/>
      <c r="K93" s="2380"/>
      <c r="L93" s="2381"/>
      <c r="M93" s="2380"/>
      <c r="N93" s="2380"/>
      <c r="O93" s="2381"/>
      <c r="P93" s="2380"/>
      <c r="Q93" s="2380"/>
      <c r="R93" s="2382"/>
    </row>
    <row r="94" spans="2:18" s="2352" customFormat="1">
      <c r="B94" s="2380"/>
      <c r="C94" s="2380"/>
      <c r="D94" s="2380"/>
      <c r="E94" s="2380"/>
      <c r="F94" s="2380"/>
      <c r="G94" s="2381"/>
      <c r="H94" s="2380"/>
      <c r="I94" s="2381"/>
      <c r="J94" s="2380"/>
      <c r="K94" s="2380"/>
      <c r="L94" s="2381"/>
      <c r="M94" s="2380"/>
      <c r="N94" s="2380"/>
      <c r="O94" s="2381"/>
      <c r="P94" s="2380"/>
      <c r="Q94" s="2380"/>
      <c r="R94" s="2382"/>
    </row>
    <row r="95" spans="2:18" s="2352" customFormat="1">
      <c r="B95" s="2380"/>
      <c r="C95" s="2380"/>
      <c r="D95" s="2380"/>
      <c r="E95" s="2380"/>
      <c r="F95" s="2380"/>
      <c r="G95" s="2381"/>
      <c r="H95" s="2380"/>
      <c r="I95" s="2381"/>
      <c r="J95" s="2380"/>
      <c r="K95" s="2380"/>
      <c r="L95" s="2381"/>
      <c r="M95" s="2380"/>
      <c r="N95" s="2380"/>
      <c r="O95" s="2381"/>
      <c r="P95" s="2380"/>
      <c r="Q95" s="2380"/>
      <c r="R95" s="2382"/>
    </row>
    <row r="96" spans="2:18" s="2352" customFormat="1">
      <c r="B96" s="2380"/>
      <c r="C96" s="2380"/>
      <c r="D96" s="2380"/>
      <c r="E96" s="2380"/>
      <c r="F96" s="2380"/>
      <c r="G96" s="2381"/>
      <c r="H96" s="2380"/>
      <c r="I96" s="2381"/>
      <c r="J96" s="2380"/>
      <c r="K96" s="2380"/>
      <c r="L96" s="2381"/>
      <c r="M96" s="2380"/>
      <c r="N96" s="2380"/>
      <c r="O96" s="2381"/>
      <c r="P96" s="2380"/>
      <c r="Q96" s="2380"/>
      <c r="R96" s="2382"/>
    </row>
    <row r="97" spans="2:18" s="2352" customFormat="1">
      <c r="B97" s="2380"/>
      <c r="C97" s="2380"/>
      <c r="D97" s="2380"/>
      <c r="E97" s="2380"/>
      <c r="F97" s="2380"/>
      <c r="G97" s="2381"/>
      <c r="H97" s="2380"/>
      <c r="I97" s="2381"/>
      <c r="J97" s="2380"/>
      <c r="K97" s="2380"/>
      <c r="L97" s="2381"/>
      <c r="M97" s="2380"/>
      <c r="N97" s="2380"/>
      <c r="O97" s="2381"/>
      <c r="P97" s="2380"/>
      <c r="Q97" s="2380"/>
      <c r="R97" s="2382"/>
    </row>
    <row r="98" spans="2:18" s="2352" customFormat="1">
      <c r="B98" s="2380"/>
      <c r="C98" s="2380"/>
      <c r="D98" s="2380"/>
      <c r="E98" s="2380"/>
      <c r="F98" s="2380"/>
      <c r="G98" s="2381"/>
      <c r="H98" s="2380"/>
      <c r="I98" s="2381"/>
      <c r="J98" s="2380"/>
      <c r="K98" s="2380"/>
      <c r="L98" s="2381"/>
      <c r="M98" s="2380"/>
      <c r="N98" s="2380"/>
      <c r="O98" s="2381"/>
      <c r="P98" s="2380"/>
      <c r="Q98" s="2380"/>
      <c r="R98" s="2382"/>
    </row>
    <row r="99" spans="2:18" s="2352" customFormat="1">
      <c r="B99" s="2380"/>
      <c r="C99" s="2380"/>
      <c r="D99" s="2380"/>
      <c r="E99" s="2380"/>
      <c r="F99" s="2380"/>
      <c r="G99" s="2381"/>
      <c r="H99" s="2380"/>
      <c r="I99" s="2381"/>
      <c r="J99" s="2380"/>
      <c r="K99" s="2380"/>
      <c r="L99" s="2381"/>
      <c r="M99" s="2380"/>
      <c r="N99" s="2380"/>
      <c r="O99" s="2381"/>
      <c r="P99" s="2380"/>
      <c r="Q99" s="2380"/>
      <c r="R99" s="2382"/>
    </row>
    <row r="100" spans="2:18" s="2352" customFormat="1">
      <c r="B100" s="2380"/>
      <c r="C100" s="2380"/>
      <c r="D100" s="2380"/>
      <c r="E100" s="2380"/>
      <c r="F100" s="2380"/>
      <c r="G100" s="2381"/>
      <c r="H100" s="2380"/>
      <c r="I100" s="2381"/>
      <c r="J100" s="2380"/>
      <c r="K100" s="2380"/>
      <c r="L100" s="2381"/>
      <c r="M100" s="2380"/>
      <c r="N100" s="2380"/>
      <c r="O100" s="2381"/>
      <c r="P100" s="2380"/>
      <c r="Q100" s="2380"/>
      <c r="R100" s="2382"/>
    </row>
    <row r="101" spans="2:18" s="2352" customFormat="1">
      <c r="B101" s="2380"/>
      <c r="C101" s="2380"/>
      <c r="D101" s="2380"/>
      <c r="E101" s="2380"/>
      <c r="F101" s="2380"/>
      <c r="G101" s="2381"/>
      <c r="H101" s="2380"/>
      <c r="I101" s="2381"/>
      <c r="J101" s="2380"/>
      <c r="K101" s="2380"/>
      <c r="L101" s="2381"/>
      <c r="M101" s="2380"/>
      <c r="N101" s="2380"/>
      <c r="O101" s="2381"/>
      <c r="P101" s="2380"/>
      <c r="Q101" s="2380"/>
      <c r="R101" s="2382"/>
    </row>
    <row r="102" spans="2:18" s="2352" customFormat="1">
      <c r="B102" s="2380"/>
      <c r="C102" s="2380"/>
      <c r="D102" s="2380"/>
      <c r="E102" s="2380"/>
      <c r="F102" s="2380"/>
      <c r="G102" s="2381"/>
      <c r="H102" s="2380"/>
      <c r="I102" s="2381"/>
      <c r="J102" s="2380"/>
      <c r="K102" s="2380"/>
      <c r="L102" s="2381"/>
      <c r="M102" s="2380"/>
      <c r="N102" s="2380"/>
      <c r="O102" s="2381"/>
      <c r="P102" s="2380"/>
      <c r="Q102" s="2380"/>
      <c r="R102" s="2382"/>
    </row>
    <row r="103" spans="2:18" s="2352" customFormat="1">
      <c r="B103" s="2380"/>
      <c r="C103" s="2380"/>
      <c r="D103" s="2380"/>
      <c r="E103" s="2380"/>
      <c r="F103" s="2380"/>
      <c r="G103" s="2381"/>
      <c r="H103" s="2380"/>
      <c r="I103" s="2381"/>
      <c r="J103" s="2380"/>
      <c r="K103" s="2380"/>
      <c r="L103" s="2381"/>
      <c r="M103" s="2380"/>
      <c r="N103" s="2380"/>
      <c r="O103" s="2381"/>
      <c r="P103" s="2380"/>
      <c r="Q103" s="2380"/>
      <c r="R103" s="2382"/>
    </row>
    <row r="104" spans="2:18" s="2352" customFormat="1">
      <c r="B104" s="2380"/>
      <c r="C104" s="2380"/>
      <c r="D104" s="2380"/>
      <c r="E104" s="2380"/>
      <c r="F104" s="2380"/>
      <c r="G104" s="2381"/>
      <c r="H104" s="2380"/>
      <c r="I104" s="2381"/>
      <c r="J104" s="2380"/>
      <c r="K104" s="2380"/>
      <c r="L104" s="2381"/>
      <c r="M104" s="2380"/>
      <c r="N104" s="2380"/>
      <c r="O104" s="2381"/>
      <c r="P104" s="2380"/>
      <c r="Q104" s="2380"/>
      <c r="R104" s="2382"/>
    </row>
    <row r="105" spans="2:18" s="2352" customFormat="1">
      <c r="B105" s="2380"/>
      <c r="C105" s="2380"/>
      <c r="D105" s="2380"/>
      <c r="E105" s="2380"/>
      <c r="F105" s="2380"/>
      <c r="G105" s="2381"/>
      <c r="H105" s="2380"/>
      <c r="I105" s="2381"/>
      <c r="J105" s="2380"/>
      <c r="K105" s="2380"/>
      <c r="L105" s="2381"/>
      <c r="M105" s="2380"/>
      <c r="N105" s="2380"/>
      <c r="O105" s="2381"/>
      <c r="P105" s="2380"/>
      <c r="Q105" s="2380"/>
      <c r="R105" s="2382"/>
    </row>
    <row r="106" spans="2:18" s="2352" customFormat="1">
      <c r="B106" s="2380"/>
      <c r="C106" s="2380"/>
      <c r="D106" s="2380"/>
      <c r="E106" s="2380"/>
      <c r="F106" s="2380"/>
      <c r="G106" s="2381"/>
      <c r="H106" s="2380"/>
      <c r="I106" s="2381"/>
      <c r="J106" s="2380"/>
      <c r="K106" s="2380"/>
      <c r="L106" s="2381"/>
      <c r="M106" s="2380"/>
      <c r="N106" s="2380"/>
      <c r="O106" s="2381"/>
      <c r="P106" s="2380"/>
      <c r="Q106" s="2380"/>
      <c r="R106" s="2382"/>
    </row>
    <row r="107" spans="2:18" s="2352" customFormat="1">
      <c r="B107" s="2380"/>
      <c r="C107" s="2380"/>
      <c r="D107" s="2380"/>
      <c r="E107" s="2380"/>
      <c r="F107" s="2380"/>
      <c r="G107" s="2381"/>
      <c r="H107" s="2380"/>
      <c r="I107" s="2381"/>
      <c r="J107" s="2380"/>
      <c r="K107" s="2380"/>
      <c r="L107" s="2381"/>
      <c r="M107" s="2380"/>
      <c r="N107" s="2380"/>
      <c r="O107" s="2381"/>
      <c r="P107" s="2380"/>
      <c r="Q107" s="2380"/>
      <c r="R107" s="2382"/>
    </row>
    <row r="108" spans="2:18" s="2352" customFormat="1">
      <c r="B108" s="2380"/>
      <c r="C108" s="2380"/>
      <c r="D108" s="2380"/>
      <c r="E108" s="2380"/>
      <c r="F108" s="2380"/>
      <c r="G108" s="2381"/>
      <c r="H108" s="2380"/>
      <c r="I108" s="2381"/>
      <c r="J108" s="2380"/>
      <c r="K108" s="2380"/>
      <c r="L108" s="2381"/>
      <c r="M108" s="2380"/>
      <c r="N108" s="2380"/>
      <c r="O108" s="2381"/>
      <c r="P108" s="2380"/>
      <c r="Q108" s="2380"/>
      <c r="R108" s="2382"/>
    </row>
    <row r="109" spans="2:18" s="2352" customFormat="1">
      <c r="B109" s="2380"/>
      <c r="C109" s="2380"/>
      <c r="D109" s="2380"/>
      <c r="E109" s="2380"/>
      <c r="F109" s="2380"/>
      <c r="G109" s="2381"/>
      <c r="H109" s="2380"/>
      <c r="I109" s="2381"/>
      <c r="J109" s="2380"/>
      <c r="K109" s="2380"/>
      <c r="L109" s="2381"/>
      <c r="M109" s="2380"/>
      <c r="N109" s="2380"/>
      <c r="O109" s="2381"/>
      <c r="P109" s="2380"/>
      <c r="Q109" s="2380"/>
      <c r="R109" s="2382"/>
    </row>
    <row r="110" spans="2:18" s="2352" customFormat="1">
      <c r="B110" s="2380"/>
      <c r="C110" s="2380"/>
      <c r="D110" s="2380"/>
      <c r="E110" s="2380"/>
      <c r="F110" s="2380"/>
      <c r="G110" s="2381"/>
      <c r="H110" s="2380"/>
      <c r="I110" s="2381"/>
      <c r="J110" s="2380"/>
      <c r="K110" s="2380"/>
      <c r="L110" s="2381"/>
      <c r="M110" s="2380"/>
      <c r="N110" s="2380"/>
      <c r="O110" s="2381"/>
      <c r="P110" s="2380"/>
      <c r="Q110" s="2380"/>
      <c r="R110" s="2382"/>
    </row>
    <row r="111" spans="2:18" s="2352" customFormat="1">
      <c r="B111" s="2380"/>
      <c r="C111" s="2380"/>
      <c r="D111" s="2380"/>
      <c r="E111" s="2380"/>
      <c r="F111" s="2380"/>
      <c r="G111" s="2381"/>
      <c r="H111" s="2380"/>
      <c r="I111" s="2381"/>
      <c r="J111" s="2380"/>
      <c r="K111" s="2380"/>
      <c r="L111" s="2381"/>
      <c r="M111" s="2380"/>
      <c r="N111" s="2380"/>
      <c r="O111" s="2381"/>
      <c r="P111" s="2380"/>
      <c r="Q111" s="2380"/>
      <c r="R111" s="2382"/>
    </row>
    <row r="112" spans="2:18" s="2352" customFormat="1">
      <c r="B112" s="2380"/>
      <c r="C112" s="2380"/>
      <c r="D112" s="2380"/>
      <c r="E112" s="2380"/>
      <c r="F112" s="2380"/>
      <c r="G112" s="2381"/>
      <c r="H112" s="2380"/>
      <c r="I112" s="2381"/>
      <c r="J112" s="2380"/>
      <c r="K112" s="2380"/>
      <c r="L112" s="2381"/>
      <c r="M112" s="2380"/>
      <c r="N112" s="2380"/>
      <c r="O112" s="2381"/>
      <c r="P112" s="2380"/>
      <c r="Q112" s="2380"/>
      <c r="R112" s="2382"/>
    </row>
    <row r="113" spans="2:18" s="2352" customFormat="1">
      <c r="B113" s="2380"/>
      <c r="C113" s="2380"/>
      <c r="D113" s="2380"/>
      <c r="E113" s="2380"/>
      <c r="F113" s="2380"/>
      <c r="G113" s="2381"/>
      <c r="H113" s="2380"/>
      <c r="I113" s="2381"/>
      <c r="J113" s="2380"/>
      <c r="K113" s="2380"/>
      <c r="L113" s="2381"/>
      <c r="M113" s="2380"/>
      <c r="N113" s="2380"/>
      <c r="O113" s="2381"/>
      <c r="P113" s="2380"/>
      <c r="Q113" s="2380"/>
      <c r="R113" s="2382"/>
    </row>
    <row r="114" spans="2:18" s="2352" customFormat="1">
      <c r="B114" s="2380"/>
      <c r="C114" s="2380"/>
      <c r="D114" s="2380"/>
      <c r="E114" s="2380"/>
      <c r="F114" s="2380"/>
      <c r="G114" s="2381"/>
      <c r="H114" s="2380"/>
      <c r="I114" s="2381"/>
      <c r="J114" s="2380"/>
      <c r="K114" s="2380"/>
      <c r="L114" s="2381"/>
      <c r="M114" s="2380"/>
      <c r="N114" s="2380"/>
      <c r="O114" s="2381"/>
      <c r="P114" s="2380"/>
      <c r="Q114" s="2380"/>
      <c r="R114" s="2382"/>
    </row>
    <row r="115" spans="2:18" s="2352" customFormat="1">
      <c r="B115" s="2380"/>
      <c r="C115" s="2380"/>
      <c r="D115" s="2380"/>
      <c r="E115" s="2380"/>
      <c r="F115" s="2380"/>
      <c r="G115" s="2381"/>
      <c r="H115" s="2380"/>
      <c r="I115" s="2381"/>
      <c r="J115" s="2380"/>
      <c r="K115" s="2380"/>
      <c r="L115" s="2381"/>
      <c r="M115" s="2380"/>
      <c r="N115" s="2380"/>
      <c r="O115" s="2381"/>
      <c r="P115" s="2380"/>
      <c r="Q115" s="2380"/>
      <c r="R115" s="2382"/>
    </row>
    <row r="116" spans="2:18" s="2352" customFormat="1">
      <c r="B116" s="2380"/>
      <c r="C116" s="2380"/>
      <c r="D116" s="2380"/>
      <c r="E116" s="2380"/>
      <c r="F116" s="2380"/>
      <c r="G116" s="2381"/>
      <c r="H116" s="2380"/>
      <c r="I116" s="2381"/>
      <c r="J116" s="2380"/>
      <c r="K116" s="2380"/>
      <c r="L116" s="2381"/>
      <c r="M116" s="2380"/>
      <c r="N116" s="2380"/>
      <c r="O116" s="2381"/>
      <c r="P116" s="2380"/>
      <c r="Q116" s="2380"/>
      <c r="R116" s="2382"/>
    </row>
    <row r="117" spans="2:18" s="2352" customFormat="1">
      <c r="B117" s="2380"/>
      <c r="C117" s="2380"/>
      <c r="D117" s="2380"/>
      <c r="E117" s="2380"/>
      <c r="F117" s="2380"/>
      <c r="G117" s="2381"/>
      <c r="H117" s="2380"/>
      <c r="I117" s="2381"/>
      <c r="J117" s="2380"/>
      <c r="K117" s="2380"/>
      <c r="L117" s="2381"/>
      <c r="M117" s="2380"/>
      <c r="N117" s="2380"/>
      <c r="O117" s="2381"/>
      <c r="P117" s="2380"/>
      <c r="Q117" s="2380"/>
      <c r="R117" s="2382"/>
    </row>
    <row r="118" spans="2:18" s="2352" customFormat="1">
      <c r="B118" s="2380"/>
      <c r="C118" s="2380"/>
      <c r="D118" s="2380"/>
      <c r="E118" s="2380"/>
      <c r="F118" s="2380"/>
      <c r="G118" s="2381"/>
      <c r="H118" s="2380"/>
      <c r="I118" s="2381"/>
      <c r="J118" s="2380"/>
      <c r="K118" s="2380"/>
      <c r="L118" s="2381"/>
      <c r="M118" s="2380"/>
      <c r="N118" s="2380"/>
      <c r="O118" s="2381"/>
      <c r="P118" s="2380"/>
      <c r="Q118" s="2380"/>
      <c r="R118" s="2382"/>
    </row>
    <row r="119" spans="2:18" s="2352" customFormat="1">
      <c r="B119" s="2380"/>
      <c r="C119" s="2380"/>
      <c r="D119" s="2380"/>
      <c r="E119" s="2380"/>
      <c r="F119" s="2380"/>
      <c r="G119" s="2381"/>
      <c r="H119" s="2380"/>
      <c r="I119" s="2381"/>
      <c r="J119" s="2380"/>
      <c r="K119" s="2380"/>
      <c r="L119" s="2381"/>
      <c r="M119" s="2380"/>
      <c r="N119" s="2380"/>
      <c r="O119" s="2381"/>
      <c r="P119" s="2380"/>
      <c r="Q119" s="2380"/>
      <c r="R119" s="2382"/>
    </row>
    <row r="120" spans="2:18" s="2352" customFormat="1">
      <c r="B120" s="2380"/>
      <c r="C120" s="2380"/>
      <c r="D120" s="2380"/>
      <c r="E120" s="2380"/>
      <c r="F120" s="2380"/>
      <c r="G120" s="2381"/>
      <c r="H120" s="2380"/>
      <c r="I120" s="2381"/>
      <c r="J120" s="2380"/>
      <c r="K120" s="2380"/>
      <c r="L120" s="2381"/>
      <c r="M120" s="2380"/>
      <c r="N120" s="2380"/>
      <c r="O120" s="2381"/>
      <c r="P120" s="2380"/>
      <c r="Q120" s="2380"/>
      <c r="R120" s="2382"/>
    </row>
    <row r="121" spans="2:18" s="2352" customFormat="1">
      <c r="B121" s="2380"/>
      <c r="C121" s="2380"/>
      <c r="D121" s="2380"/>
      <c r="E121" s="2380"/>
      <c r="F121" s="2380"/>
      <c r="G121" s="2381"/>
      <c r="H121" s="2380"/>
      <c r="I121" s="2381"/>
      <c r="J121" s="2380"/>
      <c r="K121" s="2380"/>
      <c r="L121" s="2381"/>
      <c r="M121" s="2380"/>
      <c r="N121" s="2380"/>
      <c r="O121" s="2381"/>
      <c r="P121" s="2380"/>
      <c r="Q121" s="2380"/>
      <c r="R121" s="2382"/>
    </row>
    <row r="122" spans="2:18" s="2352" customFormat="1">
      <c r="B122" s="2380"/>
      <c r="C122" s="2380"/>
      <c r="D122" s="2380"/>
      <c r="E122" s="2380"/>
      <c r="F122" s="2380"/>
      <c r="G122" s="2381"/>
      <c r="H122" s="2380"/>
      <c r="I122" s="2381"/>
      <c r="J122" s="2380"/>
      <c r="K122" s="2380"/>
      <c r="L122" s="2381"/>
      <c r="M122" s="2380"/>
      <c r="N122" s="2380"/>
      <c r="O122" s="2381"/>
      <c r="P122" s="2380"/>
      <c r="Q122" s="2380"/>
      <c r="R122" s="2382"/>
    </row>
    <row r="123" spans="2:18" s="2352" customFormat="1">
      <c r="B123" s="2380"/>
      <c r="C123" s="2380"/>
      <c r="D123" s="2380"/>
      <c r="E123" s="2380"/>
      <c r="F123" s="2380"/>
      <c r="G123" s="2381"/>
      <c r="H123" s="2380"/>
      <c r="I123" s="2381"/>
      <c r="J123" s="2380"/>
      <c r="K123" s="2380"/>
      <c r="L123" s="2381"/>
      <c r="M123" s="2380"/>
      <c r="N123" s="2380"/>
      <c r="O123" s="2381"/>
      <c r="P123" s="2380"/>
      <c r="Q123" s="2380"/>
      <c r="R123" s="2382"/>
    </row>
    <row r="124" spans="2:18" s="2352" customFormat="1">
      <c r="B124" s="2380"/>
      <c r="C124" s="2380"/>
      <c r="D124" s="2380"/>
      <c r="E124" s="2380"/>
      <c r="F124" s="2380"/>
      <c r="G124" s="2381"/>
      <c r="H124" s="2380"/>
      <c r="I124" s="2381"/>
      <c r="J124" s="2380"/>
      <c r="K124" s="2380"/>
      <c r="L124" s="2381"/>
      <c r="M124" s="2380"/>
      <c r="N124" s="2380"/>
      <c r="O124" s="2381"/>
      <c r="P124" s="2380"/>
      <c r="Q124" s="2380"/>
      <c r="R124" s="2382"/>
    </row>
    <row r="125" spans="2:18" s="2352" customFormat="1">
      <c r="B125" s="2380"/>
      <c r="C125" s="2380"/>
      <c r="D125" s="2380"/>
      <c r="E125" s="2380"/>
      <c r="F125" s="2380"/>
      <c r="G125" s="2381"/>
      <c r="H125" s="2380"/>
      <c r="I125" s="2381"/>
      <c r="J125" s="2380"/>
      <c r="K125" s="2380"/>
      <c r="L125" s="2381"/>
      <c r="M125" s="2380"/>
      <c r="N125" s="2380"/>
      <c r="O125" s="2381"/>
      <c r="P125" s="2380"/>
      <c r="Q125" s="2380"/>
      <c r="R125" s="2382"/>
    </row>
    <row r="126" spans="2:18" s="2352" customFormat="1">
      <c r="B126" s="2380"/>
      <c r="C126" s="2380"/>
      <c r="D126" s="2380"/>
      <c r="E126" s="2380"/>
      <c r="F126" s="2380"/>
      <c r="G126" s="2381"/>
      <c r="H126" s="2380"/>
      <c r="I126" s="2381"/>
      <c r="J126" s="2380"/>
      <c r="K126" s="2380"/>
      <c r="L126" s="2381"/>
      <c r="M126" s="2380"/>
      <c r="N126" s="2380"/>
      <c r="O126" s="2381"/>
      <c r="P126" s="2380"/>
      <c r="Q126" s="2380"/>
      <c r="R126" s="2382"/>
    </row>
    <row r="127" spans="2:18" s="2352" customFormat="1">
      <c r="B127" s="2380"/>
      <c r="C127" s="2380"/>
      <c r="D127" s="2380"/>
      <c r="E127" s="2380"/>
      <c r="F127" s="2380"/>
      <c r="G127" s="2381"/>
      <c r="H127" s="2380"/>
      <c r="I127" s="2381"/>
      <c r="J127" s="2380"/>
      <c r="K127" s="2380"/>
      <c r="L127" s="2381"/>
      <c r="M127" s="2380"/>
      <c r="N127" s="2380"/>
      <c r="O127" s="2381"/>
      <c r="P127" s="2380"/>
      <c r="Q127" s="2380"/>
      <c r="R127" s="2382"/>
    </row>
    <row r="128" spans="2:18" s="2352" customFormat="1">
      <c r="B128" s="2380"/>
      <c r="C128" s="2380"/>
      <c r="D128" s="2380"/>
      <c r="E128" s="2380"/>
      <c r="F128" s="2380"/>
      <c r="G128" s="2381"/>
      <c r="H128" s="2380"/>
      <c r="I128" s="2381"/>
      <c r="J128" s="2380"/>
      <c r="K128" s="2380"/>
      <c r="L128" s="2381"/>
      <c r="M128" s="2380"/>
      <c r="N128" s="2380"/>
      <c r="O128" s="2381"/>
      <c r="P128" s="2380"/>
      <c r="Q128" s="2380"/>
      <c r="R128" s="2382"/>
    </row>
    <row r="129" spans="2:18" s="2352" customFormat="1">
      <c r="B129" s="2380"/>
      <c r="C129" s="2380"/>
      <c r="D129" s="2380"/>
      <c r="E129" s="2380"/>
      <c r="F129" s="2380"/>
      <c r="G129" s="2381"/>
      <c r="H129" s="2380"/>
      <c r="I129" s="2381"/>
      <c r="J129" s="2380"/>
      <c r="K129" s="2380"/>
      <c r="L129" s="2381"/>
      <c r="M129" s="2380"/>
      <c r="N129" s="2380"/>
      <c r="O129" s="2381"/>
      <c r="P129" s="2380"/>
      <c r="Q129" s="2380"/>
      <c r="R129" s="2382"/>
    </row>
    <row r="130" spans="2:18" s="2352" customFormat="1">
      <c r="B130" s="2380"/>
      <c r="C130" s="2380"/>
      <c r="D130" s="2380"/>
      <c r="E130" s="2380"/>
      <c r="F130" s="2380"/>
      <c r="G130" s="2381"/>
      <c r="H130" s="2380"/>
      <c r="I130" s="2381"/>
      <c r="J130" s="2380"/>
      <c r="K130" s="2380"/>
      <c r="L130" s="2381"/>
      <c r="M130" s="2380"/>
      <c r="N130" s="2380"/>
      <c r="O130" s="2381"/>
      <c r="P130" s="2380"/>
      <c r="Q130" s="2380"/>
      <c r="R130" s="2382"/>
    </row>
    <row r="131" spans="2:18" s="2352" customFormat="1">
      <c r="B131" s="2380"/>
      <c r="C131" s="2380"/>
      <c r="D131" s="2380"/>
      <c r="E131" s="2380"/>
      <c r="F131" s="2380"/>
      <c r="G131" s="2381"/>
      <c r="H131" s="2380"/>
      <c r="I131" s="2381"/>
      <c r="J131" s="2380"/>
      <c r="K131" s="2380"/>
      <c r="L131" s="2381"/>
      <c r="M131" s="2380"/>
      <c r="N131" s="2380"/>
      <c r="O131" s="2381"/>
      <c r="P131" s="2380"/>
      <c r="Q131" s="2380"/>
      <c r="R131" s="2382"/>
    </row>
    <row r="132" spans="2:18" s="2352" customFormat="1">
      <c r="B132" s="2380"/>
      <c r="C132" s="2380"/>
      <c r="D132" s="2380"/>
      <c r="E132" s="2380"/>
      <c r="F132" s="2380"/>
      <c r="G132" s="2381"/>
      <c r="H132" s="2380"/>
      <c r="I132" s="2381"/>
      <c r="J132" s="2380"/>
      <c r="K132" s="2380"/>
      <c r="L132" s="2381"/>
      <c r="M132" s="2380"/>
      <c r="N132" s="2380"/>
      <c r="O132" s="2381"/>
      <c r="P132" s="2380"/>
      <c r="Q132" s="2380"/>
      <c r="R132" s="2382"/>
    </row>
    <row r="133" spans="2:18" s="2352" customFormat="1">
      <c r="B133" s="2380"/>
      <c r="C133" s="2380"/>
      <c r="D133" s="2380"/>
      <c r="E133" s="2380"/>
      <c r="F133" s="2380"/>
      <c r="G133" s="2381"/>
      <c r="H133" s="2380"/>
      <c r="I133" s="2381"/>
      <c r="J133" s="2380"/>
      <c r="K133" s="2380"/>
      <c r="L133" s="2381"/>
      <c r="M133" s="2380"/>
      <c r="N133" s="2380"/>
      <c r="O133" s="2381"/>
      <c r="P133" s="2380"/>
      <c r="Q133" s="2380"/>
      <c r="R133" s="2382"/>
    </row>
    <row r="134" spans="2:18" s="2352" customFormat="1">
      <c r="B134" s="2380"/>
      <c r="C134" s="2380"/>
      <c r="D134" s="2380"/>
      <c r="E134" s="2380"/>
      <c r="F134" s="2380"/>
      <c r="G134" s="2381"/>
      <c r="H134" s="2380"/>
      <c r="I134" s="2381"/>
      <c r="J134" s="2380"/>
      <c r="K134" s="2380"/>
      <c r="L134" s="2381"/>
      <c r="M134" s="2380"/>
      <c r="N134" s="2380"/>
      <c r="O134" s="2381"/>
      <c r="P134" s="2380"/>
      <c r="Q134" s="2380"/>
      <c r="R134" s="2382"/>
    </row>
    <row r="135" spans="2:18" s="2352" customFormat="1">
      <c r="B135" s="2380"/>
      <c r="C135" s="2380"/>
      <c r="D135" s="2380"/>
      <c r="E135" s="2380"/>
      <c r="F135" s="2380"/>
      <c r="G135" s="2381"/>
      <c r="H135" s="2380"/>
      <c r="I135" s="2381"/>
      <c r="J135" s="2380"/>
      <c r="K135" s="2380"/>
      <c r="L135" s="2381"/>
      <c r="M135" s="2380"/>
      <c r="N135" s="2380"/>
      <c r="O135" s="2381"/>
      <c r="P135" s="2380"/>
      <c r="Q135" s="2380"/>
      <c r="R135" s="2382"/>
    </row>
    <row r="136" spans="2:18" s="2352" customFormat="1">
      <c r="B136" s="2380"/>
      <c r="C136" s="2380"/>
      <c r="D136" s="2380"/>
      <c r="E136" s="2380"/>
      <c r="F136" s="2380"/>
      <c r="G136" s="2381"/>
      <c r="H136" s="2380"/>
      <c r="I136" s="2381"/>
      <c r="J136" s="2380"/>
      <c r="K136" s="2380"/>
      <c r="L136" s="2381"/>
      <c r="M136" s="2380"/>
      <c r="N136" s="2380"/>
      <c r="O136" s="2381"/>
      <c r="P136" s="2380"/>
      <c r="Q136" s="2380"/>
      <c r="R136" s="2382"/>
    </row>
    <row r="137" spans="2:18" s="2352" customFormat="1">
      <c r="B137" s="2380"/>
      <c r="C137" s="2380"/>
      <c r="D137" s="2380"/>
      <c r="E137" s="2380"/>
      <c r="F137" s="2380"/>
      <c r="G137" s="2381"/>
      <c r="H137" s="2380"/>
      <c r="I137" s="2381"/>
      <c r="J137" s="2380"/>
      <c r="K137" s="2380"/>
      <c r="L137" s="2381"/>
      <c r="M137" s="2380"/>
      <c r="N137" s="2380"/>
      <c r="O137" s="2381"/>
      <c r="P137" s="2380"/>
      <c r="Q137" s="2380"/>
      <c r="R137" s="2382"/>
    </row>
    <row r="138" spans="2:18" s="2352" customFormat="1">
      <c r="B138" s="2380"/>
      <c r="C138" s="2380"/>
      <c r="D138" s="2380"/>
      <c r="E138" s="2380"/>
      <c r="F138" s="2380"/>
      <c r="G138" s="2381"/>
      <c r="H138" s="2380"/>
      <c r="I138" s="2381"/>
      <c r="J138" s="2380"/>
      <c r="K138" s="2380"/>
      <c r="L138" s="2381"/>
      <c r="M138" s="2380"/>
      <c r="N138" s="2380"/>
      <c r="O138" s="2381"/>
      <c r="P138" s="2380"/>
      <c r="Q138" s="2380"/>
      <c r="R138" s="2382"/>
    </row>
    <row r="139" spans="2:18" s="2352" customFormat="1">
      <c r="B139" s="2380"/>
      <c r="C139" s="2380"/>
      <c r="D139" s="2380"/>
      <c r="E139" s="2380"/>
      <c r="F139" s="2380"/>
      <c r="G139" s="2381"/>
      <c r="H139" s="2380"/>
      <c r="I139" s="2381"/>
      <c r="J139" s="2380"/>
      <c r="K139" s="2380"/>
      <c r="L139" s="2381"/>
      <c r="M139" s="2380"/>
      <c r="N139" s="2380"/>
      <c r="O139" s="2381"/>
      <c r="P139" s="2380"/>
      <c r="Q139" s="2380"/>
      <c r="R139" s="2382"/>
    </row>
    <row r="140" spans="2:18" s="2352" customFormat="1">
      <c r="B140" s="2380"/>
      <c r="C140" s="2380"/>
      <c r="D140" s="2380"/>
      <c r="E140" s="2380"/>
      <c r="F140" s="2380"/>
      <c r="G140" s="2381"/>
      <c r="H140" s="2380"/>
      <c r="I140" s="2381"/>
      <c r="J140" s="2380"/>
      <c r="K140" s="2380"/>
      <c r="L140" s="2381"/>
      <c r="M140" s="2380"/>
      <c r="N140" s="2380"/>
      <c r="O140" s="2381"/>
      <c r="P140" s="2380"/>
      <c r="Q140" s="2380"/>
      <c r="R140" s="2382"/>
    </row>
    <row r="141" spans="2:18" s="2352" customFormat="1">
      <c r="B141" s="2380"/>
      <c r="C141" s="2380"/>
      <c r="D141" s="2380"/>
      <c r="E141" s="2380"/>
      <c r="F141" s="2380"/>
      <c r="G141" s="2381"/>
      <c r="H141" s="2380"/>
      <c r="I141" s="2381"/>
      <c r="J141" s="2380"/>
      <c r="K141" s="2380"/>
      <c r="L141" s="2381"/>
      <c r="M141" s="2380"/>
      <c r="N141" s="2380"/>
      <c r="O141" s="2381"/>
      <c r="P141" s="2380"/>
      <c r="Q141" s="2380"/>
      <c r="R141" s="2382"/>
    </row>
    <row r="142" spans="2:18" s="2352" customFormat="1">
      <c r="B142" s="2380"/>
      <c r="C142" s="2380"/>
      <c r="D142" s="2380"/>
      <c r="E142" s="2380"/>
      <c r="F142" s="2380"/>
      <c r="G142" s="2381"/>
      <c r="H142" s="2380"/>
      <c r="I142" s="2381"/>
      <c r="J142" s="2380"/>
      <c r="K142" s="2380"/>
      <c r="L142" s="2381"/>
      <c r="M142" s="2380"/>
      <c r="N142" s="2380"/>
      <c r="O142" s="2381"/>
      <c r="P142" s="2380"/>
      <c r="Q142" s="2380"/>
      <c r="R142" s="2382"/>
    </row>
    <row r="143" spans="2:18" s="2352" customFormat="1">
      <c r="B143" s="2380"/>
      <c r="C143" s="2380"/>
      <c r="D143" s="2380"/>
      <c r="E143" s="2380"/>
      <c r="F143" s="2380"/>
      <c r="G143" s="2381"/>
      <c r="H143" s="2380"/>
      <c r="I143" s="2381"/>
      <c r="J143" s="2380"/>
      <c r="K143" s="2380"/>
      <c r="L143" s="2381"/>
      <c r="M143" s="2380"/>
      <c r="N143" s="2380"/>
      <c r="O143" s="2381"/>
      <c r="P143" s="2380"/>
      <c r="Q143" s="2380"/>
      <c r="R143" s="2382"/>
    </row>
    <row r="144" spans="2:18" s="2352" customFormat="1">
      <c r="B144" s="2380"/>
      <c r="C144" s="2380"/>
      <c r="D144" s="2380"/>
      <c r="E144" s="2380"/>
      <c r="F144" s="2380"/>
      <c r="G144" s="2381"/>
      <c r="H144" s="2380"/>
      <c r="I144" s="2381"/>
      <c r="J144" s="2380"/>
      <c r="K144" s="2380"/>
      <c r="L144" s="2381"/>
      <c r="M144" s="2380"/>
      <c r="N144" s="2380"/>
      <c r="O144" s="2381"/>
      <c r="P144" s="2380"/>
      <c r="Q144" s="2380"/>
      <c r="R144" s="2382"/>
    </row>
    <row r="145" spans="2:18" s="2352" customFormat="1">
      <c r="B145" s="2380"/>
      <c r="C145" s="2380"/>
      <c r="D145" s="2380"/>
      <c r="E145" s="2380"/>
      <c r="F145" s="2380"/>
      <c r="G145" s="2381"/>
      <c r="H145" s="2380"/>
      <c r="I145" s="2381"/>
      <c r="J145" s="2380"/>
      <c r="K145" s="2380"/>
      <c r="L145" s="2381"/>
      <c r="M145" s="2380"/>
      <c r="N145" s="2380"/>
      <c r="O145" s="2381"/>
      <c r="P145" s="2380"/>
      <c r="Q145" s="2380"/>
      <c r="R145" s="2382"/>
    </row>
    <row r="146" spans="2:18" s="2352" customFormat="1">
      <c r="B146" s="2380"/>
      <c r="C146" s="2380"/>
      <c r="D146" s="2380"/>
      <c r="E146" s="2380"/>
      <c r="F146" s="2380"/>
      <c r="G146" s="2381"/>
      <c r="H146" s="2380"/>
      <c r="I146" s="2381"/>
      <c r="J146" s="2380"/>
      <c r="K146" s="2380"/>
      <c r="L146" s="2381"/>
      <c r="M146" s="2380"/>
      <c r="N146" s="2380"/>
      <c r="O146" s="2381"/>
      <c r="P146" s="2380"/>
      <c r="Q146" s="2380"/>
      <c r="R146" s="2382"/>
    </row>
    <row r="147" spans="2:18" s="2352" customFormat="1">
      <c r="B147" s="2380"/>
      <c r="C147" s="2380"/>
      <c r="D147" s="2380"/>
      <c r="E147" s="2380"/>
      <c r="F147" s="2380"/>
      <c r="G147" s="2381"/>
      <c r="H147" s="2380"/>
      <c r="I147" s="2381"/>
      <c r="J147" s="2380"/>
      <c r="K147" s="2380"/>
      <c r="L147" s="2381"/>
      <c r="M147" s="2380"/>
      <c r="N147" s="2380"/>
      <c r="O147" s="2381"/>
      <c r="P147" s="2380"/>
      <c r="Q147" s="2380"/>
      <c r="R147" s="2382"/>
    </row>
    <row r="148" spans="2:18" s="2352" customFormat="1">
      <c r="B148" s="2380"/>
      <c r="C148" s="2380"/>
      <c r="D148" s="2380"/>
      <c r="E148" s="2380"/>
      <c r="F148" s="2380"/>
      <c r="G148" s="2381"/>
      <c r="H148" s="2380"/>
      <c r="I148" s="2381"/>
      <c r="J148" s="2380"/>
      <c r="K148" s="2380"/>
      <c r="L148" s="2381"/>
      <c r="M148" s="2380"/>
      <c r="N148" s="2380"/>
      <c r="O148" s="2381"/>
      <c r="P148" s="2380"/>
      <c r="Q148" s="2380"/>
      <c r="R148" s="2382"/>
    </row>
    <row r="149" spans="2:18" s="2352" customFormat="1">
      <c r="B149" s="2380"/>
      <c r="C149" s="2380"/>
      <c r="D149" s="2380"/>
      <c r="E149" s="2380"/>
      <c r="F149" s="2380"/>
      <c r="G149" s="2381"/>
      <c r="H149" s="2380"/>
      <c r="I149" s="2381"/>
      <c r="J149" s="2380"/>
      <c r="K149" s="2380"/>
      <c r="L149" s="2381"/>
      <c r="M149" s="2380"/>
      <c r="N149" s="2380"/>
      <c r="O149" s="2381"/>
      <c r="P149" s="2380"/>
      <c r="Q149" s="2380"/>
      <c r="R149" s="2382"/>
    </row>
    <row r="150" spans="2:18" s="2352" customFormat="1">
      <c r="B150" s="2380"/>
      <c r="C150" s="2380"/>
      <c r="D150" s="2380"/>
      <c r="E150" s="2380"/>
      <c r="F150" s="2380"/>
      <c r="G150" s="2381"/>
      <c r="H150" s="2380"/>
      <c r="I150" s="2381"/>
      <c r="J150" s="2380"/>
      <c r="K150" s="2380"/>
      <c r="L150" s="2381"/>
      <c r="M150" s="2380"/>
      <c r="N150" s="2380"/>
      <c r="O150" s="2381"/>
      <c r="P150" s="2380"/>
      <c r="Q150" s="2380"/>
      <c r="R150" s="2382"/>
    </row>
    <row r="151" spans="2:18" s="2352" customFormat="1">
      <c r="B151" s="2380"/>
      <c r="C151" s="2380"/>
      <c r="D151" s="2380"/>
      <c r="E151" s="2380"/>
      <c r="F151" s="2380"/>
      <c r="G151" s="2381"/>
      <c r="H151" s="2380"/>
      <c r="I151" s="2381"/>
      <c r="J151" s="2380"/>
      <c r="K151" s="2380"/>
      <c r="L151" s="2381"/>
      <c r="M151" s="2380"/>
      <c r="N151" s="2380"/>
      <c r="O151" s="2381"/>
      <c r="P151" s="2380"/>
      <c r="Q151" s="2380"/>
      <c r="R151" s="2382"/>
    </row>
    <row r="152" spans="2:18" s="2352" customFormat="1">
      <c r="B152" s="2380"/>
      <c r="C152" s="2380"/>
      <c r="D152" s="2380"/>
      <c r="E152" s="2380"/>
      <c r="F152" s="2380"/>
      <c r="G152" s="2381"/>
      <c r="H152" s="2380"/>
      <c r="I152" s="2381"/>
      <c r="J152" s="2380"/>
      <c r="K152" s="2380"/>
      <c r="L152" s="2381"/>
      <c r="M152" s="2380"/>
      <c r="N152" s="2380"/>
      <c r="O152" s="2381"/>
      <c r="P152" s="2380"/>
      <c r="Q152" s="2380"/>
      <c r="R152" s="2382"/>
    </row>
    <row r="153" spans="2:18" s="2352" customFormat="1">
      <c r="B153" s="2380"/>
      <c r="C153" s="2380"/>
      <c r="D153" s="2380"/>
      <c r="E153" s="2380"/>
      <c r="F153" s="2380"/>
      <c r="G153" s="2381"/>
      <c r="H153" s="2380"/>
      <c r="I153" s="2381"/>
      <c r="J153" s="2380"/>
      <c r="K153" s="2380"/>
      <c r="L153" s="2381"/>
      <c r="M153" s="2380"/>
      <c r="N153" s="2380"/>
      <c r="O153" s="2381"/>
      <c r="P153" s="2380"/>
      <c r="Q153" s="2380"/>
      <c r="R153" s="2382"/>
    </row>
    <row r="154" spans="2:18" s="2352" customFormat="1">
      <c r="B154" s="2380"/>
      <c r="C154" s="2380"/>
      <c r="D154" s="2380"/>
      <c r="E154" s="2380"/>
      <c r="F154" s="2380"/>
      <c r="G154" s="2381"/>
      <c r="H154" s="2380"/>
      <c r="I154" s="2381"/>
      <c r="J154" s="2380"/>
      <c r="K154" s="2380"/>
      <c r="L154" s="2381"/>
      <c r="M154" s="2380"/>
      <c r="N154" s="2380"/>
      <c r="O154" s="2381"/>
      <c r="P154" s="2380"/>
      <c r="Q154" s="2380"/>
      <c r="R154" s="2382"/>
    </row>
    <row r="155" spans="2:18" s="2352" customFormat="1">
      <c r="B155" s="2380"/>
      <c r="C155" s="2380"/>
      <c r="D155" s="2380"/>
      <c r="E155" s="2380"/>
      <c r="F155" s="2380"/>
      <c r="G155" s="2381"/>
      <c r="H155" s="2380"/>
      <c r="I155" s="2381"/>
      <c r="J155" s="2380"/>
      <c r="K155" s="2380"/>
      <c r="L155" s="2381"/>
      <c r="M155" s="2380"/>
      <c r="N155" s="2380"/>
      <c r="O155" s="2381"/>
      <c r="P155" s="2380"/>
      <c r="Q155" s="2380"/>
      <c r="R155" s="2382"/>
    </row>
    <row r="156" spans="2:18" s="2352" customFormat="1">
      <c r="B156" s="2380"/>
      <c r="C156" s="2380"/>
      <c r="D156" s="2380"/>
      <c r="E156" s="2380"/>
      <c r="F156" s="2380"/>
      <c r="G156" s="2381"/>
      <c r="H156" s="2380"/>
      <c r="I156" s="2381"/>
      <c r="J156" s="2380"/>
      <c r="K156" s="2380"/>
      <c r="L156" s="2381"/>
      <c r="M156" s="2380"/>
      <c r="N156" s="2380"/>
      <c r="O156" s="2381"/>
      <c r="P156" s="2380"/>
      <c r="Q156" s="2380"/>
      <c r="R156" s="2382"/>
    </row>
    <row r="157" spans="2:18" s="2352" customFormat="1">
      <c r="B157" s="2380"/>
      <c r="C157" s="2380"/>
      <c r="D157" s="2380"/>
      <c r="E157" s="2380"/>
      <c r="F157" s="2380"/>
      <c r="G157" s="2381"/>
      <c r="H157" s="2380"/>
      <c r="I157" s="2381"/>
      <c r="J157" s="2380"/>
      <c r="K157" s="2380"/>
      <c r="L157" s="2381"/>
      <c r="M157" s="2380"/>
      <c r="N157" s="2380"/>
      <c r="O157" s="2381"/>
      <c r="P157" s="2380"/>
      <c r="Q157" s="2380"/>
      <c r="R157" s="2382"/>
    </row>
    <row r="158" spans="2:18" s="2352" customFormat="1">
      <c r="B158" s="2380"/>
      <c r="C158" s="2380"/>
      <c r="D158" s="2380"/>
      <c r="E158" s="2380"/>
      <c r="F158" s="2380"/>
      <c r="G158" s="2381"/>
      <c r="H158" s="2380"/>
      <c r="I158" s="2381"/>
      <c r="J158" s="2380"/>
      <c r="K158" s="2380"/>
      <c r="L158" s="2381"/>
      <c r="M158" s="2380"/>
      <c r="N158" s="2380"/>
      <c r="O158" s="2381"/>
      <c r="P158" s="2380"/>
      <c r="Q158" s="2380"/>
      <c r="R158" s="2382"/>
    </row>
    <row r="159" spans="2:18" s="2352" customFormat="1">
      <c r="B159" s="2380"/>
      <c r="C159" s="2380"/>
      <c r="D159" s="2380"/>
      <c r="E159" s="2380"/>
      <c r="F159" s="2380"/>
      <c r="G159" s="2381"/>
      <c r="H159" s="2380"/>
      <c r="I159" s="2381"/>
      <c r="J159" s="2380"/>
      <c r="K159" s="2380"/>
      <c r="L159" s="2381"/>
      <c r="M159" s="2380"/>
      <c r="N159" s="2380"/>
      <c r="O159" s="2381"/>
      <c r="P159" s="2380"/>
      <c r="Q159" s="2380"/>
      <c r="R159" s="2382"/>
    </row>
    <row r="160" spans="2:18" s="2352" customFormat="1">
      <c r="B160" s="2380"/>
      <c r="C160" s="2380"/>
      <c r="D160" s="2380"/>
      <c r="E160" s="2380"/>
      <c r="F160" s="2380"/>
      <c r="G160" s="2381"/>
      <c r="H160" s="2380"/>
      <c r="I160" s="2381"/>
      <c r="J160" s="2380"/>
      <c r="K160" s="2380"/>
      <c r="L160" s="2381"/>
      <c r="M160" s="2380"/>
      <c r="N160" s="2380"/>
      <c r="O160" s="2381"/>
      <c r="P160" s="2380"/>
      <c r="Q160" s="2380"/>
      <c r="R160" s="2382"/>
    </row>
    <row r="161" spans="2:18" s="2352" customFormat="1">
      <c r="B161" s="2380"/>
      <c r="C161" s="2380"/>
      <c r="D161" s="2380"/>
      <c r="E161" s="2380"/>
      <c r="F161" s="2380"/>
      <c r="G161" s="2381"/>
      <c r="H161" s="2380"/>
      <c r="I161" s="2381"/>
      <c r="J161" s="2380"/>
      <c r="K161" s="2380"/>
      <c r="L161" s="2381"/>
      <c r="M161" s="2380"/>
      <c r="N161" s="2380"/>
      <c r="O161" s="2381"/>
      <c r="P161" s="2380"/>
      <c r="Q161" s="2380"/>
      <c r="R161" s="2382"/>
    </row>
    <row r="162" spans="2:18" s="2352" customFormat="1">
      <c r="B162" s="2380"/>
      <c r="C162" s="2380"/>
      <c r="D162" s="2380"/>
      <c r="E162" s="2380"/>
      <c r="F162" s="2380"/>
      <c r="G162" s="2381"/>
      <c r="H162" s="2380"/>
      <c r="I162" s="2381"/>
      <c r="J162" s="2380"/>
      <c r="K162" s="2380"/>
      <c r="L162" s="2381"/>
      <c r="M162" s="2380"/>
      <c r="N162" s="2380"/>
      <c r="O162" s="2381"/>
      <c r="P162" s="2380"/>
      <c r="Q162" s="2380"/>
      <c r="R162" s="2382"/>
    </row>
    <row r="163" spans="2:18" s="2352" customFormat="1">
      <c r="B163" s="2380"/>
      <c r="C163" s="2380"/>
      <c r="D163" s="2380"/>
      <c r="E163" s="2380"/>
      <c r="F163" s="2380"/>
      <c r="G163" s="2381"/>
      <c r="H163" s="2380"/>
      <c r="I163" s="2381"/>
      <c r="J163" s="2380"/>
      <c r="K163" s="2380"/>
      <c r="L163" s="2381"/>
      <c r="M163" s="2380"/>
      <c r="N163" s="2380"/>
      <c r="O163" s="2381"/>
      <c r="P163" s="2380"/>
      <c r="Q163" s="2380"/>
      <c r="R163" s="2382"/>
    </row>
    <row r="164" spans="2:18" s="2352" customFormat="1">
      <c r="B164" s="2380"/>
      <c r="C164" s="2380"/>
      <c r="D164" s="2380"/>
      <c r="E164" s="2380"/>
      <c r="F164" s="2380"/>
      <c r="G164" s="2381"/>
      <c r="H164" s="2380"/>
      <c r="I164" s="2381"/>
      <c r="J164" s="2380"/>
      <c r="K164" s="2380"/>
      <c r="L164" s="2381"/>
      <c r="M164" s="2380"/>
      <c r="N164" s="2380"/>
      <c r="O164" s="2381"/>
      <c r="P164" s="2380"/>
      <c r="Q164" s="2380"/>
      <c r="R164" s="2382"/>
    </row>
    <row r="165" spans="2:18" s="2352" customFormat="1">
      <c r="B165" s="2380"/>
      <c r="C165" s="2380"/>
      <c r="D165" s="2380"/>
      <c r="E165" s="2380"/>
      <c r="F165" s="2380"/>
      <c r="G165" s="2381"/>
      <c r="H165" s="2380"/>
      <c r="I165" s="2381"/>
      <c r="J165" s="2380"/>
      <c r="K165" s="2380"/>
      <c r="L165" s="2381"/>
      <c r="M165" s="2380"/>
      <c r="N165" s="2380"/>
      <c r="O165" s="2381"/>
      <c r="P165" s="2380"/>
      <c r="Q165" s="2380"/>
      <c r="R165" s="2382"/>
    </row>
    <row r="166" spans="2:18" s="2352" customFormat="1">
      <c r="B166" s="2380"/>
      <c r="C166" s="2380"/>
      <c r="D166" s="2380"/>
      <c r="E166" s="2380"/>
      <c r="F166" s="2380"/>
      <c r="G166" s="2381"/>
      <c r="H166" s="2380"/>
      <c r="I166" s="2381"/>
      <c r="J166" s="2380"/>
      <c r="K166" s="2380"/>
      <c r="L166" s="2381"/>
      <c r="M166" s="2380"/>
      <c r="N166" s="2380"/>
      <c r="O166" s="2381"/>
      <c r="P166" s="2380"/>
      <c r="Q166" s="2380"/>
      <c r="R166" s="2382"/>
    </row>
    <row r="167" spans="2:18" s="2352" customFormat="1">
      <c r="B167" s="2380"/>
      <c r="C167" s="2380"/>
      <c r="D167" s="2380"/>
      <c r="E167" s="2380"/>
      <c r="F167" s="2380"/>
      <c r="G167" s="2381"/>
      <c r="H167" s="2380"/>
      <c r="I167" s="2381"/>
      <c r="J167" s="2380"/>
      <c r="K167" s="2380"/>
      <c r="L167" s="2381"/>
      <c r="M167" s="2380"/>
      <c r="N167" s="2380"/>
      <c r="O167" s="2381"/>
      <c r="P167" s="2380"/>
      <c r="Q167" s="2380"/>
      <c r="R167" s="2382"/>
    </row>
    <row r="168" spans="2:18" s="2352" customFormat="1">
      <c r="B168" s="2380"/>
      <c r="C168" s="2380"/>
      <c r="D168" s="2380"/>
      <c r="E168" s="2380"/>
      <c r="F168" s="2380"/>
      <c r="G168" s="2381"/>
      <c r="H168" s="2380"/>
      <c r="I168" s="2381"/>
      <c r="J168" s="2380"/>
      <c r="K168" s="2380"/>
      <c r="L168" s="2381"/>
      <c r="M168" s="2380"/>
      <c r="N168" s="2380"/>
      <c r="O168" s="2381"/>
      <c r="P168" s="2380"/>
      <c r="Q168" s="2380"/>
      <c r="R168" s="2382"/>
    </row>
    <row r="169" spans="2:18" s="2352" customFormat="1">
      <c r="B169" s="2380"/>
      <c r="C169" s="2380"/>
      <c r="D169" s="2380"/>
      <c r="E169" s="2380"/>
      <c r="F169" s="2380"/>
      <c r="G169" s="2381"/>
      <c r="H169" s="2380"/>
      <c r="I169" s="2381"/>
      <c r="J169" s="2380"/>
      <c r="K169" s="2380"/>
      <c r="L169" s="2381"/>
      <c r="M169" s="2380"/>
      <c r="N169" s="2380"/>
      <c r="O169" s="2381"/>
      <c r="P169" s="2380"/>
      <c r="Q169" s="2380"/>
      <c r="R169" s="2382"/>
    </row>
    <row r="170" spans="2:18" s="2352" customFormat="1">
      <c r="B170" s="2380"/>
      <c r="C170" s="2380"/>
      <c r="D170" s="2380"/>
      <c r="E170" s="2380"/>
      <c r="F170" s="2380"/>
      <c r="G170" s="2381"/>
      <c r="H170" s="2380"/>
      <c r="I170" s="2381"/>
      <c r="J170" s="2380"/>
      <c r="K170" s="2380"/>
      <c r="L170" s="2381"/>
      <c r="M170" s="2380"/>
      <c r="N170" s="2380"/>
      <c r="O170" s="2381"/>
      <c r="P170" s="2380"/>
      <c r="Q170" s="2380"/>
      <c r="R170" s="2382"/>
    </row>
    <row r="171" spans="2:18" s="2352" customFormat="1">
      <c r="B171" s="2380"/>
      <c r="C171" s="2380"/>
      <c r="D171" s="2380"/>
      <c r="E171" s="2380"/>
      <c r="F171" s="2380"/>
      <c r="G171" s="2381"/>
      <c r="H171" s="2380"/>
      <c r="I171" s="2381"/>
      <c r="J171" s="2380"/>
      <c r="K171" s="2380"/>
      <c r="L171" s="2381"/>
      <c r="M171" s="2380"/>
      <c r="N171" s="2380"/>
      <c r="O171" s="2381"/>
      <c r="P171" s="2380"/>
      <c r="Q171" s="2380"/>
      <c r="R171" s="2382"/>
    </row>
    <row r="172" spans="2:18" s="2352" customFormat="1">
      <c r="B172" s="2380"/>
      <c r="C172" s="2380"/>
      <c r="D172" s="2380"/>
      <c r="E172" s="2380"/>
      <c r="F172" s="2380"/>
      <c r="G172" s="2381"/>
      <c r="H172" s="2380"/>
      <c r="I172" s="2381"/>
      <c r="J172" s="2380"/>
      <c r="K172" s="2380"/>
      <c r="L172" s="2381"/>
      <c r="M172" s="2380"/>
      <c r="N172" s="2380"/>
      <c r="O172" s="2381"/>
      <c r="P172" s="2380"/>
      <c r="Q172" s="2380"/>
      <c r="R172" s="2382"/>
    </row>
    <row r="173" spans="2:18" s="2352" customFormat="1">
      <c r="B173" s="2380"/>
      <c r="C173" s="2380"/>
      <c r="D173" s="2380"/>
      <c r="E173" s="2380"/>
      <c r="F173" s="2380"/>
      <c r="G173" s="2381"/>
      <c r="H173" s="2380"/>
      <c r="I173" s="2381"/>
      <c r="J173" s="2380"/>
      <c r="K173" s="2380"/>
      <c r="L173" s="2381"/>
      <c r="M173" s="2380"/>
      <c r="N173" s="2380"/>
      <c r="O173" s="2381"/>
      <c r="P173" s="2380"/>
      <c r="Q173" s="2380"/>
      <c r="R173" s="2382"/>
    </row>
    <row r="174" spans="2:18" s="2352" customFormat="1">
      <c r="B174" s="2380"/>
      <c r="C174" s="2380"/>
      <c r="D174" s="2380"/>
      <c r="E174" s="2380"/>
      <c r="F174" s="2380"/>
      <c r="G174" s="2381"/>
      <c r="H174" s="2380"/>
      <c r="I174" s="2381"/>
      <c r="J174" s="2380"/>
      <c r="K174" s="2380"/>
      <c r="L174" s="2381"/>
      <c r="M174" s="2380"/>
      <c r="N174" s="2380"/>
      <c r="O174" s="2381"/>
      <c r="P174" s="2380"/>
      <c r="Q174" s="2380"/>
      <c r="R174" s="2382"/>
    </row>
    <row r="175" spans="2:18" s="2352" customFormat="1">
      <c r="B175" s="2380"/>
      <c r="C175" s="2380"/>
      <c r="D175" s="2380"/>
      <c r="E175" s="2380"/>
      <c r="F175" s="2380"/>
      <c r="G175" s="2381"/>
      <c r="H175" s="2380"/>
      <c r="I175" s="2381"/>
      <c r="J175" s="2380"/>
      <c r="K175" s="2380"/>
      <c r="L175" s="2381"/>
      <c r="M175" s="2380"/>
      <c r="N175" s="2380"/>
      <c r="O175" s="2381"/>
      <c r="P175" s="2380"/>
      <c r="Q175" s="2380"/>
      <c r="R175" s="2382"/>
    </row>
    <row r="176" spans="2:18" s="2352" customFormat="1">
      <c r="B176" s="2380"/>
      <c r="C176" s="2380"/>
      <c r="D176" s="2380"/>
      <c r="E176" s="2380"/>
      <c r="F176" s="2380"/>
      <c r="G176" s="2381"/>
      <c r="H176" s="2380"/>
      <c r="I176" s="2381"/>
      <c r="J176" s="2380"/>
      <c r="K176" s="2380"/>
      <c r="L176" s="2381"/>
      <c r="M176" s="2380"/>
      <c r="N176" s="2380"/>
      <c r="O176" s="2381"/>
      <c r="P176" s="2380"/>
      <c r="Q176" s="2380"/>
      <c r="R176" s="2382"/>
    </row>
    <row r="177" spans="1:18" s="2352" customFormat="1">
      <c r="B177" s="2380"/>
      <c r="C177" s="2380"/>
      <c r="D177" s="2380"/>
      <c r="E177" s="2380"/>
      <c r="F177" s="2380"/>
      <c r="G177" s="2381"/>
      <c r="H177" s="2380"/>
      <c r="I177" s="2381"/>
      <c r="J177" s="2380"/>
      <c r="K177" s="2380"/>
      <c r="L177" s="2381"/>
      <c r="M177" s="2380"/>
      <c r="N177" s="2380"/>
      <c r="O177" s="2381"/>
      <c r="P177" s="2380"/>
      <c r="Q177" s="2380"/>
      <c r="R177" s="2382"/>
    </row>
    <row r="178" spans="1:18" s="2352" customFormat="1">
      <c r="B178" s="2380"/>
      <c r="C178" s="2380"/>
      <c r="D178" s="2380"/>
      <c r="E178" s="2380"/>
      <c r="F178" s="2380"/>
      <c r="G178" s="2381"/>
      <c r="H178" s="2380"/>
      <c r="I178" s="2381"/>
      <c r="J178" s="2380"/>
      <c r="K178" s="2380"/>
      <c r="L178" s="2381"/>
      <c r="M178" s="2380"/>
      <c r="N178" s="2380"/>
      <c r="O178" s="2381"/>
      <c r="P178" s="2380"/>
      <c r="Q178" s="2380"/>
      <c r="R178" s="2382"/>
    </row>
    <row r="179" spans="1:18" s="2352" customFormat="1">
      <c r="B179" s="2380"/>
      <c r="C179" s="2380"/>
      <c r="D179" s="2380"/>
      <c r="E179" s="2380"/>
      <c r="F179" s="2380"/>
      <c r="G179" s="2381"/>
      <c r="H179" s="2380"/>
      <c r="I179" s="2381"/>
      <c r="J179" s="2380"/>
      <c r="K179" s="2380"/>
      <c r="L179" s="2381"/>
      <c r="M179" s="2380"/>
      <c r="N179" s="2380"/>
      <c r="O179" s="2381"/>
      <c r="P179" s="2380"/>
      <c r="Q179" s="2380"/>
      <c r="R179" s="2382"/>
    </row>
    <row r="180" spans="1:18" s="2352" customFormat="1">
      <c r="B180" s="2380"/>
      <c r="C180" s="2380"/>
      <c r="D180" s="2380"/>
      <c r="E180" s="2380"/>
      <c r="F180" s="2380"/>
      <c r="G180" s="2381"/>
      <c r="H180" s="2380"/>
      <c r="I180" s="2381"/>
      <c r="J180" s="2380"/>
      <c r="K180" s="2380"/>
      <c r="L180" s="2381"/>
      <c r="M180" s="2380"/>
      <c r="N180" s="2380"/>
      <c r="O180" s="2381"/>
      <c r="P180" s="2380"/>
      <c r="Q180" s="2380"/>
      <c r="R180" s="2382"/>
    </row>
    <row r="181" spans="1:18" s="2352" customFormat="1">
      <c r="B181" s="2380"/>
      <c r="C181" s="2380"/>
      <c r="D181" s="2380"/>
      <c r="E181" s="2380"/>
      <c r="F181" s="2380"/>
      <c r="G181" s="2381"/>
      <c r="H181" s="2380"/>
      <c r="I181" s="2381"/>
      <c r="J181" s="2380"/>
      <c r="K181" s="2380"/>
      <c r="L181" s="2381"/>
      <c r="M181" s="2380"/>
      <c r="N181" s="2380"/>
      <c r="O181" s="2381"/>
      <c r="P181" s="2380"/>
      <c r="Q181" s="2380"/>
      <c r="R181" s="2382"/>
    </row>
    <row r="182" spans="1:18" s="2352" customFormat="1">
      <c r="B182" s="2380"/>
      <c r="C182" s="2380"/>
      <c r="D182" s="2380"/>
      <c r="E182" s="2380"/>
      <c r="F182" s="2380"/>
      <c r="G182" s="2381"/>
      <c r="H182" s="2380"/>
      <c r="I182" s="2381"/>
      <c r="J182" s="2380"/>
      <c r="K182" s="2380"/>
      <c r="L182" s="2381"/>
      <c r="M182" s="2380"/>
      <c r="N182" s="2380"/>
      <c r="O182" s="2381"/>
      <c r="P182" s="2380"/>
      <c r="Q182" s="2380"/>
      <c r="R182" s="2382"/>
    </row>
    <row r="183" spans="1:18" s="2352" customFormat="1">
      <c r="B183" s="2380"/>
      <c r="C183" s="2380"/>
      <c r="D183" s="2380"/>
      <c r="E183" s="2380"/>
      <c r="F183" s="2380"/>
      <c r="G183" s="2381"/>
      <c r="H183" s="2380"/>
      <c r="I183" s="2381"/>
      <c r="J183" s="2380"/>
      <c r="K183" s="2380"/>
      <c r="L183" s="2381"/>
      <c r="M183" s="2380"/>
      <c r="N183" s="2380"/>
      <c r="O183" s="2381"/>
      <c r="P183" s="2380"/>
      <c r="Q183" s="2380"/>
      <c r="R183" s="2382"/>
    </row>
    <row r="184" spans="1:18" s="2352" customFormat="1">
      <c r="B184" s="2380"/>
      <c r="C184" s="2380"/>
      <c r="D184" s="2380"/>
      <c r="E184" s="2380"/>
      <c r="F184" s="2380"/>
      <c r="G184" s="2381"/>
      <c r="H184" s="2380"/>
      <c r="I184" s="2381"/>
      <c r="J184" s="2380"/>
      <c r="K184" s="2380"/>
      <c r="L184" s="2381"/>
      <c r="M184" s="2380"/>
      <c r="N184" s="2380"/>
      <c r="O184" s="2381"/>
      <c r="P184" s="2380"/>
      <c r="Q184" s="2380"/>
      <c r="R184" s="2382"/>
    </row>
    <row r="185" spans="1:18" s="2352"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2"/>
      <c r="B186" s="2380"/>
      <c r="C186" s="2380"/>
      <c r="E186" s="2380"/>
      <c r="F186" s="2380"/>
      <c r="G186" s="2381"/>
    </row>
    <row r="187" spans="1:18">
      <c r="A187" s="2352"/>
      <c r="B187" s="2380"/>
      <c r="C187" s="2380"/>
      <c r="E187" s="2380"/>
      <c r="F187" s="2380"/>
      <c r="G187" s="238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5" sqref="C5"/>
    </sheetView>
  </sheetViews>
  <sheetFormatPr defaultRowHeight="13.5"/>
  <cols>
    <col min="1" max="1" width="23.375" style="1728" customWidth="1"/>
    <col min="2" max="9" width="15.75" style="1728" customWidth="1"/>
    <col min="10" max="16384" width="9" style="1728"/>
  </cols>
  <sheetData>
    <row r="1" spans="1:10" ht="16.5">
      <c r="A1" s="1733" t="s">
        <v>1366</v>
      </c>
      <c r="B1" s="1733">
        <f>SUM(B14:B23)</f>
        <v>154651.20000000138</v>
      </c>
      <c r="C1" s="1732"/>
      <c r="D1" s="1732"/>
      <c r="E1" s="1732"/>
      <c r="F1" s="1732"/>
      <c r="G1" s="1730"/>
    </row>
    <row r="2" spans="1:10" ht="16.5">
      <c r="A2" s="1733" t="s">
        <v>1354</v>
      </c>
      <c r="B2" s="1733">
        <f>SUM(C14:C23)</f>
        <v>27155.46</v>
      </c>
      <c r="C2" s="1732"/>
      <c r="D2" s="1732"/>
      <c r="E2" s="1732"/>
      <c r="F2" s="1732"/>
      <c r="G2" s="1730"/>
    </row>
    <row r="3" spans="1:10" ht="16.5">
      <c r="A3" s="1733" t="s">
        <v>1363</v>
      </c>
      <c r="B3" s="1734">
        <f>项目基本情况!D3</f>
        <v>43028</v>
      </c>
      <c r="C3" s="1732"/>
      <c r="D3" s="1732"/>
      <c r="E3" s="1732"/>
      <c r="F3" s="1732"/>
      <c r="G3" s="1730"/>
    </row>
    <row r="4" spans="1:10" ht="33">
      <c r="A4" s="1733" t="s">
        <v>1362</v>
      </c>
      <c r="B4" s="1733" t="s">
        <v>1361</v>
      </c>
      <c r="C4" s="1733" t="s">
        <v>1360</v>
      </c>
      <c r="D4" s="1733" t="s">
        <v>1359</v>
      </c>
      <c r="E4" s="1732"/>
      <c r="F4" s="1730"/>
      <c r="G4" s="1730"/>
    </row>
    <row r="5" spans="1:10" ht="16.5">
      <c r="A5" s="1733" t="s">
        <v>1358</v>
      </c>
      <c r="B5" s="1733">
        <f ca="1">SUM(D14:D23)</f>
        <v>264915</v>
      </c>
      <c r="C5" s="1733">
        <f ca="1">ROUND(B5*10000/$B$1,0)</f>
        <v>17130</v>
      </c>
      <c r="D5" s="1733">
        <f ca="1">ROUND(B5*10000/$B$2,0)</f>
        <v>97555</v>
      </c>
      <c r="E5" s="1732"/>
      <c r="F5" s="1730"/>
      <c r="G5" s="1730"/>
    </row>
    <row r="6" spans="1:10" ht="16.5">
      <c r="A6" s="1733" t="s">
        <v>1357</v>
      </c>
      <c r="B6" s="1733">
        <f ca="1">SUM(G14:G23)</f>
        <v>264915</v>
      </c>
      <c r="C6" s="1733">
        <f ca="1">ROUND(B6*10000/$B$1,0)</f>
        <v>17130</v>
      </c>
      <c r="D6" s="1733">
        <f ca="1">ROUND(B6*10000/$B$2,0)</f>
        <v>97555</v>
      </c>
      <c r="E6" s="1732"/>
      <c r="F6" s="1730"/>
      <c r="G6" s="1730"/>
    </row>
    <row r="7" spans="1:10" ht="16.5">
      <c r="A7" s="1733" t="s">
        <v>1365</v>
      </c>
      <c r="B7" s="1733">
        <f>SUM(H14:H23)</f>
        <v>0</v>
      </c>
      <c r="C7" s="1733">
        <f>ROUND(B7*10000/$B$1,0)</f>
        <v>0</v>
      </c>
      <c r="D7" s="1733">
        <f>ROUND(B7*10000/$B$2,0)</f>
        <v>0</v>
      </c>
      <c r="E7" s="1732"/>
      <c r="F7" s="1730"/>
      <c r="G7" s="1730"/>
    </row>
    <row r="8" spans="1:10" ht="16.5">
      <c r="A8" s="1733" t="s">
        <v>1286</v>
      </c>
      <c r="B8" s="1733">
        <f>SUM(I14:I23)</f>
        <v>0</v>
      </c>
      <c r="C8" s="1733">
        <f>ROUND(B8*10000/$B$1,0)</f>
        <v>0</v>
      </c>
      <c r="D8" s="1733">
        <f>ROUND(B8*10000/$B$2,0)</f>
        <v>0</v>
      </c>
      <c r="E8" s="1732"/>
      <c r="F8" s="1730"/>
      <c r="G8" s="1730"/>
    </row>
    <row r="9" spans="1:10" ht="16.5">
      <c r="A9" s="1733" t="s">
        <v>1356</v>
      </c>
      <c r="B9" s="1735"/>
      <c r="C9" s="1732"/>
      <c r="D9" s="1732"/>
      <c r="E9" s="1732"/>
      <c r="F9" s="1730"/>
      <c r="G9" s="1730"/>
    </row>
    <row r="10" spans="1:10" ht="16.5">
      <c r="A10" s="1733" t="s">
        <v>1355</v>
      </c>
      <c r="B10" s="1735"/>
      <c r="C10" s="1732"/>
      <c r="D10" s="1732"/>
      <c r="E10" s="1732"/>
      <c r="F10" s="1730"/>
      <c r="G10" s="1730"/>
    </row>
    <row r="11" spans="1:10" ht="16.5">
      <c r="A11" s="1733" t="s">
        <v>1371</v>
      </c>
      <c r="B11" s="1735"/>
      <c r="C11" s="1732"/>
      <c r="D11" s="1732"/>
      <c r="E11" s="1732"/>
      <c r="F11" s="1730"/>
      <c r="G11" s="1730"/>
    </row>
    <row r="12" spans="1:10" ht="16.5">
      <c r="A12" s="1732"/>
      <c r="B12" s="1732"/>
      <c r="C12" s="1732"/>
      <c r="D12" s="1732"/>
      <c r="E12" s="1732"/>
      <c r="F12" s="1730"/>
      <c r="G12" s="1730"/>
    </row>
    <row r="13" spans="1:10" ht="33">
      <c r="A13" s="1738" t="s">
        <v>1370</v>
      </c>
      <c r="B13" s="1731" t="s">
        <v>1367</v>
      </c>
      <c r="C13" s="1731" t="s">
        <v>1369</v>
      </c>
      <c r="D13" s="1731" t="s">
        <v>1368</v>
      </c>
      <c r="E13" s="1733" t="s">
        <v>1360</v>
      </c>
      <c r="F13" s="1733" t="s">
        <v>1359</v>
      </c>
      <c r="G13" s="1731" t="s">
        <v>1353</v>
      </c>
      <c r="H13" s="1731" t="s">
        <v>1364</v>
      </c>
      <c r="I13" s="1731" t="s">
        <v>1352</v>
      </c>
      <c r="J13" s="1730"/>
    </row>
    <row r="14" spans="1:10" ht="16.5">
      <c r="A14" s="1729" t="s">
        <v>1351</v>
      </c>
      <c r="B14" s="1731">
        <f>'数据-汇总表'!E3</f>
        <v>49.61</v>
      </c>
      <c r="C14" s="1731">
        <f>'数据-汇总表'!D3</f>
        <v>8.7100000000000009</v>
      </c>
      <c r="D14" s="1731">
        <f ca="1">结果表!H118</f>
        <v>86</v>
      </c>
      <c r="E14" s="1731">
        <f ca="1">ROUND(D14*10000/B14,0)</f>
        <v>17335</v>
      </c>
      <c r="F14" s="1731">
        <f ca="1">ROUND(D14*10000/C14,0)</f>
        <v>98737</v>
      </c>
      <c r="G14" s="1731">
        <f ca="1">结果表!D122</f>
        <v>86</v>
      </c>
      <c r="H14" s="1731" t="str">
        <f>结果表!D124</f>
        <v>——</v>
      </c>
      <c r="I14" s="1731" t="str">
        <f>结果表!D126</f>
        <v>——</v>
      </c>
      <c r="J14" s="1730"/>
    </row>
    <row r="15" spans="1:10" ht="16.5">
      <c r="A15" s="1729" t="s">
        <v>1350</v>
      </c>
      <c r="B15" s="1736">
        <f>典型户型修正!B22-'数据-基础表'!K14</f>
        <v>154601.59000000139</v>
      </c>
      <c r="C15" s="1736">
        <f>Sheet1!M7-系统读取表!C14</f>
        <v>27146.75</v>
      </c>
      <c r="D15" s="1736">
        <f ca="1">典型户型修正!S22-D14</f>
        <v>264829</v>
      </c>
      <c r="E15" s="1731">
        <f t="shared" ref="E15:E23" ca="1" si="0">ROUND(D15*10000/B15,0)</f>
        <v>17130</v>
      </c>
      <c r="F15" s="1731">
        <f t="shared" ref="F15:F23" ca="1" si="1">ROUND(D15*10000/C15,0)</f>
        <v>97555</v>
      </c>
      <c r="G15" s="1737">
        <f ca="1">D15</f>
        <v>264829</v>
      </c>
      <c r="H15" s="1737"/>
      <c r="I15" s="1736"/>
      <c r="J15" s="1730"/>
    </row>
    <row r="16" spans="1:10" ht="16.5">
      <c r="A16" s="1729" t="s">
        <v>1349</v>
      </c>
      <c r="B16" s="1736"/>
      <c r="C16" s="1736"/>
      <c r="D16" s="1736"/>
      <c r="E16" s="1731" t="e">
        <f t="shared" si="0"/>
        <v>#DIV/0!</v>
      </c>
      <c r="F16" s="1731" t="e">
        <f t="shared" si="1"/>
        <v>#DIV/0!</v>
      </c>
      <c r="G16" s="1737"/>
      <c r="H16" s="1737"/>
      <c r="I16" s="1736"/>
    </row>
    <row r="17" spans="1:9" ht="16.5">
      <c r="A17" s="1729" t="s">
        <v>1348</v>
      </c>
      <c r="B17" s="1736"/>
      <c r="C17" s="1736"/>
      <c r="D17" s="1736"/>
      <c r="E17" s="1731" t="e">
        <f t="shared" si="0"/>
        <v>#DIV/0!</v>
      </c>
      <c r="F17" s="1731" t="e">
        <f t="shared" si="1"/>
        <v>#DIV/0!</v>
      </c>
      <c r="G17" s="1737"/>
      <c r="H17" s="1737"/>
      <c r="I17" s="1736"/>
    </row>
    <row r="18" spans="1:9" ht="16.5">
      <c r="A18" s="1729" t="s">
        <v>1347</v>
      </c>
      <c r="B18" s="1736"/>
      <c r="C18" s="1736"/>
      <c r="D18" s="1736"/>
      <c r="E18" s="1731" t="e">
        <f t="shared" si="0"/>
        <v>#DIV/0!</v>
      </c>
      <c r="F18" s="1731" t="e">
        <f t="shared" si="1"/>
        <v>#DIV/0!</v>
      </c>
      <c r="G18" s="1736"/>
      <c r="H18" s="1736"/>
      <c r="I18" s="1736"/>
    </row>
    <row r="19" spans="1:9" ht="16.5">
      <c r="A19" s="1729" t="s">
        <v>1346</v>
      </c>
      <c r="B19" s="1736"/>
      <c r="C19" s="1736"/>
      <c r="D19" s="1736"/>
      <c r="E19" s="1731" t="e">
        <f t="shared" si="0"/>
        <v>#DIV/0!</v>
      </c>
      <c r="F19" s="1731" t="e">
        <f t="shared" si="1"/>
        <v>#DIV/0!</v>
      </c>
      <c r="G19" s="1736"/>
      <c r="H19" s="1736"/>
      <c r="I19" s="1736"/>
    </row>
    <row r="20" spans="1:9" ht="16.5">
      <c r="A20" s="1729" t="s">
        <v>1345</v>
      </c>
      <c r="B20" s="1736"/>
      <c r="C20" s="1736"/>
      <c r="D20" s="1736"/>
      <c r="E20" s="1731" t="e">
        <f t="shared" si="0"/>
        <v>#DIV/0!</v>
      </c>
      <c r="F20" s="1731" t="e">
        <f t="shared" si="1"/>
        <v>#DIV/0!</v>
      </c>
      <c r="G20" s="1736"/>
      <c r="H20" s="1736"/>
      <c r="I20" s="1736"/>
    </row>
    <row r="21" spans="1:9" ht="16.5">
      <c r="A21" s="1729" t="s">
        <v>1344</v>
      </c>
      <c r="B21" s="1736"/>
      <c r="C21" s="1736"/>
      <c r="D21" s="1736"/>
      <c r="E21" s="1731" t="e">
        <f t="shared" si="0"/>
        <v>#DIV/0!</v>
      </c>
      <c r="F21" s="1731" t="e">
        <f t="shared" si="1"/>
        <v>#DIV/0!</v>
      </c>
      <c r="G21" s="1736"/>
      <c r="H21" s="1736"/>
      <c r="I21" s="1736"/>
    </row>
    <row r="22" spans="1:9" ht="16.5">
      <c r="A22" s="1729" t="s">
        <v>1343</v>
      </c>
      <c r="B22" s="1736"/>
      <c r="C22" s="1736"/>
      <c r="D22" s="1736"/>
      <c r="E22" s="1731" t="e">
        <f t="shared" si="0"/>
        <v>#DIV/0!</v>
      </c>
      <c r="F22" s="1731" t="e">
        <f t="shared" si="1"/>
        <v>#DIV/0!</v>
      </c>
      <c r="G22" s="1736"/>
      <c r="H22" s="1736"/>
      <c r="I22" s="1736"/>
    </row>
    <row r="23" spans="1:9" ht="16.5">
      <c r="A23" s="1729" t="s">
        <v>1342</v>
      </c>
      <c r="B23" s="1736"/>
      <c r="C23" s="1736"/>
      <c r="D23" s="1736"/>
      <c r="E23" s="1733" t="e">
        <f t="shared" si="0"/>
        <v>#DIV/0!</v>
      </c>
      <c r="F23" s="1733" t="e">
        <f t="shared" si="1"/>
        <v>#DIV/0!</v>
      </c>
      <c r="G23" s="1736"/>
      <c r="H23" s="1736"/>
      <c r="I23" s="1736"/>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zoomScaleSheetLayoutView="100" zoomScalePageLayoutView="80" workbookViewId="0">
      <selection activeCell="L22" sqref="L22"/>
    </sheetView>
  </sheetViews>
  <sheetFormatPr defaultColWidth="12.625" defaultRowHeight="21.75" customHeight="1"/>
  <cols>
    <col min="1" max="2" width="12.625" style="2409"/>
    <col min="3" max="4" width="12.625" style="2409" customWidth="1"/>
    <col min="5" max="9" width="12.625" style="2409"/>
    <col min="10" max="11" width="12.625" style="788" customWidth="1"/>
    <col min="12" max="12" width="12.625" style="788"/>
    <col min="13" max="13" width="14.125" style="788" bestFit="1" customWidth="1"/>
    <col min="14" max="26" width="12.625" style="788"/>
    <col min="27" max="35" width="12.625" style="2408"/>
    <col min="36" max="16384" width="12.625" style="2409"/>
  </cols>
  <sheetData>
    <row r="1" spans="1:12" ht="21.75" customHeight="1" thickBot="1">
      <c r="A1" s="2209" t="s">
        <v>2114</v>
      </c>
      <c r="B1" s="2403"/>
      <c r="C1" s="2404" t="s">
        <v>4670</v>
      </c>
      <c r="D1" s="2403"/>
      <c r="E1" s="2403"/>
      <c r="F1" s="2405" t="s">
        <v>2115</v>
      </c>
      <c r="G1" s="2055" t="s">
        <v>3056</v>
      </c>
      <c r="H1" s="2406" t="str">
        <f>IF(G1="现房","——","估价对象范围")</f>
        <v>——</v>
      </c>
      <c r="I1" s="2407" t="s">
        <v>3106</v>
      </c>
    </row>
    <row r="2" spans="1:12" ht="21.75" customHeight="1" thickBot="1">
      <c r="A2" s="3171" t="str">
        <f>项目基本情况!S2</f>
        <v>浙江省杭州市下城区杭州新天地项目D地块办公用房房地产房地产</v>
      </c>
      <c r="B2" s="3172"/>
      <c r="C2" s="3172"/>
      <c r="D2" s="3172"/>
      <c r="E2" s="3172"/>
      <c r="F2" s="3172"/>
      <c r="G2" s="3172"/>
      <c r="H2" s="3172"/>
      <c r="I2" s="3173"/>
    </row>
    <row r="3" spans="1:12" ht="12.75">
      <c r="A3" s="3174" t="s">
        <v>2116</v>
      </c>
      <c r="B3" s="3175"/>
      <c r="C3" s="3175"/>
      <c r="D3" s="3175"/>
      <c r="E3" s="3175"/>
      <c r="F3" s="3175"/>
      <c r="G3" s="3175"/>
      <c r="H3" s="3175"/>
      <c r="I3" s="3175"/>
    </row>
    <row r="4" spans="1:12" ht="14.25">
      <c r="A4" s="2410" t="s">
        <v>2117</v>
      </c>
      <c r="B4" s="2411" t="s">
        <v>2118</v>
      </c>
      <c r="C4" s="2412" t="s">
        <v>4712</v>
      </c>
      <c r="D4" s="2412" t="s">
        <v>4711</v>
      </c>
      <c r="E4" s="3155" t="s">
        <v>2119</v>
      </c>
      <c r="F4" s="3168"/>
      <c r="G4" s="3168"/>
      <c r="H4" s="3168"/>
      <c r="I4" s="3156"/>
      <c r="K4" s="2413" t="str">
        <f>IF(ISNUMBER(FIND("比较法",结果表!C4)),"比较法",IF(ISNUMBER(FIND("成本法",结果表!C4)),"成本法",IF(ISNUMBER(FIND("假设开发法",结果表!C4)),"假设开发法",IF(ISNUMBER(FIND("收益法",结果表!C4)),"收益法","基准地价系数修正法"))))</f>
        <v>收益法</v>
      </c>
      <c r="L4" s="2413" t="str">
        <f>IF(ISNUMBER(FIND("比较法",结果表!D4)),"比较法",IF(ISNUMBER(FIND("成本法",结果表!D4)),"成本法",IF(ISNUMBER(FIND("假设开发法",结果表!D4)),"假设开发法",IF(ISNUMBER(FIND("收益法",结果表!D4)),"收益法","基准地价系数修正法"))))</f>
        <v>比较法</v>
      </c>
    </row>
    <row r="5" spans="1:12" ht="12.75">
      <c r="A5" s="3146" t="s">
        <v>2120</v>
      </c>
      <c r="B5" s="3072">
        <v>25</v>
      </c>
      <c r="C5" s="3176"/>
      <c r="D5" s="3164"/>
      <c r="E5" s="139" t="s">
        <v>2121</v>
      </c>
      <c r="F5" s="2414"/>
      <c r="G5" s="2414"/>
      <c r="H5" s="2414"/>
      <c r="I5" s="1820"/>
    </row>
    <row r="6" spans="1:12" ht="12.75">
      <c r="A6" s="3146"/>
      <c r="B6" s="3072"/>
      <c r="C6" s="3178"/>
      <c r="D6" s="3164"/>
      <c r="E6" s="139" t="s">
        <v>2122</v>
      </c>
      <c r="F6" s="2414"/>
      <c r="G6" s="2414"/>
      <c r="H6" s="2414"/>
      <c r="I6" s="1820"/>
    </row>
    <row r="7" spans="1:12" ht="12.75">
      <c r="A7" s="3146"/>
      <c r="B7" s="3072"/>
      <c r="C7" s="3177"/>
      <c r="D7" s="3164"/>
      <c r="E7" s="139" t="s">
        <v>2123</v>
      </c>
      <c r="F7" s="2414"/>
      <c r="G7" s="2414"/>
      <c r="H7" s="2414"/>
      <c r="I7" s="1820"/>
    </row>
    <row r="8" spans="1:12" ht="12.75">
      <c r="A8" s="3146" t="s">
        <v>2124</v>
      </c>
      <c r="B8" s="3072">
        <v>15</v>
      </c>
      <c r="C8" s="3176"/>
      <c r="D8" s="3164"/>
      <c r="E8" s="139" t="s">
        <v>2125</v>
      </c>
      <c r="F8" s="2414"/>
      <c r="G8" s="2414"/>
      <c r="H8" s="2414"/>
      <c r="I8" s="1820"/>
    </row>
    <row r="9" spans="1:12" ht="12.75">
      <c r="A9" s="3146"/>
      <c r="B9" s="3072"/>
      <c r="C9" s="3177"/>
      <c r="D9" s="3164"/>
      <c r="E9" s="139" t="s">
        <v>2126</v>
      </c>
      <c r="F9" s="2414"/>
      <c r="G9" s="2414"/>
      <c r="H9" s="2414"/>
      <c r="I9" s="1820"/>
    </row>
    <row r="10" spans="1:12" ht="12.75">
      <c r="A10" s="3146" t="s">
        <v>2127</v>
      </c>
      <c r="B10" s="3072">
        <v>15</v>
      </c>
      <c r="C10" s="3176"/>
      <c r="D10" s="3164"/>
      <c r="E10" s="139" t="s">
        <v>2128</v>
      </c>
      <c r="F10" s="2414"/>
      <c r="G10" s="2414"/>
      <c r="H10" s="2414"/>
      <c r="I10" s="1820"/>
    </row>
    <row r="11" spans="1:12" ht="12.75">
      <c r="A11" s="3146"/>
      <c r="B11" s="3072"/>
      <c r="C11" s="3177"/>
      <c r="D11" s="3164"/>
      <c r="E11" s="139" t="s">
        <v>2129</v>
      </c>
      <c r="F11" s="2414"/>
      <c r="G11" s="2414"/>
      <c r="H11" s="2414"/>
      <c r="I11" s="1820"/>
    </row>
    <row r="12" spans="1:12" ht="12.75">
      <c r="A12" s="3146" t="s">
        <v>2130</v>
      </c>
      <c r="B12" s="3072">
        <v>15</v>
      </c>
      <c r="C12" s="3176"/>
      <c r="D12" s="3164"/>
      <c r="E12" s="139" t="s">
        <v>2131</v>
      </c>
      <c r="F12" s="2414"/>
      <c r="G12" s="2414"/>
      <c r="H12" s="2414"/>
      <c r="I12" s="1820"/>
    </row>
    <row r="13" spans="1:12" ht="12.75">
      <c r="A13" s="3146"/>
      <c r="B13" s="3072"/>
      <c r="C13" s="3177"/>
      <c r="D13" s="3164"/>
      <c r="E13" s="139" t="s">
        <v>2132</v>
      </c>
      <c r="F13" s="2414"/>
      <c r="G13" s="2414"/>
      <c r="H13" s="2414"/>
      <c r="I13" s="1820"/>
    </row>
    <row r="14" spans="1:12" ht="12.75">
      <c r="A14" s="3146" t="s">
        <v>2133</v>
      </c>
      <c r="B14" s="3072">
        <v>30</v>
      </c>
      <c r="C14" s="3176">
        <v>5</v>
      </c>
      <c r="D14" s="3164">
        <v>5</v>
      </c>
      <c r="E14" s="139" t="s">
        <v>2134</v>
      </c>
      <c r="F14" s="2414"/>
      <c r="G14" s="2414"/>
      <c r="H14" s="2414"/>
      <c r="I14" s="1820"/>
    </row>
    <row r="15" spans="1:12" ht="12.75">
      <c r="A15" s="3146"/>
      <c r="B15" s="3072"/>
      <c r="C15" s="3178"/>
      <c r="D15" s="3164"/>
      <c r="E15" s="139" t="s">
        <v>2135</v>
      </c>
      <c r="F15" s="2414"/>
      <c r="G15" s="2414"/>
      <c r="H15" s="2414"/>
      <c r="I15" s="1820"/>
    </row>
    <row r="16" spans="1:12" ht="12.75">
      <c r="A16" s="3146"/>
      <c r="B16" s="3072"/>
      <c r="C16" s="3177"/>
      <c r="D16" s="3164"/>
      <c r="E16" s="139" t="s">
        <v>2136</v>
      </c>
      <c r="F16" s="2414"/>
      <c r="G16" s="2414"/>
      <c r="H16" s="2414"/>
      <c r="I16" s="1820"/>
    </row>
    <row r="17" spans="1:35" ht="15">
      <c r="A17" s="2415" t="s">
        <v>2137</v>
      </c>
      <c r="B17" s="63"/>
      <c r="C17" s="140">
        <f>SUM(C5:C16)</f>
        <v>5</v>
      </c>
      <c r="D17" s="140">
        <f>SUM(D5:D16)</f>
        <v>5</v>
      </c>
      <c r="E17" s="137"/>
      <c r="F17" s="137"/>
      <c r="G17" s="137"/>
      <c r="H17" s="137"/>
      <c r="I17" s="137"/>
      <c r="K17" s="2413"/>
      <c r="L17" s="2416" t="s">
        <v>2138</v>
      </c>
      <c r="M17" s="2416" t="s">
        <v>2139</v>
      </c>
    </row>
    <row r="18" spans="1:35" ht="15.75" thickBot="1">
      <c r="A18" s="2417" t="s">
        <v>2140</v>
      </c>
      <c r="B18" s="2418"/>
      <c r="C18" s="141">
        <f>ROUND(C17/SUM(C17:D17),2)</f>
        <v>0.5</v>
      </c>
      <c r="D18" s="141">
        <f>1-C18</f>
        <v>0.5</v>
      </c>
      <c r="E18" s="137"/>
      <c r="F18" s="137"/>
      <c r="G18" s="137"/>
      <c r="H18" s="137"/>
      <c r="I18" s="137"/>
      <c r="K18" s="2413" t="s">
        <v>2141</v>
      </c>
      <c r="L18" s="2413">
        <f>IF(C1="",'数据-汇总表'!E3,SUMIF(项目类型,C1,'数据-汇总表'!E17:E26)+SUMIF(项目类型,C1,'数据-汇总表'!I17:I26))</f>
        <v>49.61</v>
      </c>
      <c r="M18" s="2413">
        <f>IF(C1="",'数据-汇总表'!E3,SUMIF(项目类型,C1,'数据-汇总表'!E17:E26))</f>
        <v>49.61</v>
      </c>
    </row>
    <row r="19" spans="1:35" ht="15">
      <c r="A19" s="2419" t="s">
        <v>2142</v>
      </c>
      <c r="B19" s="2420" t="s">
        <v>2143</v>
      </c>
      <c r="C19" s="142">
        <f ca="1">SUMIF(INDIRECT("'"&amp;C4&amp;"'"&amp;"!A:A"),结果表!B19,INDIRECT("'"&amp;C4&amp;"'"&amp;"!B:B"))</f>
        <v>78</v>
      </c>
      <c r="D19" s="143">
        <f ca="1">SUMIF(INDIRECT("'"&amp;D4&amp;"'"&amp;"!A:A"),结果表!B19,INDIRECT("'"&amp;D4&amp;"'"&amp;"!B:B"))</f>
        <v>94</v>
      </c>
      <c r="E19" s="2419" t="s">
        <v>2144</v>
      </c>
      <c r="F19" s="2420" t="s">
        <v>2143</v>
      </c>
      <c r="G19" s="144">
        <f ca="1">ROUND(C19*$C$18+D19*$D$18,0)</f>
        <v>86</v>
      </c>
      <c r="H19" s="2421" t="s">
        <v>2145</v>
      </c>
      <c r="I19" s="137"/>
      <c r="K19" s="2413" t="s">
        <v>2146</v>
      </c>
      <c r="L19" s="2413">
        <f>IF(C1="",'数据-汇总表'!D3,SUMIF(项目类型,C1,'数据-汇总表'!D17:D26)+SUMIF(项目类型,C1,'数据-汇总表'!H17:H27))</f>
        <v>8.7100000000000009</v>
      </c>
      <c r="M19" s="2413">
        <f>IF(C1="",'数据-汇总表'!D3,SUMIF(项目类型,C1,'数据-汇总表'!D17:D26))</f>
        <v>8.7100000000000009</v>
      </c>
    </row>
    <row r="20" spans="1:35" ht="15">
      <c r="A20" s="2422"/>
      <c r="B20" s="1243" t="s">
        <v>2147</v>
      </c>
      <c r="C20" s="145">
        <f ca="1">SUMIF(INDIRECT("'"&amp;C4&amp;"'"&amp;"!A:A"),结果表!B20,INDIRECT("'"&amp;C4&amp;"'"&amp;"!B:B"))</f>
        <v>15636</v>
      </c>
      <c r="D20" s="146">
        <f ca="1">SUMIF(INDIRECT("'"&amp;D4&amp;"'"&amp;"!A:A"),结果表!B20,INDIRECT("'"&amp;D4&amp;"'"&amp;"!B:B"))</f>
        <v>18883</v>
      </c>
      <c r="E20" s="2422"/>
      <c r="F20" s="1243" t="s">
        <v>2147</v>
      </c>
      <c r="G20" s="147">
        <f ca="1">ROUND(C20*$C$18+D20*$D$18,0)</f>
        <v>17260</v>
      </c>
      <c r="H20" s="976" t="s">
        <v>2148</v>
      </c>
      <c r="I20" s="137"/>
    </row>
    <row r="21" spans="1:35" ht="15" customHeight="1" thickBot="1">
      <c r="A21" s="996"/>
      <c r="B21" s="2423" t="s">
        <v>2149</v>
      </c>
      <c r="C21" s="782">
        <f ca="1">ROUND(C19*10000/L19,0)</f>
        <v>89552</v>
      </c>
      <c r="D21" s="783">
        <f ca="1">ROUND(D19*10000/L19,0)</f>
        <v>107922</v>
      </c>
      <c r="E21" s="996"/>
      <c r="F21" s="2423" t="s">
        <v>2149</v>
      </c>
      <c r="G21" s="148">
        <f ca="1">ROUND(G19*10000/L19,0)</f>
        <v>98737</v>
      </c>
      <c r="H21" s="2424" t="s">
        <v>2148</v>
      </c>
      <c r="I21" s="137"/>
    </row>
    <row r="22" spans="1:35" ht="15" thickBot="1">
      <c r="A22" s="2265" t="s">
        <v>2150</v>
      </c>
      <c r="B22" s="2425"/>
      <c r="C22" s="2426"/>
      <c r="D22" s="784">
        <f ca="1">IF(C19&lt;D19,D19/C19-1,C19/D19-1)</f>
        <v>0.20512820512820507</v>
      </c>
      <c r="E22" s="137"/>
      <c r="F22" s="137"/>
      <c r="G22" s="137"/>
      <c r="H22" s="137"/>
      <c r="I22" s="137"/>
    </row>
    <row r="23" spans="1:35" ht="13.5" thickBot="1">
      <c r="A23" s="2403"/>
      <c r="B23" s="2403"/>
      <c r="C23" s="2403"/>
      <c r="D23" s="2403"/>
      <c r="E23" s="137"/>
      <c r="F23" s="137"/>
      <c r="G23" s="137"/>
      <c r="H23" s="137"/>
      <c r="I23" s="137"/>
    </row>
    <row r="24" spans="1:35" ht="14.25">
      <c r="A24" s="3185" t="s">
        <v>2151</v>
      </c>
      <c r="B24" s="2420" t="s">
        <v>2143</v>
      </c>
      <c r="C24" s="144">
        <f>IF(B30=0,0,D30)</f>
        <v>0</v>
      </c>
      <c r="D24" s="2427"/>
      <c r="E24" s="137"/>
      <c r="F24" s="137"/>
      <c r="G24" s="137"/>
      <c r="H24" s="137"/>
      <c r="I24" s="137"/>
    </row>
    <row r="25" spans="1:35" ht="14.25">
      <c r="A25" s="3186"/>
      <c r="B25" s="1243" t="s">
        <v>2147</v>
      </c>
      <c r="C25" s="149">
        <f>IF(B30=0,0,C30)</f>
        <v>0</v>
      </c>
      <c r="D25" s="2428"/>
      <c r="E25" s="137"/>
      <c r="F25" s="137"/>
      <c r="G25" s="137"/>
      <c r="H25" s="137"/>
      <c r="I25" s="137"/>
    </row>
    <row r="26" spans="1:35" ht="13.5" customHeight="1">
      <c r="A26" s="2429" t="s">
        <v>2152</v>
      </c>
      <c r="B26" s="150" t="s">
        <v>2153</v>
      </c>
      <c r="C26" s="150" t="s">
        <v>2154</v>
      </c>
      <c r="D26" s="151" t="s">
        <v>2155</v>
      </c>
      <c r="E26" s="137"/>
      <c r="F26" s="137"/>
      <c r="G26" s="137"/>
      <c r="H26" s="137"/>
      <c r="I26" s="137"/>
    </row>
    <row r="27" spans="1:35" ht="14.25">
      <c r="A27" s="2429"/>
      <c r="B27" s="150">
        <v>0</v>
      </c>
      <c r="C27" s="150">
        <v>0</v>
      </c>
      <c r="D27" s="151">
        <f>ROUND(C27*B27/10000,0)</f>
        <v>0</v>
      </c>
      <c r="E27" s="137"/>
      <c r="F27" s="137"/>
      <c r="G27" s="137"/>
      <c r="H27" s="137"/>
      <c r="I27" s="137"/>
    </row>
    <row r="28" spans="1:35" ht="14.25">
      <c r="A28" s="2429"/>
      <c r="B28" s="150"/>
      <c r="C28" s="150"/>
      <c r="D28" s="151"/>
      <c r="E28" s="137"/>
      <c r="F28" s="137"/>
      <c r="G28" s="137"/>
      <c r="H28" s="137"/>
      <c r="I28" s="137"/>
    </row>
    <row r="29" spans="1:35" ht="14.25">
      <c r="A29" s="2429"/>
      <c r="B29" s="150"/>
      <c r="C29" s="150"/>
      <c r="D29" s="151"/>
      <c r="E29" s="137"/>
      <c r="F29" s="137"/>
      <c r="G29" s="137"/>
      <c r="H29" s="137"/>
      <c r="I29" s="137"/>
    </row>
    <row r="30" spans="1:35" ht="14.25">
      <c r="A30" s="152" t="s">
        <v>2156</v>
      </c>
      <c r="B30" s="152">
        <f>SUM(B27:B29)</f>
        <v>0</v>
      </c>
      <c r="C30" s="152" t="e">
        <f>ROUND(D30*10000/B30,0)</f>
        <v>#DIV/0!</v>
      </c>
      <c r="D30" s="152">
        <f>SUM(D27:D29)</f>
        <v>0</v>
      </c>
      <c r="E30" s="137"/>
      <c r="F30" s="137"/>
      <c r="G30" s="137"/>
      <c r="H30" s="137"/>
      <c r="I30" s="137"/>
    </row>
    <row r="31" spans="1:35" s="2431" customFormat="1" ht="15" thickBot="1">
      <c r="A31" s="2430"/>
      <c r="B31" s="2430"/>
      <c r="C31" s="2430"/>
      <c r="D31" s="2430"/>
      <c r="E31" s="137"/>
      <c r="F31" s="137"/>
      <c r="G31" s="137"/>
      <c r="H31" s="137"/>
      <c r="I31" s="137"/>
      <c r="J31" s="788"/>
      <c r="K31" s="788"/>
      <c r="L31" s="788"/>
      <c r="M31" s="788"/>
      <c r="N31" s="788"/>
      <c r="O31" s="788"/>
      <c r="P31" s="788"/>
      <c r="Q31" s="788"/>
      <c r="R31" s="788"/>
      <c r="S31" s="788"/>
      <c r="T31" s="788"/>
      <c r="U31" s="788"/>
      <c r="V31" s="788"/>
      <c r="W31" s="788"/>
      <c r="X31" s="788"/>
      <c r="Y31" s="788"/>
      <c r="Z31" s="788"/>
      <c r="AA31" s="2408"/>
      <c r="AB31" s="2408"/>
      <c r="AC31" s="2408"/>
      <c r="AD31" s="2408"/>
      <c r="AE31" s="2408"/>
      <c r="AF31" s="2408"/>
      <c r="AG31" s="2408"/>
      <c r="AH31" s="2408"/>
      <c r="AI31" s="2408"/>
    </row>
    <row r="32" spans="1:35" ht="15.75" thickBot="1">
      <c r="A32" s="2432" t="s">
        <v>2157</v>
      </c>
      <c r="B32" s="2433"/>
      <c r="C32" s="153">
        <f ca="1">IF(D32="总价",G19-C24,G20-C25)</f>
        <v>86</v>
      </c>
      <c r="D32" s="2434" t="s">
        <v>2158</v>
      </c>
      <c r="E32" s="137"/>
      <c r="F32" s="137"/>
      <c r="G32" s="137"/>
      <c r="H32" s="137"/>
      <c r="I32" s="137"/>
    </row>
    <row r="33" spans="1:15" ht="15">
      <c r="A33" s="953" t="s">
        <v>2159</v>
      </c>
      <c r="B33" s="2435"/>
      <c r="C33" s="2436"/>
      <c r="D33" s="2437"/>
      <c r="E33" s="2438" t="s">
        <v>2160</v>
      </c>
      <c r="F33" s="2439" t="str">
        <f>IF(D32="楼面单价","取值（单价）","取值（总价）")</f>
        <v>取值（总价）</v>
      </c>
      <c r="G33" s="137"/>
      <c r="H33" s="137"/>
      <c r="I33" s="137"/>
    </row>
    <row r="34" spans="1:15" ht="15">
      <c r="A34" s="2440"/>
      <c r="B34" s="2441" t="s">
        <v>2161</v>
      </c>
      <c r="C34" s="157" t="e">
        <f ca="1">IF(C33="自定义",F34,C32-C35)</f>
        <v>#REF!</v>
      </c>
      <c r="D34" s="1051" t="e">
        <f ca="1">IF(C33="自定义",ROUND(C34/C32,3),IF(C33="收益比率",SUMIF(INDIRECT("'"&amp;D33&amp;"'"&amp;"!b:b"),"土地收益比率",INDIRECT("'"&amp;D33&amp;"'"&amp;"!c:c")),SUMIF(INDIRECT("'"&amp;D33&amp;"'"&amp;"!b:b"),"土地成本比率",INDIRECT("'"&amp;D33&amp;"'"&amp;"!c:c"))))</f>
        <v>#REF!</v>
      </c>
      <c r="E34" s="2442" t="s">
        <v>2162</v>
      </c>
      <c r="F34" s="1726"/>
      <c r="G34" s="137"/>
      <c r="H34" s="137"/>
      <c r="I34" s="137"/>
    </row>
    <row r="35" spans="1:15" ht="15.75" thickBot="1">
      <c r="A35" s="2443"/>
      <c r="B35" s="2444" t="s">
        <v>2163</v>
      </c>
      <c r="C35" s="1430" t="e">
        <f ca="1">IF(C33="自定义",F35,ROUND(C32*D35,0))</f>
        <v>#REF!</v>
      </c>
      <c r="D35" s="1431" t="e">
        <f ca="1">IF(C33="自定义",ROUND(C35/C32,3),IF(C33="收益比率",SUMIF(INDIRECT("'"&amp;D33&amp;"'"&amp;"!b:b"),"建筑物收益比率",INDIRECT("'"&amp;D33&amp;"'"&amp;"!c:c")),SUMIF(INDIRECT("'"&amp;D33&amp;"'"&amp;"!b:b"),"建筑物成本比率",INDIRECT("'"&amp;D33&amp;"'"&amp;"!c:c"))))</f>
        <v>#REF!</v>
      </c>
      <c r="E35" s="2445" t="s">
        <v>2164</v>
      </c>
      <c r="F35" s="163"/>
      <c r="G35" s="137"/>
      <c r="H35" s="137"/>
      <c r="I35" s="137"/>
    </row>
    <row r="36" spans="1:15" ht="15.75" thickBot="1">
      <c r="A36" s="3165" t="s">
        <v>2165</v>
      </c>
      <c r="B36" s="2446" t="s">
        <v>2166</v>
      </c>
      <c r="C36" s="154"/>
      <c r="D36" s="2447"/>
      <c r="E36" s="2448"/>
      <c r="F36" s="2449"/>
      <c r="G36" s="137"/>
      <c r="H36" s="137"/>
      <c r="I36" s="137"/>
    </row>
    <row r="37" spans="1:15" ht="15.75" thickBot="1">
      <c r="A37" s="3166"/>
      <c r="B37" s="2251" t="s">
        <v>2167</v>
      </c>
      <c r="C37" s="156"/>
      <c r="D37" s="1381"/>
      <c r="E37" s="1381"/>
      <c r="F37" s="2449"/>
      <c r="G37" s="137"/>
      <c r="H37" s="137"/>
      <c r="I37" s="137"/>
    </row>
    <row r="38" spans="1:15" ht="15.75" thickBot="1">
      <c r="A38" s="3167"/>
      <c r="B38" s="2450" t="s">
        <v>2168</v>
      </c>
      <c r="C38" s="720"/>
      <c r="D38" s="2451" t="s">
        <v>2169</v>
      </c>
      <c r="E38" s="1381"/>
      <c r="F38" s="2449"/>
      <c r="G38" s="137"/>
      <c r="H38" s="137"/>
      <c r="I38" s="137"/>
    </row>
    <row r="39" spans="1:15" ht="15">
      <c r="A39" s="2422" t="s">
        <v>2170</v>
      </c>
      <c r="B39" s="2452" t="s">
        <v>2171</v>
      </c>
      <c r="C39" s="2453" t="s">
        <v>2172</v>
      </c>
      <c r="D39" s="2453" t="s">
        <v>2173</v>
      </c>
      <c r="E39" s="2454" t="s">
        <v>2174</v>
      </c>
      <c r="F39" s="2449"/>
      <c r="G39" s="137"/>
      <c r="H39" s="137"/>
      <c r="I39" s="137"/>
    </row>
    <row r="40" spans="1:15" ht="14.25">
      <c r="A40" s="2455" t="s">
        <v>2175</v>
      </c>
      <c r="B40" s="158"/>
      <c r="C40" s="159"/>
      <c r="D40" s="159"/>
      <c r="E40" s="160"/>
      <c r="F40" s="2449"/>
      <c r="G40" s="137"/>
      <c r="H40" s="137"/>
      <c r="I40" s="137"/>
    </row>
    <row r="41" spans="1:15" ht="14.25">
      <c r="A41" s="2455" t="s">
        <v>2176</v>
      </c>
      <c r="B41" s="158"/>
      <c r="C41" s="159"/>
      <c r="D41" s="159"/>
      <c r="E41" s="160"/>
      <c r="F41" s="2449"/>
      <c r="G41" s="137"/>
      <c r="H41" s="137"/>
      <c r="I41" s="137"/>
    </row>
    <row r="42" spans="1:15" ht="15" thickBot="1">
      <c r="A42" s="2456"/>
      <c r="B42" s="161"/>
      <c r="C42" s="162"/>
      <c r="D42" s="162"/>
      <c r="E42" s="163"/>
      <c r="F42" s="2449"/>
      <c r="G42" s="137"/>
      <c r="H42" s="137"/>
      <c r="I42" s="137"/>
    </row>
    <row r="43" spans="1:15" ht="12.75">
      <c r="A43" s="2149"/>
      <c r="B43" s="2149"/>
      <c r="C43" s="2149"/>
      <c r="D43" s="2149"/>
      <c r="E43" s="2149"/>
      <c r="F43" s="2457"/>
      <c r="G43" s="2457"/>
      <c r="H43" s="2457"/>
      <c r="I43" s="2458"/>
    </row>
    <row r="44" spans="1:15" ht="18.75">
      <c r="A44" s="2459" t="s">
        <v>2177</v>
      </c>
      <c r="B44" s="2460"/>
      <c r="C44" s="2460"/>
      <c r="D44" s="2461"/>
      <c r="E44" s="2461"/>
      <c r="F44" s="2462"/>
      <c r="G44" s="2462"/>
      <c r="H44" s="2462"/>
      <c r="I44" s="2462"/>
      <c r="J44" s="2463" t="s">
        <v>2178</v>
      </c>
      <c r="K44" s="2464"/>
      <c r="L44" s="2464"/>
      <c r="M44" s="2464"/>
      <c r="N44" s="2464"/>
      <c r="O44" s="2464"/>
    </row>
    <row r="45" spans="1:15" ht="14.25" customHeight="1" thickBot="1">
      <c r="A45" s="3182" t="s">
        <v>2179</v>
      </c>
      <c r="B45" s="3183"/>
      <c r="C45" s="3184"/>
      <c r="D45" s="164">
        <f ca="1">ROUND(H101*F45,0)</f>
        <v>86</v>
      </c>
      <c r="E45" s="165" t="s">
        <v>2180</v>
      </c>
      <c r="F45" s="166">
        <v>1</v>
      </c>
      <c r="G45" s="167" t="s">
        <v>2181</v>
      </c>
      <c r="H45" s="137"/>
      <c r="I45" s="137"/>
      <c r="J45" s="3101" t="s">
        <v>2182</v>
      </c>
      <c r="K45" s="3101"/>
      <c r="L45" s="3101"/>
      <c r="M45" s="3101"/>
      <c r="N45" s="3101"/>
      <c r="O45" s="3101"/>
    </row>
    <row r="46" spans="1:15" ht="14.25" customHeight="1">
      <c r="A46" s="3179" t="s">
        <v>2183</v>
      </c>
      <c r="B46" s="3180"/>
      <c r="C46" s="3180"/>
      <c r="D46" s="3180"/>
      <c r="E46" s="3180"/>
      <c r="F46" s="3180"/>
      <c r="G46" s="3181"/>
      <c r="H46" s="2465"/>
      <c r="I46" s="168"/>
      <c r="J46" s="1799">
        <v>1</v>
      </c>
      <c r="K46" s="3101" t="s">
        <v>2184</v>
      </c>
      <c r="L46" s="3101"/>
      <c r="M46" s="3102"/>
      <c r="N46" s="3102"/>
      <c r="O46" s="3102"/>
    </row>
    <row r="47" spans="1:15" ht="12" customHeight="1">
      <c r="A47" s="169" t="s">
        <v>2185</v>
      </c>
      <c r="B47" s="170"/>
      <c r="C47" s="171"/>
      <c r="D47" s="172" t="s">
        <v>2186</v>
      </c>
      <c r="E47" s="24" t="s">
        <v>2187</v>
      </c>
      <c r="F47" s="173" t="s">
        <v>2188</v>
      </c>
      <c r="G47" s="174" t="s">
        <v>2189</v>
      </c>
      <c r="H47" s="2465"/>
      <c r="I47" s="168"/>
      <c r="J47" s="1799">
        <v>2</v>
      </c>
      <c r="K47" s="3101" t="s">
        <v>2190</v>
      </c>
      <c r="L47" s="3101"/>
      <c r="M47" s="3103">
        <f>'数据-取费表'!B2</f>
        <v>43028</v>
      </c>
      <c r="N47" s="3103"/>
      <c r="O47" s="3103"/>
    </row>
    <row r="48" spans="1:15" ht="25.5">
      <c r="A48" s="3169" t="s">
        <v>2191</v>
      </c>
      <c r="B48" s="3170"/>
      <c r="C48" s="3170"/>
      <c r="D48" s="139">
        <f>IF(H48="情况1",0,IF(H48="情况2",D52,IF(H48="情况3",D53,IF(H48="情况4",D54))))</f>
        <v>0</v>
      </c>
      <c r="E48" s="1788" t="str">
        <f>IF(H48="情况4","(销售额-原购置价)×税（费）率","销售额×税（费）率")</f>
        <v>销售额×税（费）率</v>
      </c>
      <c r="F48" s="175" t="str">
        <f>IF(H48="情况1","免征",'数据-取费表'!B41)</f>
        <v>免征</v>
      </c>
      <c r="G48" s="2466" t="s">
        <v>2192</v>
      </c>
      <c r="H48" s="2467" t="s">
        <v>2193</v>
      </c>
      <c r="I48" s="2465"/>
      <c r="J48" s="1799">
        <v>3</v>
      </c>
      <c r="K48" s="3101" t="s">
        <v>2194</v>
      </c>
      <c r="L48" s="3101"/>
      <c r="M48" s="3104">
        <f ca="1">H101</f>
        <v>86</v>
      </c>
      <c r="N48" s="3104"/>
      <c r="O48" s="3104"/>
    </row>
    <row r="49" spans="1:35" ht="25.5" customHeight="1">
      <c r="A49" s="176" t="s">
        <v>2195</v>
      </c>
      <c r="B49" s="3149" t="s">
        <v>2196</v>
      </c>
      <c r="C49" s="3149"/>
      <c r="D49" s="177">
        <v>0</v>
      </c>
      <c r="E49" s="23" t="s">
        <v>2197</v>
      </c>
      <c r="F49" s="28" t="s">
        <v>34</v>
      </c>
      <c r="G49" s="3130"/>
      <c r="H49" s="137"/>
      <c r="I49" s="2468"/>
      <c r="J49" s="1799">
        <v>4</v>
      </c>
      <c r="K49" s="3101" t="str">
        <f>IF(项目基本情况!E8="房地产抵押价值","房地产抵押价值","抵押担保权已注销时的房地产抵押价值")</f>
        <v>房地产抵押价值</v>
      </c>
      <c r="L49" s="3101"/>
      <c r="M49" s="3104">
        <f ca="1">IF(项目基本情况!E8="房地产抵押价值",H107,H109)</f>
        <v>86</v>
      </c>
      <c r="N49" s="3104"/>
      <c r="O49" s="3104"/>
    </row>
    <row r="50" spans="1:35" ht="25.5" customHeight="1">
      <c r="A50" s="178"/>
      <c r="B50" s="3149" t="s">
        <v>2198</v>
      </c>
      <c r="C50" s="3149"/>
      <c r="D50" s="179"/>
      <c r="E50" s="31"/>
      <c r="F50" s="180"/>
      <c r="G50" s="3131"/>
      <c r="H50" s="137"/>
      <c r="I50" s="2468"/>
      <c r="J50" s="3101" t="s">
        <v>2199</v>
      </c>
      <c r="K50" s="3101"/>
      <c r="L50" s="3101"/>
      <c r="M50" s="3101"/>
      <c r="N50" s="3101"/>
      <c r="O50" s="3101"/>
    </row>
    <row r="51" spans="1:35" ht="12" customHeight="1">
      <c r="A51" s="181"/>
      <c r="B51" s="3149" t="s">
        <v>2200</v>
      </c>
      <c r="C51" s="3149"/>
      <c r="D51" s="182"/>
      <c r="E51" s="30"/>
      <c r="F51" s="180"/>
      <c r="G51" s="3132"/>
      <c r="H51" s="137"/>
      <c r="I51" s="2468"/>
      <c r="J51" s="2469" t="s">
        <v>2201</v>
      </c>
      <c r="K51" s="3101" t="s">
        <v>2202</v>
      </c>
      <c r="L51" s="3101"/>
      <c r="M51" s="2469" t="s">
        <v>2203</v>
      </c>
      <c r="N51" s="2469" t="s">
        <v>2204</v>
      </c>
      <c r="O51" s="2469" t="s">
        <v>2205</v>
      </c>
    </row>
    <row r="52" spans="1:35" ht="24" customHeight="1">
      <c r="A52" s="183" t="s">
        <v>2206</v>
      </c>
      <c r="B52" s="3149" t="s">
        <v>2207</v>
      </c>
      <c r="C52" s="3149"/>
      <c r="D52" s="182">
        <f ca="1">ROUND(D45*'数据-取费表'!B41/(1+'数据-取费表'!C42),0)</f>
        <v>5</v>
      </c>
      <c r="E52" s="11" t="s">
        <v>2208</v>
      </c>
      <c r="F52" s="184">
        <f>'数据-取费表'!B41</f>
        <v>6.2719999999999998E-2</v>
      </c>
      <c r="G52" s="2470"/>
      <c r="H52" s="137"/>
      <c r="I52" s="2468"/>
      <c r="J52" s="1799">
        <v>1</v>
      </c>
      <c r="K52" s="3124" t="s">
        <v>2209</v>
      </c>
      <c r="L52" s="3124"/>
      <c r="M52" s="1741">
        <f>D48</f>
        <v>0</v>
      </c>
      <c r="N52" s="1799" t="str">
        <f>E48</f>
        <v>销售额×税（费）率</v>
      </c>
      <c r="O52" s="1742" t="str">
        <f>F48</f>
        <v>免征</v>
      </c>
    </row>
    <row r="53" spans="1:35" ht="12" customHeight="1">
      <c r="A53" s="183" t="s">
        <v>2210</v>
      </c>
      <c r="B53" s="3150" t="s">
        <v>2211</v>
      </c>
      <c r="C53" s="3151"/>
      <c r="D53" s="182">
        <f ca="1">ROUND(D45*'数据-取费表'!B41/(1+'数据-取费表'!C42),0)</f>
        <v>5</v>
      </c>
      <c r="E53" s="11" t="s">
        <v>2208</v>
      </c>
      <c r="F53" s="184">
        <f>'数据-取费表'!B41</f>
        <v>6.2719999999999998E-2</v>
      </c>
      <c r="G53" s="2470"/>
      <c r="H53" s="137"/>
      <c r="I53" s="2468"/>
      <c r="J53" s="1799">
        <v>2</v>
      </c>
      <c r="K53" s="3124" t="s">
        <v>2212</v>
      </c>
      <c r="L53" s="3124"/>
      <c r="M53" s="1741">
        <f t="shared" ref="M53:O54" ca="1" si="0">D55</f>
        <v>0</v>
      </c>
      <c r="N53" s="1799" t="str">
        <f t="shared" si="0"/>
        <v>销售额×税（费）率</v>
      </c>
      <c r="O53" s="1742">
        <f t="shared" si="0"/>
        <v>5.0000000000000001E-4</v>
      </c>
    </row>
    <row r="54" spans="1:35" ht="12" customHeight="1">
      <c r="A54" s="183" t="s">
        <v>2213</v>
      </c>
      <c r="B54" s="3150" t="s">
        <v>2214</v>
      </c>
      <c r="C54" s="3151"/>
      <c r="D54" s="182">
        <f ca="1">C68</f>
        <v>5</v>
      </c>
      <c r="E54" s="30" t="s">
        <v>2215</v>
      </c>
      <c r="F54" s="184">
        <f>'数据-取费表'!B41</f>
        <v>6.2719999999999998E-2</v>
      </c>
      <c r="G54" s="2470"/>
      <c r="H54" s="2471"/>
      <c r="I54" s="2468"/>
      <c r="J54" s="1799">
        <v>3</v>
      </c>
      <c r="K54" s="3124" t="s">
        <v>2216</v>
      </c>
      <c r="L54" s="3124"/>
      <c r="M54" s="1741">
        <f t="shared" ca="1" si="0"/>
        <v>48</v>
      </c>
      <c r="N54" s="1799" t="str">
        <f t="shared" si="0"/>
        <v>增值额×税（费）率</v>
      </c>
      <c r="O54" s="1743" t="str">
        <f t="shared" si="0"/>
        <v>——</v>
      </c>
    </row>
    <row r="55" spans="1:35" ht="24" customHeight="1">
      <c r="A55" s="3188" t="s">
        <v>2217</v>
      </c>
      <c r="B55" s="3170"/>
      <c r="C55" s="3170"/>
      <c r="D55" s="185">
        <f ca="1">IF(H55="个人住宅",0,ROUND(D45*I55,0))</f>
        <v>0</v>
      </c>
      <c r="E55" s="11" t="s">
        <v>2218</v>
      </c>
      <c r="F55" s="184">
        <f>IF(H55="正常",I55,"免征")</f>
        <v>5.0000000000000001E-4</v>
      </c>
      <c r="G55" s="2470"/>
      <c r="H55" s="2467" t="s">
        <v>2219</v>
      </c>
      <c r="I55" s="186">
        <f>'数据-取费表'!B49</f>
        <v>5.0000000000000001E-4</v>
      </c>
      <c r="J55" s="1799" t="str">
        <f>IF(H59="非个人房产","",4)</f>
        <v/>
      </c>
      <c r="K55" s="3124" t="str">
        <f>IF(H59="非个人房产","——","个人所得税")</f>
        <v>——</v>
      </c>
      <c r="L55" s="3124"/>
      <c r="M55" s="1744" t="str">
        <f>D59</f>
        <v>——</v>
      </c>
      <c r="N55" s="1797" t="str">
        <f>E59</f>
        <v>——</v>
      </c>
      <c r="O55" s="1745" t="str">
        <f>F59</f>
        <v>——</v>
      </c>
    </row>
    <row r="56" spans="1:35" ht="24.75">
      <c r="A56" s="3188" t="s">
        <v>2220</v>
      </c>
      <c r="B56" s="3170"/>
      <c r="C56" s="3170"/>
      <c r="D56" s="185">
        <f ca="1">IF(H56="个人住宅",D57,D58)</f>
        <v>48</v>
      </c>
      <c r="E56" s="11" t="s">
        <v>2221</v>
      </c>
      <c r="F56" s="184" t="str">
        <f>IF(H56="正常",F58,"免征")</f>
        <v>——</v>
      </c>
      <c r="G56" s="2472" t="s">
        <v>2222</v>
      </c>
      <c r="H56" s="2473" t="s">
        <v>2219</v>
      </c>
      <c r="I56" s="2474"/>
      <c r="J56" s="1799" t="str">
        <f>IF(项目基本情况!K6="上海银行",IF(J55="",4,J55+1),"")</f>
        <v/>
      </c>
      <c r="K56" s="3107" t="str">
        <f>IF(项目基本情况!K6="上海银行","其他处置费用","")</f>
        <v/>
      </c>
      <c r="L56" s="3108"/>
      <c r="M56" s="1741" t="str">
        <f>IF(项目基本情况!K6="上海银行",M69,"")</f>
        <v/>
      </c>
      <c r="N56" s="3110" t="str">
        <f>IF(项目基本情况!K6="上海银行","包含处置中涉及的律师、诉讼、拍卖、评估等费用","")</f>
        <v/>
      </c>
      <c r="O56" s="3111"/>
    </row>
    <row r="57" spans="1:35" ht="12.75">
      <c r="A57" s="183" t="s">
        <v>2195</v>
      </c>
      <c r="B57" s="3155" t="s">
        <v>2223</v>
      </c>
      <c r="C57" s="3156"/>
      <c r="D57" s="187">
        <v>0</v>
      </c>
      <c r="E57" s="23" t="s">
        <v>2197</v>
      </c>
      <c r="F57" s="155"/>
      <c r="G57" s="2470"/>
      <c r="H57" s="2474"/>
      <c r="I57" s="2474"/>
      <c r="J57" s="3124">
        <f>IF(AND(J55="",J56=""),4,IF(项目基本情况!K6="上海银行",结果表!J56+1,结果表!J55+1))</f>
        <v>4</v>
      </c>
      <c r="K57" s="3124" t="s">
        <v>2224</v>
      </c>
      <c r="L57" s="2475" t="s">
        <v>2225</v>
      </c>
      <c r="M57" s="1746"/>
      <c r="N57" s="1747">
        <f ca="1">SUMIF(M52:M56,"&lt;9e307")</f>
        <v>48</v>
      </c>
      <c r="O57" s="2476"/>
      <c r="P57" s="1740">
        <f ca="1">N57/M49</f>
        <v>0.55813953488372092</v>
      </c>
    </row>
    <row r="58" spans="1:35" ht="24.75">
      <c r="A58" s="183" t="s">
        <v>2206</v>
      </c>
      <c r="B58" s="3155" t="s">
        <v>2226</v>
      </c>
      <c r="C58" s="3168"/>
      <c r="D58" s="185">
        <f ca="1">IF(H58="转让取得",C81,C97)</f>
        <v>48</v>
      </c>
      <c r="E58" s="11" t="s">
        <v>2221</v>
      </c>
      <c r="F58" s="24" t="s">
        <v>34</v>
      </c>
      <c r="G58" s="2470"/>
      <c r="H58" s="2473" t="s">
        <v>2227</v>
      </c>
      <c r="I58" s="2474"/>
      <c r="J58" s="3124"/>
      <c r="K58" s="3124"/>
      <c r="L58" s="2475" t="s">
        <v>2228</v>
      </c>
      <c r="M58" s="1748"/>
      <c r="N58" s="2477" t="str">
        <f ca="1">NUMBERSTRING(INT(N57*10000),2)&amp;"元整"</f>
        <v>肆拾捌万元整</v>
      </c>
      <c r="O58" s="2478"/>
    </row>
    <row r="59" spans="1:35" ht="24.75" thickBot="1">
      <c r="A59" s="3128" t="s">
        <v>2229</v>
      </c>
      <c r="B59" s="3129"/>
      <c r="C59" s="3129"/>
      <c r="D59" s="188" t="str">
        <f>IF(H59="非个人房产","——",IF(H59="个人住宅",0,ROUND(D45*I59,0)))</f>
        <v>——</v>
      </c>
      <c r="E59" s="189" t="str">
        <f>IF(H59="非个人房产","——","销售额×税（费）率")</f>
        <v>——</v>
      </c>
      <c r="F59" s="190" t="str">
        <f>IF(H59="非个人房产","——",IF(H59="个人住宅","免征",I59))</f>
        <v>——</v>
      </c>
      <c r="G59" s="2479" t="s">
        <v>2222</v>
      </c>
      <c r="H59" s="2473" t="s">
        <v>2230</v>
      </c>
      <c r="I59" s="191">
        <v>0.01</v>
      </c>
      <c r="J59" s="3126">
        <f>J57+1</f>
        <v>5</v>
      </c>
      <c r="K59" s="3124" t="s">
        <v>2231</v>
      </c>
      <c r="L59" s="1799" t="s">
        <v>2225</v>
      </c>
      <c r="M59" s="1749"/>
      <c r="N59" s="1750">
        <f ca="1">M49-N57</f>
        <v>38</v>
      </c>
      <c r="O59" s="2480"/>
    </row>
    <row r="60" spans="1:35" ht="12" customHeight="1">
      <c r="A60" s="2481"/>
      <c r="B60" s="2403"/>
      <c r="C60" s="2403"/>
      <c r="D60" s="2403"/>
      <c r="E60" s="2150"/>
      <c r="F60" s="2474"/>
      <c r="G60" s="2474"/>
      <c r="H60" s="2482"/>
      <c r="I60" s="137"/>
      <c r="J60" s="3127"/>
      <c r="K60" s="3124"/>
      <c r="L60" s="2475" t="s">
        <v>2228</v>
      </c>
      <c r="M60" s="1748"/>
      <c r="N60" s="2477" t="str">
        <f ca="1">NUMBERSTRING(INT(N59*10000),2)&amp;"元整"</f>
        <v>叁拾捌万元整</v>
      </c>
      <c r="O60" s="2478"/>
    </row>
    <row r="61" spans="1:35" ht="13.5" thickBot="1">
      <c r="A61" s="3187" t="s">
        <v>2232</v>
      </c>
      <c r="B61" s="3187"/>
      <c r="C61" s="3187"/>
      <c r="D61" s="3187"/>
      <c r="E61" s="3187"/>
      <c r="F61" s="2474"/>
      <c r="G61" s="2474"/>
      <c r="H61" s="2482"/>
      <c r="I61" s="137"/>
      <c r="J61" s="1799">
        <f>J59+1</f>
        <v>6</v>
      </c>
      <c r="K61" s="3124" t="s">
        <v>2233</v>
      </c>
      <c r="L61" s="3124"/>
      <c r="M61" s="1751"/>
      <c r="N61" s="1752">
        <f ca="1">ROUND(N59*10000/'数据-汇总表'!E3,0)</f>
        <v>7660</v>
      </c>
      <c r="O61" s="2483"/>
    </row>
    <row r="62" spans="1:35" ht="12.75">
      <c r="A62" s="3144" t="s">
        <v>2234</v>
      </c>
      <c r="B62" s="3145"/>
      <c r="C62" s="1791"/>
      <c r="D62" s="1791" t="s">
        <v>2235</v>
      </c>
      <c r="E62" s="192" t="s">
        <v>2236</v>
      </c>
      <c r="F62" s="2474"/>
      <c r="G62" s="2474"/>
      <c r="H62" s="2482"/>
      <c r="I62" s="137"/>
    </row>
    <row r="63" spans="1:35" ht="12.75">
      <c r="A63" s="203" t="s">
        <v>775</v>
      </c>
      <c r="B63" s="193" t="s">
        <v>2237</v>
      </c>
      <c r="C63" s="194">
        <f ca="1">ROUND((C64+C65)/(1+'数据-取费表'!C42),0)</f>
        <v>81</v>
      </c>
      <c r="D63" s="195"/>
      <c r="E63" s="196"/>
      <c r="F63" s="2474"/>
      <c r="G63" s="2474"/>
      <c r="H63" s="2482"/>
      <c r="I63" s="137"/>
      <c r="J63" s="3109" t="s">
        <v>2238</v>
      </c>
      <c r="K63" s="2484" t="s">
        <v>2239</v>
      </c>
      <c r="L63" s="1739">
        <f ca="1">IF(M49&gt;10000,M49*0.5%,IF(AND(M49&gt;1000,M49&lt;=10000),M49*1%,IF(AND(M49&gt;100,M49&lt;=1000),M49*3%,IF(AND(M49&gt;10,M49&lt;=100),M49*5%,M49*8%))))</f>
        <v>4.3</v>
      </c>
      <c r="M63" s="24">
        <f ca="1">ROUND(L63,1)</f>
        <v>4.3</v>
      </c>
      <c r="Z63" s="2408"/>
      <c r="AI63" s="2409"/>
    </row>
    <row r="64" spans="1:35" ht="14.25" customHeight="1">
      <c r="A64" s="197" t="s">
        <v>770</v>
      </c>
      <c r="B64" s="198" t="s">
        <v>2240</v>
      </c>
      <c r="C64" s="199">
        <f ca="1">D45</f>
        <v>86</v>
      </c>
      <c r="D64" s="200" t="s">
        <v>32</v>
      </c>
      <c r="E64" s="201"/>
      <c r="F64" s="2474"/>
      <c r="G64" s="2474"/>
      <c r="H64" s="2482"/>
      <c r="I64" s="137"/>
      <c r="J64" s="3109"/>
      <c r="K64" s="2484" t="s">
        <v>2241</v>
      </c>
      <c r="L64" s="1739">
        <f ca="1">IF(M49&gt;2000,M49*0.5%,IF(AND(M49&gt;1000,M49&lt;=2000),M49*0.6%,IF(AND(M49&gt;500,M49&lt;=1000),M49*0.7%,IF(AND(M49&gt;200,M49&lt;=500),M49*0.8%,IF(AND(M49&gt;100,M49&lt;=200),M49*0.9%,IF(AND(M49&gt;50,M49&lt;=100),M49*1%,IF(AND(M49&gt;20,M49&lt;=50),M49*1.5%,IF(AND(M49&gt;10,M49&lt;=20),M49*2%,IF(AND(M49&gt;1,M49&lt;=10),M49*2.5%)))))))))</f>
        <v>0.86</v>
      </c>
      <c r="M64" s="24">
        <f ca="1">ROUND(L64,1)</f>
        <v>0.9</v>
      </c>
      <c r="N64" s="137" t="s">
        <v>2242</v>
      </c>
      <c r="Z64" s="2408"/>
      <c r="AI64" s="2409"/>
    </row>
    <row r="65" spans="1:35" ht="14.25" customHeight="1">
      <c r="A65" s="197" t="s">
        <v>771</v>
      </c>
      <c r="B65" s="198" t="s">
        <v>2243</v>
      </c>
      <c r="C65" s="202"/>
      <c r="D65" s="200"/>
      <c r="E65" s="201"/>
      <c r="F65" s="2474"/>
      <c r="G65" s="2474"/>
      <c r="H65" s="2482"/>
      <c r="I65" s="137"/>
      <c r="J65" s="3109"/>
      <c r="K65" s="2484" t="s">
        <v>2244</v>
      </c>
      <c r="L65" s="1739">
        <f ca="1">IF(M49&gt;1000,M49*0.1%,IF(AND(M49&gt;500,M49&lt;=1000),M49*0.5%,IF(AND(M49&gt;50,M49&lt;=500),M49*1%,IF(AND(M49&gt;1,M49&lt;=50),M49*1.5%))))</f>
        <v>0.86</v>
      </c>
      <c r="M65" s="24">
        <f ca="1">ROUND(L65,1)</f>
        <v>0.9</v>
      </c>
      <c r="N65" s="137" t="s">
        <v>2242</v>
      </c>
      <c r="Z65" s="2408"/>
      <c r="AI65" s="2409"/>
    </row>
    <row r="66" spans="1:35" ht="14.25" customHeight="1">
      <c r="A66" s="203" t="s">
        <v>772</v>
      </c>
      <c r="B66" s="204" t="s">
        <v>2245</v>
      </c>
      <c r="C66" s="205"/>
      <c r="D66" s="206" t="s">
        <v>32</v>
      </c>
      <c r="E66" s="1763" t="s">
        <v>1372</v>
      </c>
      <c r="F66" s="2474"/>
      <c r="G66" s="2474"/>
      <c r="H66" s="2482"/>
      <c r="I66" s="137"/>
      <c r="J66" s="3109"/>
      <c r="K66" s="2484" t="s">
        <v>2246</v>
      </c>
      <c r="L66" s="1739">
        <f ca="1">M49*0.5%</f>
        <v>0.43</v>
      </c>
      <c r="M66" s="24">
        <f ca="1">IF(L66&gt;0.5,0.5,ROUND(L66,0))</f>
        <v>0</v>
      </c>
      <c r="N66" s="137" t="s">
        <v>2247</v>
      </c>
      <c r="Z66" s="2408"/>
      <c r="AI66" s="2409"/>
    </row>
    <row r="67" spans="1:35" ht="14.25" customHeight="1">
      <c r="A67" s="203" t="s">
        <v>773</v>
      </c>
      <c r="B67" s="204" t="s">
        <v>2248</v>
      </c>
      <c r="C67" s="207">
        <f ca="1">C63-C66</f>
        <v>81</v>
      </c>
      <c r="D67" s="200" t="s">
        <v>32</v>
      </c>
      <c r="E67" s="201"/>
      <c r="F67" s="2474"/>
      <c r="G67" s="2474"/>
      <c r="H67" s="2482"/>
      <c r="I67" s="137"/>
      <c r="J67" s="3109"/>
      <c r="K67" s="2484" t="s">
        <v>2249</v>
      </c>
      <c r="L67" s="1739">
        <f ca="1">IF(M49&gt;=10000,(8.25+(M49-10000)*0.01%),IF(AND(M49&gt;=8000,M49&lt;10000),(7.85+(M49-8000)*0.02%),IF(AND(M49&gt;=5000,M49&lt;8000),(6.65+(M49-5000)*0.04%),IF(AND(M49&gt;=2000,M49&lt;5000),(4.25+(PM49-2000)*0.08%),IF(AND(M49&gt;=1000,M49&lt;2000),(2.75+(M49-1000)*0.15%),IF(AND(M49&gt;=100,M49&lt;1000),(0.5+(M49-100)*0.25%),IF(AND(M49&gt;0,M49&lt;100),M49*0.5%)))))))</f>
        <v>0.43</v>
      </c>
      <c r="M67" s="24">
        <f ca="1">ROUND(L67*0.9,1)</f>
        <v>0.4</v>
      </c>
      <c r="Z67" s="2408"/>
      <c r="AI67" s="2409"/>
    </row>
    <row r="68" spans="1:35" ht="14.25" customHeight="1" thickBot="1">
      <c r="A68" s="208" t="s">
        <v>774</v>
      </c>
      <c r="B68" s="209" t="s">
        <v>2250</v>
      </c>
      <c r="C68" s="210">
        <f ca="1">IF(C67&lt;=0,0,ROUND(C67*D68,0))</f>
        <v>5</v>
      </c>
      <c r="D68" s="211">
        <f>'数据-取费表'!B41</f>
        <v>6.2719999999999998E-2</v>
      </c>
      <c r="E68" s="212"/>
      <c r="F68" s="2474"/>
      <c r="G68" s="2474"/>
      <c r="H68" s="2482"/>
      <c r="I68" s="137"/>
      <c r="J68" s="3109"/>
      <c r="K68" s="2484" t="s">
        <v>2251</v>
      </c>
      <c r="L68" s="1739">
        <f ca="1">IF(M49&gt;10000,M49*0.5%,IF(AND(M49&gt;5000,M49&lt;=10000),M49*1%,IF(AND(M49&gt;1000,M49&lt;=5000),M49*2%,IF(AND(M49&gt;200,M49&lt;=1000),M49*3%,M49*5%))))</f>
        <v>4.3</v>
      </c>
      <c r="M68" s="24">
        <f ca="1">ROUND(L68,1)</f>
        <v>4.3</v>
      </c>
      <c r="Z68" s="2408"/>
      <c r="AI68" s="2409"/>
    </row>
    <row r="69" spans="1:35" s="2431" customFormat="1" ht="16.5" customHeight="1">
      <c r="A69" s="2485"/>
      <c r="B69" s="2486"/>
      <c r="C69" s="2487"/>
      <c r="D69" s="2488"/>
      <c r="E69" s="2489"/>
      <c r="F69" s="2150"/>
      <c r="G69" s="2150"/>
      <c r="H69" s="2149"/>
      <c r="I69" s="2403"/>
      <c r="J69" s="3109"/>
      <c r="K69" s="2484" t="s">
        <v>2252</v>
      </c>
      <c r="L69" s="2490"/>
      <c r="M69" s="24">
        <f ca="1">ROUND(SUM(M63:M68),0)</f>
        <v>11</v>
      </c>
      <c r="N69" s="1740">
        <f ca="1">M69/M49</f>
        <v>0.12790697674418605</v>
      </c>
      <c r="O69" s="788"/>
      <c r="P69" s="788"/>
      <c r="Q69" s="788"/>
      <c r="R69" s="788"/>
      <c r="S69" s="788"/>
      <c r="T69" s="788"/>
      <c r="U69" s="788"/>
      <c r="V69" s="788"/>
      <c r="W69" s="788"/>
      <c r="X69" s="788"/>
      <c r="Y69" s="788"/>
      <c r="Z69" s="2408"/>
      <c r="AA69" s="2408"/>
      <c r="AB69" s="2408"/>
      <c r="AC69" s="2408"/>
      <c r="AD69" s="2408"/>
      <c r="AE69" s="2408"/>
      <c r="AF69" s="2408"/>
      <c r="AG69" s="2408"/>
      <c r="AH69" s="2408"/>
    </row>
    <row r="70" spans="1:35" s="2492" customFormat="1" ht="15" thickBot="1">
      <c r="A70" s="3153" t="s">
        <v>2253</v>
      </c>
      <c r="B70" s="3154"/>
      <c r="C70" s="3154"/>
      <c r="D70" s="3154"/>
      <c r="E70" s="3154"/>
      <c r="F70" s="3154"/>
      <c r="G70" s="3154"/>
      <c r="H70" s="3154"/>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44" t="s">
        <v>2234</v>
      </c>
      <c r="B71" s="3145"/>
      <c r="C71" s="1791"/>
      <c r="D71" s="1791" t="s">
        <v>2235</v>
      </c>
      <c r="E71" s="213" t="s">
        <v>2236</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3" t="s">
        <v>775</v>
      </c>
      <c r="B72" s="204" t="s">
        <v>2254</v>
      </c>
      <c r="C72" s="207">
        <f ca="1">ROUND(D45/(1+'数据-取费表'!C42),0)</f>
        <v>81</v>
      </c>
      <c r="D72" s="200" t="s">
        <v>32</v>
      </c>
      <c r="E72" s="1790"/>
      <c r="F72" s="1784"/>
      <c r="G72" s="1784"/>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3" t="s">
        <v>772</v>
      </c>
      <c r="B73" s="173" t="s">
        <v>2255</v>
      </c>
      <c r="C73" s="207">
        <f ca="1">C74+C78</f>
        <v>1</v>
      </c>
      <c r="D73" s="200" t="s">
        <v>32</v>
      </c>
      <c r="E73" s="1790"/>
      <c r="F73" s="1784"/>
      <c r="G73" s="1784"/>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2256</v>
      </c>
      <c r="C74" s="200">
        <f>ROUND(IF(G77="2016年5月1日后购买",C75/(1+'数据-取费表'!C42)+C76+C77,C75+C76+C77),0)</f>
        <v>0</v>
      </c>
      <c r="D74" s="200" t="s">
        <v>32</v>
      </c>
      <c r="E74" s="1790"/>
      <c r="F74" s="1784"/>
      <c r="G74" s="1784"/>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7" t="s">
        <v>776</v>
      </c>
      <c r="B75" s="198" t="s">
        <v>2257</v>
      </c>
      <c r="C75" s="218"/>
      <c r="D75" s="200" t="s">
        <v>32</v>
      </c>
      <c r="E75" s="219" t="s">
        <v>2258</v>
      </c>
      <c r="F75" s="2496" t="s">
        <v>2259</v>
      </c>
      <c r="G75" s="219" t="s">
        <v>2260</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2261</v>
      </c>
      <c r="C76" s="200">
        <f>IF(F75="购房发票",ROUND(C75*H75*D76,0),0)</f>
        <v>0</v>
      </c>
      <c r="D76" s="222">
        <v>0.05</v>
      </c>
      <c r="E76" s="3150" t="s">
        <v>2262</v>
      </c>
      <c r="F76" s="3149"/>
      <c r="G76" s="3149"/>
      <c r="H76" s="3152"/>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498" t="s">
        <v>2265</v>
      </c>
      <c r="H77" s="1795" t="str">
        <f>IF(G77="个人买卖住房","免征印花税"," ")</f>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2266</v>
      </c>
      <c r="C78" s="225">
        <f ca="1">ROUND(D45*D78/(1+'数据-取费表'!C42),0)</f>
        <v>1</v>
      </c>
      <c r="D78" s="226">
        <f>'数据-取费表'!B43</f>
        <v>6.7200000000000003E-3</v>
      </c>
      <c r="E78" s="3141" t="s">
        <v>2267</v>
      </c>
      <c r="F78" s="3142"/>
      <c r="G78" s="3142"/>
      <c r="H78" s="3143"/>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4" t="s">
        <v>2268</v>
      </c>
      <c r="C79" s="207">
        <f ca="1">C72-C73</f>
        <v>80</v>
      </c>
      <c r="D79" s="200" t="s">
        <v>32</v>
      </c>
      <c r="E79" s="1790"/>
      <c r="F79" s="1784"/>
      <c r="G79" s="1784"/>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2269</v>
      </c>
      <c r="C80" s="227">
        <f ca="1">IF(C79&lt;=0,0,C79/C73)</f>
        <v>80</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9" t="s">
        <v>2270</v>
      </c>
      <c r="C81" s="228">
        <f ca="1">ROUND(IF(C79&lt;=0,0,IF(C80&gt;=200%,C79*60%-C73*35%,IF(C80&gt;=100%,C79*50%-C73*15%,IF(C80&gt;=50%,C79*40%-C73*5%,IF(C80&lt;50%,C79*30%,0))))),0)</f>
        <v>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26"/>
      <c r="B82" s="727"/>
      <c r="C82" s="7"/>
      <c r="D82" s="7"/>
      <c r="E82" s="727"/>
      <c r="F82" s="727"/>
      <c r="G82" s="727"/>
      <c r="H82" s="728"/>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53" t="s">
        <v>2271</v>
      </c>
      <c r="B83" s="3154"/>
      <c r="C83" s="3154"/>
      <c r="D83" s="3154"/>
      <c r="E83" s="3154"/>
      <c r="F83" s="3154"/>
      <c r="G83" s="3154"/>
      <c r="H83" s="3154"/>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44" t="s">
        <v>2234</v>
      </c>
      <c r="B84" s="3145"/>
      <c r="C84" s="1791"/>
      <c r="D84" s="1791" t="s">
        <v>2235</v>
      </c>
      <c r="E84" s="213" t="s">
        <v>2236</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3" t="s">
        <v>775</v>
      </c>
      <c r="B85" s="204" t="s">
        <v>2254</v>
      </c>
      <c r="C85" s="207">
        <f ca="1">ROUND(D45/(1+'数据-取费表'!C42),0)</f>
        <v>81</v>
      </c>
      <c r="D85" s="200" t="s">
        <v>32</v>
      </c>
      <c r="E85" s="1790"/>
      <c r="F85" s="1784"/>
      <c r="G85" s="1784"/>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3" t="s">
        <v>772</v>
      </c>
      <c r="B86" s="173" t="s">
        <v>2255</v>
      </c>
      <c r="C86" s="207">
        <f ca="1">IF(H88="仅含出让金",C87+C90+C91+C92+C93+C94,C87+C91+C92+C93+C94)</f>
        <v>1</v>
      </c>
      <c r="D86" s="235"/>
      <c r="E86" s="1790"/>
      <c r="F86" s="1784"/>
      <c r="G86" s="1784"/>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7" t="s">
        <v>770</v>
      </c>
      <c r="B87" s="198" t="s">
        <v>2272</v>
      </c>
      <c r="C87" s="225">
        <f>C88+C89</f>
        <v>0</v>
      </c>
      <c r="D87" s="226"/>
      <c r="E87" s="1786"/>
      <c r="F87" s="1787"/>
      <c r="G87" s="1787"/>
      <c r="H87" s="1789"/>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7" t="s">
        <v>776</v>
      </c>
      <c r="B88" s="198" t="s">
        <v>2273</v>
      </c>
      <c r="C88" s="236"/>
      <c r="D88" s="226"/>
      <c r="E88" s="237" t="s">
        <v>2274</v>
      </c>
      <c r="F88" s="1787"/>
      <c r="G88" s="238" t="s">
        <v>2275</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7" t="s">
        <v>777</v>
      </c>
      <c r="B89" s="198" t="s">
        <v>2263</v>
      </c>
      <c r="C89" s="225">
        <f>ROUND(C88*D89,0)</f>
        <v>0</v>
      </c>
      <c r="D89" s="226">
        <f>'数据-取费表'!B48+'数据-取费表'!B49</f>
        <v>3.0499999999999999E-2</v>
      </c>
      <c r="E89" s="237" t="s">
        <v>2276</v>
      </c>
      <c r="F89" s="1787"/>
      <c r="G89" s="1787"/>
      <c r="H89" s="1789"/>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7" t="s">
        <v>771</v>
      </c>
      <c r="B90" s="198" t="s">
        <v>2277</v>
      </c>
      <c r="C90" s="236"/>
      <c r="D90" s="226"/>
      <c r="E90" s="237" t="str">
        <f>IF(H88="-","土地取得成本中已包含该笔费用"," ")</f>
        <v/>
      </c>
      <c r="F90" s="1787"/>
      <c r="G90" s="1787"/>
      <c r="H90" s="1789"/>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2278</v>
      </c>
      <c r="B91" s="198" t="s">
        <v>2279</v>
      </c>
      <c r="C91" s="225">
        <f>IF(H91="——",成本法!C33,I91)</f>
        <v>0</v>
      </c>
      <c r="D91" s="226"/>
      <c r="E91" s="3141" t="s">
        <v>2280</v>
      </c>
      <c r="F91" s="3142"/>
      <c r="G91" s="3142"/>
      <c r="H91" s="2503" t="s">
        <v>2281</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2282</v>
      </c>
      <c r="B92" s="198" t="s">
        <v>2283</v>
      </c>
      <c r="C92" s="225">
        <f>ROUND((C87+C90+C91)*D92,0)</f>
        <v>0</v>
      </c>
      <c r="D92" s="226">
        <v>0.1</v>
      </c>
      <c r="E92" s="3141" t="s">
        <v>2284</v>
      </c>
      <c r="F92" s="3142"/>
      <c r="G92" s="3142"/>
      <c r="H92" s="3143"/>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2285</v>
      </c>
      <c r="B93" s="198" t="s">
        <v>2266</v>
      </c>
      <c r="C93" s="225">
        <f ca="1">ROUND(D45*D93/(1+'数据-取费表'!C42),0)</f>
        <v>1</v>
      </c>
      <c r="D93" s="226">
        <f>'数据-取费表'!B43</f>
        <v>6.7200000000000003E-3</v>
      </c>
      <c r="E93" s="3141" t="s">
        <v>2267</v>
      </c>
      <c r="F93" s="3142"/>
      <c r="G93" s="3142"/>
      <c r="H93" s="3143"/>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2286</v>
      </c>
      <c r="B94" s="198" t="s">
        <v>2287</v>
      </c>
      <c r="C94" s="236">
        <f>ROUND((C87+C90+C91)*D94,0)</f>
        <v>0</v>
      </c>
      <c r="D94" s="226">
        <v>0.2</v>
      </c>
      <c r="E94" s="3189" t="s">
        <v>2288</v>
      </c>
      <c r="F94" s="3190"/>
      <c r="G94" s="3190"/>
      <c r="H94" s="3191"/>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4" t="s">
        <v>2268</v>
      </c>
      <c r="C95" s="207">
        <f ca="1">ROUND(C85-C86,0)</f>
        <v>80</v>
      </c>
      <c r="D95" s="200" t="s">
        <v>32</v>
      </c>
      <c r="E95" s="1790"/>
      <c r="F95" s="1784"/>
      <c r="G95" s="1784"/>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2269</v>
      </c>
      <c r="C96" s="227">
        <f ca="1">IF(C95&lt;=0,0,C95/C86)</f>
        <v>80</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9" t="s">
        <v>2270</v>
      </c>
      <c r="C97" s="228">
        <f ca="1">ROUND(IF(C95&lt;=0,0,IF(C96&gt;=200%,C95*60%-C86*35%,IF(C96&gt;=100%,C95*50%-C86*15%,IF(C96&gt;=50%,C95*40%-C86*5%,IF(C96&lt;50%,C95*30%,0))))),0)</f>
        <v>48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0"/>
      <c r="F98" s="2150"/>
      <c r="G98" s="2150"/>
      <c r="H98" s="2149"/>
      <c r="I98" s="137"/>
    </row>
    <row r="99" spans="1:35" ht="21.75" customHeight="1" thickBot="1">
      <c r="A99" s="2459" t="s">
        <v>2289</v>
      </c>
      <c r="B99" s="2403"/>
      <c r="C99" s="2403"/>
      <c r="D99" s="2403"/>
      <c r="E99" s="2150"/>
      <c r="F99" s="2150"/>
      <c r="G99" s="2150"/>
      <c r="H99" s="2149"/>
      <c r="I99" s="137"/>
    </row>
    <row r="100" spans="1:35" ht="18.75" customHeight="1">
      <c r="A100" s="3093" t="s">
        <v>2290</v>
      </c>
      <c r="B100" s="3094"/>
      <c r="C100" s="3094"/>
      <c r="D100" s="3125"/>
      <c r="E100" s="3094" t="s">
        <v>2291</v>
      </c>
      <c r="F100" s="3094"/>
      <c r="G100" s="3094"/>
      <c r="H100" s="3125"/>
      <c r="I100" s="137"/>
    </row>
    <row r="101" spans="1:35" ht="18.75" customHeight="1">
      <c r="A101" s="3133" t="s">
        <v>2292</v>
      </c>
      <c r="B101" s="3134"/>
      <c r="C101" s="729" t="str">
        <f>C4</f>
        <v>收益法 (元)</v>
      </c>
      <c r="D101" s="730" t="str">
        <f>D4</f>
        <v>比较法-办公</v>
      </c>
      <c r="E101" s="3105" t="s">
        <v>2293</v>
      </c>
      <c r="F101" s="3106"/>
      <c r="G101" s="2505" t="s">
        <v>2294</v>
      </c>
      <c r="H101" s="1041">
        <f ca="1">H118</f>
        <v>86</v>
      </c>
      <c r="I101" s="137"/>
    </row>
    <row r="102" spans="1:35" ht="18.75" customHeight="1">
      <c r="A102" s="3135" t="s">
        <v>2295</v>
      </c>
      <c r="B102" s="2505" t="s">
        <v>2294</v>
      </c>
      <c r="C102" s="729">
        <f ca="1">C19</f>
        <v>78</v>
      </c>
      <c r="D102" s="730">
        <f ca="1">D19</f>
        <v>94</v>
      </c>
      <c r="E102" s="3105"/>
      <c r="F102" s="3106"/>
      <c r="G102" s="2505" t="s">
        <v>2296</v>
      </c>
      <c r="H102" s="367">
        <f ca="1">I118</f>
        <v>17335</v>
      </c>
      <c r="I102" s="137"/>
    </row>
    <row r="103" spans="1:35" ht="42.75" customHeight="1">
      <c r="A103" s="3135"/>
      <c r="B103" s="2505" t="s">
        <v>2296</v>
      </c>
      <c r="C103" s="731">
        <f ca="1">C20</f>
        <v>15636</v>
      </c>
      <c r="D103" s="732">
        <f ca="1">D20</f>
        <v>18883</v>
      </c>
      <c r="E103" s="3099" t="s">
        <v>2297</v>
      </c>
      <c r="F103" s="3100"/>
      <c r="G103" s="2506" t="s">
        <v>2298</v>
      </c>
      <c r="H103" s="1041">
        <f>IF(D36="正常操作",H104+H105+H106,H105+H106)</f>
        <v>0</v>
      </c>
      <c r="I103" s="137"/>
    </row>
    <row r="104" spans="1:35" ht="18.75" customHeight="1">
      <c r="A104" s="3135" t="s">
        <v>2299</v>
      </c>
      <c r="B104" s="2507" t="s">
        <v>2294</v>
      </c>
      <c r="C104" s="733">
        <f ca="1">H118</f>
        <v>86</v>
      </c>
      <c r="D104" s="734"/>
      <c r="E104" s="2251" t="s">
        <v>2300</v>
      </c>
      <c r="F104" s="2242"/>
      <c r="G104" s="2506" t="s">
        <v>2298</v>
      </c>
      <c r="H104" s="1042">
        <f>IF(D36="同一抵押权人同一抵押物续贷",C36&amp;"（未扣减，详见特别提示）",C36)</f>
        <v>0</v>
      </c>
      <c r="I104" s="137"/>
    </row>
    <row r="105" spans="1:35" ht="18.75" customHeight="1" thickBot="1">
      <c r="A105" s="3147"/>
      <c r="B105" s="2508" t="s">
        <v>2296</v>
      </c>
      <c r="C105" s="735">
        <f ca="1">I118</f>
        <v>17335</v>
      </c>
      <c r="D105" s="736"/>
      <c r="E105" s="2251" t="s">
        <v>2301</v>
      </c>
      <c r="F105" s="2242"/>
      <c r="G105" s="2506" t="s">
        <v>2298</v>
      </c>
      <c r="H105" s="1042">
        <f>C37</f>
        <v>0</v>
      </c>
      <c r="I105" s="137"/>
    </row>
    <row r="106" spans="1:35" ht="18.75" customHeight="1">
      <c r="A106" s="2403" t="s">
        <v>2302</v>
      </c>
      <c r="B106" s="2403"/>
      <c r="C106" s="2403"/>
      <c r="D106" s="2403"/>
      <c r="E106" s="2509" t="s">
        <v>2303</v>
      </c>
      <c r="F106" s="2242"/>
      <c r="G106" s="2506" t="s">
        <v>2298</v>
      </c>
      <c r="H106" s="1042">
        <f>C38</f>
        <v>0</v>
      </c>
      <c r="I106" s="137"/>
    </row>
    <row r="107" spans="1:35" ht="18.75" customHeight="1">
      <c r="A107" s="137"/>
      <c r="B107" s="137"/>
      <c r="C107" s="137"/>
      <c r="D107" s="137"/>
      <c r="E107" s="3136" t="str">
        <f>IF(项目基本情况!E8="已注销","——","3.房地产抵押价值")</f>
        <v>3.房地产抵押价值</v>
      </c>
      <c r="F107" s="3106"/>
      <c r="G107" s="2505" t="s">
        <v>2294</v>
      </c>
      <c r="H107" s="1041">
        <f ca="1">IF(E107="——","——",H101-H103)</f>
        <v>86</v>
      </c>
      <c r="I107" s="137"/>
    </row>
    <row r="108" spans="1:35" ht="18.75" customHeight="1">
      <c r="A108" s="137"/>
      <c r="B108" s="137"/>
      <c r="C108" s="137"/>
      <c r="D108" s="137"/>
      <c r="E108" s="3136"/>
      <c r="F108" s="3106"/>
      <c r="G108" s="2505" t="s">
        <v>2296</v>
      </c>
      <c r="H108" s="367">
        <f ca="1">ROUND(H107*10000/'数据-汇总表'!E3,0)</f>
        <v>17335</v>
      </c>
      <c r="I108" s="137"/>
    </row>
    <row r="109" spans="1:35" ht="18.75" customHeight="1">
      <c r="A109" s="137"/>
      <c r="B109" s="137"/>
      <c r="C109" s="137"/>
      <c r="D109" s="137"/>
      <c r="E109" s="3136" t="str">
        <f>IF(项目基本情况!E8="已注销及未注销","4.抵押担保权已注销时的房地产抵押价值",IF(项目基本情况!E8="已注销","3.抵押担保权已注销时的房地产抵押价值","——"))</f>
        <v>——</v>
      </c>
      <c r="F109" s="3106"/>
      <c r="G109" s="2505" t="s">
        <v>2294</v>
      </c>
      <c r="H109" s="348" t="str">
        <f>IF(E109="——","——",H101-H105-H106)</f>
        <v>——</v>
      </c>
      <c r="I109" s="137"/>
    </row>
    <row r="110" spans="1:35" ht="18.75" customHeight="1">
      <c r="A110" s="137"/>
      <c r="B110" s="137"/>
      <c r="C110" s="137"/>
      <c r="D110" s="137"/>
      <c r="E110" s="3136"/>
      <c r="F110" s="3106"/>
      <c r="G110" s="2505" t="s">
        <v>2296</v>
      </c>
      <c r="H110" s="367" t="str">
        <f>IF(H109="——","——",ROUND(H109*10000/'数据-汇总表'!E3,0))</f>
        <v>——</v>
      </c>
      <c r="I110" s="137"/>
    </row>
    <row r="111" spans="1:35" ht="18.75" customHeight="1">
      <c r="A111" s="137"/>
      <c r="B111" s="137"/>
      <c r="C111" s="137"/>
      <c r="D111" s="137"/>
      <c r="E111" s="3137" t="str">
        <f>IF(项目基本情况!E9="抵押净值",IF(OR(项目基本情况!E8="已注销",项目基本情况!E8="房地产抵押价值"),"4.抵押净值","5.抵押净值"),"——")</f>
        <v>——</v>
      </c>
      <c r="F111" s="3138"/>
      <c r="G111" s="2505" t="s">
        <v>2294</v>
      </c>
      <c r="H111" s="1041" t="str">
        <f>IF(E111="——","——",N59)</f>
        <v>——</v>
      </c>
      <c r="I111" s="137"/>
    </row>
    <row r="112" spans="1:35" ht="18.75" customHeight="1" thickBot="1">
      <c r="A112" s="137"/>
      <c r="B112" s="137"/>
      <c r="C112" s="137"/>
      <c r="D112" s="137"/>
      <c r="E112" s="3139"/>
      <c r="F112" s="3140"/>
      <c r="G112" s="2510" t="s">
        <v>2296</v>
      </c>
      <c r="H112" s="783" t="str">
        <f>IF(E111="——","——",N61)</f>
        <v>——</v>
      </c>
      <c r="I112" s="137"/>
    </row>
    <row r="113" spans="1:11" ht="18.75" customHeight="1">
      <c r="A113" s="137"/>
      <c r="B113" s="137"/>
      <c r="C113" s="137"/>
      <c r="D113" s="137"/>
      <c r="E113" s="3148" t="s">
        <v>2302</v>
      </c>
      <c r="F113" s="3148"/>
      <c r="G113" s="3148"/>
      <c r="H113" s="3148"/>
      <c r="I113" s="137"/>
    </row>
    <row r="114" spans="1:11" ht="3.75" customHeight="1">
      <c r="A114" s="2403"/>
      <c r="B114" s="2403"/>
      <c r="C114" s="2403"/>
      <c r="D114" s="2403"/>
      <c r="E114" s="2481"/>
      <c r="F114" s="2481"/>
      <c r="G114" s="2481"/>
      <c r="H114" s="2481"/>
      <c r="I114" s="2403"/>
    </row>
    <row r="115" spans="1:11" ht="18.75" customHeight="1">
      <c r="A115" s="3161" t="s">
        <v>2304</v>
      </c>
      <c r="B115" s="3162"/>
      <c r="C115" s="3162"/>
      <c r="D115" s="3162"/>
      <c r="E115" s="3162"/>
      <c r="F115" s="3162"/>
      <c r="G115" s="3162"/>
      <c r="H115" s="3162"/>
      <c r="I115" s="3163"/>
    </row>
    <row r="116" spans="1:11" ht="27" customHeight="1">
      <c r="A116" s="3072" t="s">
        <v>2305</v>
      </c>
      <c r="B116" s="3115" t="s">
        <v>2306</v>
      </c>
      <c r="C116" s="3115" t="s">
        <v>2307</v>
      </c>
      <c r="D116" s="3121" t="s">
        <v>2308</v>
      </c>
      <c r="E116" s="3122"/>
      <c r="F116" s="3157" t="s">
        <v>2309</v>
      </c>
      <c r="G116" s="3157"/>
      <c r="H116" s="3072" t="s">
        <v>2310</v>
      </c>
      <c r="I116" s="3072"/>
    </row>
    <row r="117" spans="1:11" ht="18.75" customHeight="1">
      <c r="A117" s="3072"/>
      <c r="B117" s="3116"/>
      <c r="C117" s="3116"/>
      <c r="D117" s="1785" t="s">
        <v>2311</v>
      </c>
      <c r="E117" s="1785" t="s">
        <v>2312</v>
      </c>
      <c r="F117" s="1785" t="s">
        <v>2311</v>
      </c>
      <c r="G117" s="1785" t="s">
        <v>2313</v>
      </c>
      <c r="H117" s="1785" t="s">
        <v>2311</v>
      </c>
      <c r="I117" s="1785" t="s">
        <v>2313</v>
      </c>
    </row>
    <row r="118" spans="1:11" ht="24.75" customHeight="1">
      <c r="A118" s="2511" t="str">
        <f>项目基本情况!S2</f>
        <v>浙江省杭州市下城区杭州新天地项目D地块办公用房房地产房地产</v>
      </c>
      <c r="B118" s="1785">
        <f>M18</f>
        <v>49.61</v>
      </c>
      <c r="C118" s="1785">
        <f>M19</f>
        <v>8.7100000000000009</v>
      </c>
      <c r="D118" s="1785" t="e">
        <f ca="1">ROUND(IF(D32="总价",C34,E118*B118/10000),0)</f>
        <v>#REF!</v>
      </c>
      <c r="E118" s="1785" t="e">
        <f ca="1">ROUND(IF(C33="自定义",IF(D32="楼面单价",C34,D118*10000/B118),I118-G118),0)</f>
        <v>#REF!</v>
      </c>
      <c r="F118" s="1785" t="e">
        <f ca="1">ROUND(IF(D32="总价",C35,G118*B118/10000),0)</f>
        <v>#REF!</v>
      </c>
      <c r="G118" s="1785" t="e">
        <f ca="1">ROUND(IF(D32="楼面单价",C35,F118*10000/B118),0)</f>
        <v>#REF!</v>
      </c>
      <c r="H118" s="1785">
        <f ca="1">ROUND(IF(D32="总价",C32,I118*B118/10000),0)</f>
        <v>86</v>
      </c>
      <c r="I118" s="1785">
        <f ca="1">ROUND(IF(D32="楼面单价",C32,H118*10000/B118),0)</f>
        <v>17335</v>
      </c>
    </row>
    <row r="119" spans="1:11" ht="18.75" customHeight="1">
      <c r="A119" s="3072" t="s">
        <v>2314</v>
      </c>
      <c r="B119" s="3072"/>
      <c r="C119" s="3072"/>
      <c r="D119" s="3117" t="e">
        <f ca="1">NUMBERSTRING(INT(D118*10000),2)&amp;"元整"</f>
        <v>#REF!</v>
      </c>
      <c r="E119" s="3118"/>
      <c r="F119" s="3117" t="e">
        <f ca="1">NUMBERSTRING(INT(F118*10000),2)&amp;"元整"</f>
        <v>#REF!</v>
      </c>
      <c r="G119" s="3118"/>
      <c r="H119" s="3117" t="str">
        <f ca="1">NUMBERSTRING(INT(H118*10000),2)&amp;"元整"</f>
        <v>捌拾陆万元整</v>
      </c>
      <c r="I119" s="3118"/>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2408" t="str">
        <f>IF(D120=0,"故，本次评估不存在"&amp;A120,"故，本次评估"&amp;A120&amp;"为人民币"&amp;D120&amp;"万元整。")</f>
        <v>故，本次评估不存在估价师知悉的法定优先受偿款</v>
      </c>
    </row>
    <row r="121" spans="1:11" ht="18.75" customHeight="1">
      <c r="A121" s="3158" t="s">
        <v>2314</v>
      </c>
      <c r="B121" s="3159"/>
      <c r="C121" s="3160"/>
      <c r="D121" s="3117" t="str">
        <f>IF(D120=0,"零元整",NUMBERSTRING(INT(D120*10000),2)&amp;"元整")</f>
        <v>零元整</v>
      </c>
      <c r="E121" s="3119"/>
      <c r="F121" s="3119"/>
      <c r="G121" s="3119"/>
      <c r="H121" s="3119"/>
      <c r="I121" s="3118"/>
    </row>
    <row r="122" spans="1:11" ht="18.75" customHeight="1">
      <c r="A122" s="3123" t="str">
        <f>IF(项目基本情况!B9="房地产市场价值","",MID(E107,3,LEN(E107)-2))</f>
        <v>房地产抵押价值</v>
      </c>
      <c r="B122" s="3123"/>
      <c r="C122" s="3123"/>
      <c r="D122" s="3112">
        <f ca="1">H107</f>
        <v>86</v>
      </c>
      <c r="E122" s="3113"/>
      <c r="F122" s="3113"/>
      <c r="G122" s="3113"/>
      <c r="H122" s="3113"/>
      <c r="I122" s="3114"/>
    </row>
    <row r="123" spans="1:11" ht="18.75" customHeight="1">
      <c r="A123" s="3072" t="s">
        <v>2314</v>
      </c>
      <c r="B123" s="3072"/>
      <c r="C123" s="3072"/>
      <c r="D123" s="3117" t="str">
        <f ca="1">NUMBERSTRING(INT(D122*10000),2)&amp;"元整"</f>
        <v>捌拾陆万元整</v>
      </c>
      <c r="E123" s="3119"/>
      <c r="F123" s="3119"/>
      <c r="G123" s="3119"/>
      <c r="H123" s="3119"/>
      <c r="I123" s="3118"/>
    </row>
    <row r="124" spans="1:11" ht="18.75" customHeight="1">
      <c r="A124" s="3123" t="str">
        <f>IF(项目基本情况!B9="房地产市场价值","",MID(E109,3,LEN(E109)-2))</f>
        <v/>
      </c>
      <c r="B124" s="3123"/>
      <c r="C124" s="3123"/>
      <c r="D124" s="3112" t="str">
        <f>H109</f>
        <v>——</v>
      </c>
      <c r="E124" s="3113"/>
      <c r="F124" s="3113"/>
      <c r="G124" s="3113"/>
      <c r="H124" s="3113"/>
      <c r="I124" s="3114"/>
    </row>
    <row r="125" spans="1:11" ht="18.75" customHeight="1">
      <c r="A125" s="3072" t="s">
        <v>2314</v>
      </c>
      <c r="B125" s="3072"/>
      <c r="C125" s="3072"/>
      <c r="D125" s="3117" t="e">
        <f>NUMBERSTRING(INT(D124*10000),2)&amp;"元整"</f>
        <v>#VALUE!</v>
      </c>
      <c r="E125" s="3119"/>
      <c r="F125" s="3119"/>
      <c r="G125" s="3119"/>
      <c r="H125" s="3119"/>
      <c r="I125" s="3118"/>
    </row>
    <row r="126" spans="1:11" ht="18.75" customHeight="1">
      <c r="A126" s="3123" t="str">
        <f>IF(项目基本情况!B9="房地产市场价值","",MID(E111,3,LEN(E111)-2))</f>
        <v/>
      </c>
      <c r="B126" s="3123"/>
      <c r="C126" s="3123"/>
      <c r="D126" s="3112" t="str">
        <f>H111</f>
        <v>——</v>
      </c>
      <c r="E126" s="3113"/>
      <c r="F126" s="3113"/>
      <c r="G126" s="3113"/>
      <c r="H126" s="3113"/>
      <c r="I126" s="3114"/>
    </row>
    <row r="127" spans="1:11" ht="18.75" customHeight="1">
      <c r="A127" s="3072" t="s">
        <v>2314</v>
      </c>
      <c r="B127" s="3072"/>
      <c r="C127" s="3072"/>
      <c r="D127" s="3117" t="e">
        <f>NUMBERSTRING(INT(D126*10000),2)&amp;"元整"</f>
        <v>#VALUE!</v>
      </c>
      <c r="E127" s="3119"/>
      <c r="F127" s="3119"/>
      <c r="G127" s="3119"/>
      <c r="H127" s="3119"/>
      <c r="I127" s="3118"/>
    </row>
    <row r="128" spans="1:11" ht="21.75" customHeight="1">
      <c r="A128" s="3120" t="s">
        <v>2315</v>
      </c>
      <c r="B128" s="3120"/>
      <c r="C128" s="3120"/>
      <c r="D128" s="3120"/>
      <c r="E128" s="3120"/>
      <c r="F128" s="3120"/>
      <c r="G128" s="3120"/>
      <c r="H128" s="3120"/>
      <c r="I128" s="3120"/>
    </row>
    <row r="129" spans="1:35" ht="21.75" customHeight="1">
      <c r="A129" s="2512" t="s">
        <v>2316</v>
      </c>
      <c r="B129" s="2513"/>
      <c r="C129" s="2514" t="s">
        <v>2317</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88"/>
    </row>
    <row r="135" spans="1:35" ht="21.75" customHeight="1">
      <c r="A135" s="788"/>
      <c r="B135" s="788"/>
      <c r="C135" s="788"/>
      <c r="D135" s="788"/>
      <c r="E135" s="788"/>
      <c r="F135" s="2528" t="s">
        <v>2318</v>
      </c>
      <c r="G135" s="2529"/>
      <c r="H135" s="2529"/>
      <c r="I135" s="2530" t="s">
        <v>2319</v>
      </c>
    </row>
    <row r="136" spans="1:35" ht="21.75" customHeight="1">
      <c r="A136" s="788"/>
      <c r="B136" s="2531" t="s">
        <v>2320</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29"/>
      <c r="C138" s="2529"/>
      <c r="D138" s="2529"/>
      <c r="E138" s="2529"/>
      <c r="F138" s="2529"/>
      <c r="G138" s="2529"/>
      <c r="H138" s="2529"/>
      <c r="I138" s="2530" t="s">
        <v>2321</v>
      </c>
    </row>
    <row r="139" spans="1:35" ht="21.75" customHeight="1">
      <c r="A139" s="788"/>
      <c r="B139" s="2531" t="s">
        <v>2322</v>
      </c>
      <c r="C139" s="788"/>
      <c r="D139" s="788"/>
      <c r="E139" s="788"/>
      <c r="F139" s="788"/>
      <c r="G139" s="788"/>
      <c r="H139" s="788"/>
      <c r="I139" s="788"/>
    </row>
    <row r="140" spans="1:35" ht="21.75" customHeight="1">
      <c r="A140" s="788"/>
      <c r="B140" s="2531"/>
      <c r="C140" s="788"/>
      <c r="D140" s="788"/>
      <c r="E140" s="788"/>
      <c r="F140" s="788"/>
      <c r="G140" s="788"/>
      <c r="H140" s="788"/>
      <c r="I140" s="788"/>
    </row>
    <row r="141" spans="1:35" ht="21.75" customHeight="1">
      <c r="A141" s="788"/>
      <c r="B141" s="2529"/>
      <c r="C141" s="2529"/>
      <c r="D141" s="2529"/>
      <c r="E141" s="2529"/>
      <c r="F141" s="2529"/>
      <c r="G141" s="2529"/>
      <c r="H141" s="2529"/>
      <c r="I141" s="2530" t="s">
        <v>2321</v>
      </c>
    </row>
    <row r="142" spans="1:35" ht="21.75" customHeight="1">
      <c r="A142" s="788"/>
      <c r="B142" s="2531"/>
      <c r="C142" s="2532"/>
      <c r="D142" s="2533"/>
      <c r="E142" s="2533"/>
      <c r="F142" s="2325"/>
      <c r="G142" s="788"/>
      <c r="H142" s="788"/>
      <c r="I142" s="788"/>
    </row>
    <row r="143" spans="1:35" s="138" customFormat="1" ht="21.75" customHeight="1">
      <c r="A143" s="788"/>
      <c r="B143" s="2531"/>
      <c r="C143" s="2532"/>
      <c r="D143" s="2533"/>
      <c r="E143" s="2533"/>
      <c r="F143" s="2325"/>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8"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8"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08"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08"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08"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08"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08"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08"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08"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08"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08"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08"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08"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08"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08"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08"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08"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08"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08"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08"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08"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08"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08"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08"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08"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08"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08"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08"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08"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08"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08"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08"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08"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08"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08"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08"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08"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08"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08"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08"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08"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08"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08"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08"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08"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08"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08"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08"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08"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08"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08"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08"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08"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08"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08"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08"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08"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08"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08"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08"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08"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08"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08"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08"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08"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08"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08"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08"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08"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08"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08"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08"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08"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08"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08"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08"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08"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08"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08"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08"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08"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08"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08"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08"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08"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08"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08"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08"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08"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08"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08"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08"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08"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08"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08"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08"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08"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08"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08"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08"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08"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08"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08"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08"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08"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08"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33" priority="21" stopIfTrue="1" operator="equal">
      <formula>25</formula>
    </cfRule>
  </conditionalFormatting>
  <conditionalFormatting sqref="C8:C9">
    <cfRule type="cellIs" dxfId="132" priority="19" stopIfTrue="1" operator="equal">
      <formula>15</formula>
    </cfRule>
  </conditionalFormatting>
  <conditionalFormatting sqref="C14:C16">
    <cfRule type="cellIs" dxfId="131" priority="13" stopIfTrue="1" operator="equal">
      <formula>30</formula>
    </cfRule>
  </conditionalFormatting>
  <conditionalFormatting sqref="D5:D7">
    <cfRule type="cellIs" dxfId="130" priority="10" stopIfTrue="1" operator="equal">
      <formula>25</formula>
    </cfRule>
  </conditionalFormatting>
  <conditionalFormatting sqref="D8:D9">
    <cfRule type="cellIs" dxfId="129" priority="9" stopIfTrue="1" operator="equal">
      <formula>15</formula>
    </cfRule>
  </conditionalFormatting>
  <conditionalFormatting sqref="C10:D13">
    <cfRule type="cellIs" dxfId="128" priority="8" stopIfTrue="1" operator="equal">
      <formula>15</formula>
    </cfRule>
  </conditionalFormatting>
  <conditionalFormatting sqref="D14:D16">
    <cfRule type="cellIs" dxfId="127" priority="6"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26"/>
      <c r="C1" s="242"/>
      <c r="D1" s="242"/>
      <c r="E1" s="242"/>
      <c r="F1" s="242"/>
      <c r="G1" s="1368">
        <f>MATCH(B1,'数据-取费表'!A6:A16,0)+5</f>
        <v>8</v>
      </c>
    </row>
    <row r="2" spans="1:9" s="244" customFormat="1" ht="18" customHeight="1">
      <c r="A2" s="245" t="s">
        <v>2324</v>
      </c>
      <c r="B2" s="246">
        <f ca="1">IF(D2="——",C52,C52-E2)</f>
        <v>17</v>
      </c>
      <c r="C2" s="243" t="s">
        <v>2325</v>
      </c>
      <c r="D2" s="2534" t="s">
        <v>70</v>
      </c>
      <c r="E2" s="1429" t="e">
        <f ca="1">SUMIF(INDIRECT("'"&amp;G2&amp;"'"&amp;"!A:A"),"承租人权益价值",INDIRECT("'"&amp;G2&amp;"'"&amp;"!c:c"))</f>
        <v>#REF!</v>
      </c>
      <c r="F2" s="2535" t="s">
        <v>2325</v>
      </c>
      <c r="G2" s="2536"/>
    </row>
    <row r="3" spans="1:9" s="244" customFormat="1" ht="18" customHeight="1" thickBot="1">
      <c r="A3" s="247" t="s">
        <v>2326</v>
      </c>
      <c r="B3" s="248">
        <f ca="1">ROUND(B2*10000/(IF(B1="",'数据-汇总表'!E3,INDIRECT("'数据-取费表'!k"&amp;$G$1))),0)</f>
        <v>3427</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5" t="s">
        <v>2334</v>
      </c>
      <c r="B6" s="259" t="s">
        <v>2335</v>
      </c>
      <c r="C6" s="260"/>
      <c r="D6" s="261"/>
      <c r="E6" s="262"/>
      <c r="F6" s="262"/>
      <c r="G6" s="263"/>
    </row>
    <row r="7" spans="1:9" s="258" customFormat="1" ht="13.5" customHeight="1">
      <c r="A7" s="945" t="s">
        <v>2336</v>
      </c>
      <c r="B7" s="259" t="s">
        <v>2337</v>
      </c>
      <c r="C7" s="264">
        <f>ROUND(C6*F7,0)</f>
        <v>0</v>
      </c>
      <c r="D7" s="264"/>
      <c r="E7" s="262"/>
      <c r="F7" s="265">
        <f>'数据-取费表'!B48+'数据-取费表'!B49</f>
        <v>3.0499999999999999E-2</v>
      </c>
      <c r="G7" s="263"/>
    </row>
    <row r="8" spans="1:9" s="267" customFormat="1">
      <c r="A8" s="945" t="s">
        <v>2338</v>
      </c>
      <c r="B8" s="259" t="s">
        <v>2339</v>
      </c>
      <c r="C8" s="264">
        <f>IF(G8="已包含在土地购买价格中","0",IF(B1="",'数据-取费表'!B29,IF(G9="全部缴纳",C9+C10,H9)))</f>
        <v>0</v>
      </c>
      <c r="D8" s="266"/>
      <c r="E8" s="264"/>
      <c r="F8" s="265"/>
      <c r="G8" s="2537"/>
    </row>
    <row r="9" spans="1:9" s="258" customFormat="1" ht="13.5" customHeight="1">
      <c r="A9" s="946" t="s">
        <v>800</v>
      </c>
      <c r="B9" s="268" t="s">
        <v>2340</v>
      </c>
      <c r="C9" s="269">
        <f ca="1">ROUND(D9*E9/10000,0)</f>
        <v>0</v>
      </c>
      <c r="D9" s="1028">
        <f ca="1">IF(B1="",'数据-汇总表'!E5,IF(INDIRECT("'数据-取费表'!c"&amp;$G$1)="住宅",INDIRECT("'数据-取费表'!k"&amp;$G$1),0))</f>
        <v>0</v>
      </c>
      <c r="E9" s="269">
        <f>'数据-取费表'!B27</f>
        <v>105</v>
      </c>
      <c r="F9" s="265"/>
      <c r="G9" s="2538"/>
      <c r="H9" s="1379"/>
      <c r="I9" s="2539" t="s">
        <v>2341</v>
      </c>
    </row>
    <row r="10" spans="1:9" s="258" customFormat="1" ht="13.5" customHeight="1">
      <c r="A10" s="946" t="s">
        <v>801</v>
      </c>
      <c r="B10" s="268" t="s">
        <v>2342</v>
      </c>
      <c r="C10" s="269">
        <f ca="1">ROUND(D10*E10/10000,0)</f>
        <v>1</v>
      </c>
      <c r="D10" s="1028">
        <f ca="1">IF(B1="",'数据-汇总表'!E6,IF(INDIRECT("'数据-取费表'!c"&amp;$G$1)="住宅",INDIRECT("'数据-取费表'!s"&amp;$G$1),INDIRECT("'数据-取费表'!k"&amp;$G$1)+INDIRECT("'数据-取费表'!s"&amp;$G$1)))</f>
        <v>49.61</v>
      </c>
      <c r="E10" s="269">
        <f>'数据-取费表'!B28</f>
        <v>154</v>
      </c>
      <c r="F10" s="265"/>
      <c r="G10" s="270"/>
    </row>
    <row r="11" spans="1:9" s="258" customFormat="1" ht="13.5" hidden="1" customHeight="1">
      <c r="A11" s="271" t="s">
        <v>7</v>
      </c>
      <c r="B11" s="259" t="s">
        <v>2343</v>
      </c>
      <c r="C11" s="255"/>
      <c r="D11" s="1030"/>
      <c r="E11" s="262"/>
      <c r="F11" s="262"/>
      <c r="G11" s="263"/>
    </row>
    <row r="12" spans="1:9" s="258" customFormat="1" ht="13.5" hidden="1" customHeight="1">
      <c r="A12" s="271" t="s">
        <v>8</v>
      </c>
      <c r="B12" s="259" t="s">
        <v>2344</v>
      </c>
      <c r="C12" s="255">
        <v>0</v>
      </c>
      <c r="D12" s="1030"/>
      <c r="E12" s="272"/>
      <c r="F12" s="265">
        <v>3.0499999999999999E-2</v>
      </c>
      <c r="G12" s="263"/>
    </row>
    <row r="13" spans="1:9" s="258" customFormat="1" ht="13.5" hidden="1" customHeight="1">
      <c r="A13" s="271" t="s">
        <v>9</v>
      </c>
      <c r="B13" s="259" t="s">
        <v>2345</v>
      </c>
      <c r="C13" s="255"/>
      <c r="D13" s="1030"/>
      <c r="E13" s="262"/>
      <c r="F13" s="262"/>
      <c r="G13" s="263"/>
    </row>
    <row r="14" spans="1:9" s="258" customFormat="1" ht="13.5" hidden="1" customHeight="1">
      <c r="A14" s="271" t="s">
        <v>10</v>
      </c>
      <c r="B14" s="259" t="s">
        <v>2346</v>
      </c>
      <c r="C14" s="255"/>
      <c r="D14" s="1030"/>
      <c r="E14" s="262"/>
      <c r="F14" s="262"/>
      <c r="G14" s="263" t="s">
        <v>2347</v>
      </c>
    </row>
    <row r="15" spans="1:9" s="258" customFormat="1" ht="13.5" hidden="1" customHeight="1">
      <c r="A15" s="271" t="s">
        <v>11</v>
      </c>
      <c r="B15" s="259" t="s">
        <v>2348</v>
      </c>
      <c r="C15" s="264"/>
      <c r="D15" s="1030"/>
      <c r="E15" s="262"/>
      <c r="F15" s="262"/>
      <c r="G15" s="263" t="s">
        <v>2349</v>
      </c>
    </row>
    <row r="16" spans="1:9" s="258" customFormat="1" ht="13.5" hidden="1" customHeight="1">
      <c r="A16" s="271" t="s">
        <v>12</v>
      </c>
      <c r="B16" s="259" t="s">
        <v>2346</v>
      </c>
      <c r="C16" s="264"/>
      <c r="D16" s="1030"/>
      <c r="E16" s="262"/>
      <c r="F16" s="262"/>
      <c r="G16" s="263"/>
    </row>
    <row r="17" spans="1:7" s="258" customFormat="1" ht="13.5" hidden="1" customHeight="1">
      <c r="A17" s="271" t="s">
        <v>13</v>
      </c>
      <c r="B17" s="259" t="s">
        <v>2350</v>
      </c>
      <c r="C17" s="273"/>
      <c r="D17" s="1031"/>
      <c r="E17" s="273"/>
      <c r="F17" s="273"/>
      <c r="G17" s="263" t="s">
        <v>2349</v>
      </c>
    </row>
    <row r="18" spans="1:7" s="258" customFormat="1" ht="13.5" hidden="1" customHeight="1">
      <c r="A18" s="271" t="s">
        <v>14</v>
      </c>
      <c r="B18" s="259" t="s">
        <v>2351</v>
      </c>
      <c r="C18" s="264">
        <v>0</v>
      </c>
      <c r="D18" s="1030"/>
      <c r="E18" s="262"/>
      <c r="F18" s="265">
        <v>3.0499999999999999E-2</v>
      </c>
      <c r="G18" s="263" t="s">
        <v>2352</v>
      </c>
    </row>
    <row r="19" spans="1:7" s="267" customFormat="1" ht="13.5" customHeight="1">
      <c r="A19" s="299" t="s">
        <v>2353</v>
      </c>
      <c r="B19" s="254" t="s">
        <v>2354</v>
      </c>
      <c r="C19" s="255">
        <f ca="1">IF(G19="已包含在土地取得成本中","0",ROUND(D19*E19/10000,0))</f>
        <v>1</v>
      </c>
      <c r="D19" s="1032">
        <f ca="1">D9+D10</f>
        <v>49.61</v>
      </c>
      <c r="E19" s="255">
        <f>'数据-取费表'!B31</f>
        <v>200</v>
      </c>
      <c r="F19" s="275"/>
      <c r="G19" s="2537"/>
    </row>
    <row r="20" spans="1:7" s="258" customFormat="1" ht="13.5" customHeight="1">
      <c r="A20" s="299" t="s">
        <v>2355</v>
      </c>
      <c r="B20" s="254" t="s">
        <v>2356</v>
      </c>
      <c r="C20" s="276">
        <f ca="1">ROUND((C5+C19)*F20,0)</f>
        <v>0</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43">
        <f ca="1">ROUND(SUM(C23:C25),0)</f>
        <v>0</v>
      </c>
      <c r="D22" s="279">
        <f ca="1">C26</f>
        <v>1.1999999999999999E-3</v>
      </c>
      <c r="E22" s="280" t="s">
        <v>2360</v>
      </c>
      <c r="F22" s="281">
        <f ca="1">'数据-取费表'!B40</f>
        <v>4.7500000000000001E-2</v>
      </c>
      <c r="G22" s="278" t="str">
        <f>IF('数据-取费表'!B22&lt;=1,"单利计息","复利计息")</f>
        <v>复利计息</v>
      </c>
    </row>
    <row r="23" spans="1:7" s="258" customFormat="1" ht="13.5" customHeight="1">
      <c r="A23" s="947" t="s">
        <v>2364</v>
      </c>
      <c r="B23" s="259" t="s">
        <v>2365</v>
      </c>
      <c r="C23" s="1344">
        <f ca="1">ROUND(IF('数据-取费表'!B22&lt;=1,C5*F22*'数据-取费表'!B23,C5*(POWER((1+F22),'数据-取费表'!B23)-1)),0)</f>
        <v>0</v>
      </c>
      <c r="D23" s="282"/>
      <c r="E23" s="282"/>
      <c r="F23" s="283"/>
      <c r="G23" s="284" t="s">
        <v>2366</v>
      </c>
    </row>
    <row r="24" spans="1:7" s="258" customFormat="1" ht="13.5" customHeight="1">
      <c r="A24" s="947" t="s">
        <v>2367</v>
      </c>
      <c r="B24" s="259" t="s">
        <v>2368</v>
      </c>
      <c r="C24" s="1344">
        <f ca="1">ROUND(IF('数据-取费表'!B22&lt;=1,C19*F22*('数据-取费表'!B19/2+'数据-取费表'!B21),C19*(POWER((1+F22),('数据-取费表'!B19/2+'数据-取费表'!B21))-1)),0)</f>
        <v>0</v>
      </c>
      <c r="D24" s="282"/>
      <c r="E24" s="282"/>
      <c r="F24" s="283"/>
      <c r="G24" s="284" t="s">
        <v>2369</v>
      </c>
    </row>
    <row r="25" spans="1:7" s="258" customFormat="1" ht="24">
      <c r="A25" s="947" t="s">
        <v>2370</v>
      </c>
      <c r="B25" s="259" t="s">
        <v>2371</v>
      </c>
      <c r="C25" s="1344">
        <f ca="1">ROUND(IF('数据-取费表'!B22&lt;=1,C20*F22*'数据-取费表'!B23/2,C20*(POWER((1+F22),'数据-取费表'!B23/2)-1)),0)</f>
        <v>0</v>
      </c>
      <c r="D25" s="282"/>
      <c r="E25" s="285"/>
      <c r="F25" s="283"/>
      <c r="G25" s="286" t="s">
        <v>2372</v>
      </c>
    </row>
    <row r="26" spans="1:7" s="258" customFormat="1">
      <c r="A26" s="947" t="s">
        <v>795</v>
      </c>
      <c r="B26" s="259" t="s">
        <v>2373</v>
      </c>
      <c r="C26" s="282">
        <f ca="1">ROUND(IF('数据-取费表'!B22&lt;=1,F21*F22*'数据-取费表'!B23/2,F21*(POWER((1+F22),'数据-取费表'!B23/2)-1)),4)</f>
        <v>1.1999999999999999E-3</v>
      </c>
      <c r="D26" s="282"/>
      <c r="E26" s="285"/>
      <c r="F26" s="283"/>
      <c r="G26" s="287"/>
    </row>
    <row r="27" spans="1:7" s="258" customFormat="1" ht="24.75">
      <c r="A27" s="299" t="s">
        <v>2374</v>
      </c>
      <c r="B27" s="288" t="s">
        <v>2375</v>
      </c>
      <c r="C27" s="289">
        <f ca="1">C28</f>
        <v>0</v>
      </c>
      <c r="D27" s="279">
        <f ca="1">C29</f>
        <v>5.0000000000000001E-3</v>
      </c>
      <c r="E27" s="280" t="s">
        <v>2376</v>
      </c>
      <c r="F27" s="290">
        <f ca="1">IF(B1="",'数据-取费表'!Q16,INDIRECT("'数据-取费表'!q"&amp;$G$1))</f>
        <v>0.25</v>
      </c>
      <c r="G27" s="291" t="s">
        <v>2377</v>
      </c>
    </row>
    <row r="28" spans="1:7" s="258" customFormat="1" ht="13.5" customHeight="1">
      <c r="A28" s="947" t="s">
        <v>791</v>
      </c>
      <c r="B28" s="292" t="s">
        <v>2378</v>
      </c>
      <c r="C28" s="293">
        <f ca="1">ROUND((C5+C19+C20)*F27*'数据-取费表'!B21/'数据-取费表'!B20,0)</f>
        <v>0</v>
      </c>
      <c r="D28" s="279"/>
      <c r="E28" s="280"/>
      <c r="F28" s="290"/>
      <c r="G28" s="291"/>
    </row>
    <row r="29" spans="1:7" s="258" customFormat="1" ht="13.5" customHeight="1">
      <c r="A29" s="947" t="s">
        <v>792</v>
      </c>
      <c r="B29" s="292" t="s">
        <v>2379</v>
      </c>
      <c r="C29" s="282">
        <f ca="1">ROUND(C21*F27*'数据-取费表'!B21/'数据-取费表'!B20,4)</f>
        <v>5.0000000000000001E-3</v>
      </c>
      <c r="D29" s="279"/>
      <c r="E29" s="280"/>
      <c r="F29" s="290"/>
      <c r="G29" s="291"/>
    </row>
    <row r="30" spans="1:7" s="258" customFormat="1" ht="13.5" customHeight="1">
      <c r="A30" s="299" t="s">
        <v>2380</v>
      </c>
      <c r="B30" s="254" t="s">
        <v>2381</v>
      </c>
      <c r="C30" s="279">
        <f>ROUND(F30/(1+'数据-取费表'!C42),4)</f>
        <v>5.9400000000000001E-2</v>
      </c>
      <c r="D30" s="280" t="s">
        <v>2376</v>
      </c>
      <c r="E30" s="285"/>
      <c r="F30" s="281">
        <f>'数据-取费表'!B41</f>
        <v>6.2719999999999998E-2</v>
      </c>
      <c r="G30" s="278" t="s">
        <v>2382</v>
      </c>
    </row>
    <row r="31" spans="1:7" ht="16.5" customHeight="1">
      <c r="A31" s="253">
        <v>1</v>
      </c>
      <c r="B31" s="254" t="s">
        <v>2383</v>
      </c>
      <c r="C31" s="255">
        <f ca="1">ROUND((C5+C19+C20+C22+C27)/(1-C21-D22-D27-C30),0)</f>
        <v>1</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12</v>
      </c>
      <c r="D33" s="276"/>
      <c r="E33" s="256"/>
      <c r="F33" s="285"/>
      <c r="G33" s="278"/>
    </row>
    <row r="34" spans="1:7" s="302" customFormat="1" ht="13.5" customHeight="1">
      <c r="A34" s="947" t="s">
        <v>791</v>
      </c>
      <c r="B34" s="259" t="s">
        <v>2387</v>
      </c>
      <c r="C34" s="264">
        <f ca="1">IF(B1="",IF(F34=100%,'数据-取费表'!M16,'数据-取费表'!O16),IF(F34=100%,INDIRECT("'数据-取费表'!m"&amp;$G$1)+INDIRECT("'数据-取费表'!t"&amp;$G$1),INDIRECT("'数据-取费表'!o"&amp;$G$1)+INDIRECT("'数据-取费表'!aq"&amp;$G$1)))</f>
        <v>11</v>
      </c>
      <c r="D34" s="261"/>
      <c r="E34" s="264"/>
      <c r="F34" s="301">
        <f ca="1">IF('数据-取费表'!B24=0,1,IF(B1="",'数据-取费表'!N16,INDIRECT("'数据-取费表'!n"&amp;$G$1)))</f>
        <v>1</v>
      </c>
      <c r="G34" s="263" t="s">
        <v>2388</v>
      </c>
    </row>
    <row r="35" spans="1:7" ht="13.5" customHeight="1">
      <c r="A35" s="947" t="s">
        <v>796</v>
      </c>
      <c r="B35" s="259" t="s">
        <v>2389</v>
      </c>
      <c r="C35" s="264">
        <f ca="1">ROUND(C34*F35,0)</f>
        <v>0</v>
      </c>
      <c r="D35" s="264"/>
      <c r="E35" s="264"/>
      <c r="F35" s="303">
        <f>'数据-取费表'!B33</f>
        <v>0.03</v>
      </c>
      <c r="G35" s="263" t="s">
        <v>2390</v>
      </c>
    </row>
    <row r="36" spans="1:7" ht="24">
      <c r="A36" s="947"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2392</v>
      </c>
    </row>
    <row r="37" spans="1:7" s="302" customFormat="1" ht="13.5" customHeight="1">
      <c r="A37" s="947" t="s">
        <v>798</v>
      </c>
      <c r="B37" s="259" t="s">
        <v>2393</v>
      </c>
      <c r="C37" s="293">
        <f ca="1">ROUND(E37*D37*F34/10000,0)</f>
        <v>1</v>
      </c>
      <c r="D37" s="261">
        <f ca="1">D19</f>
        <v>49.61</v>
      </c>
      <c r="E37" s="293">
        <f>'数据-取费表'!B35</f>
        <v>200</v>
      </c>
      <c r="F37" s="303"/>
      <c r="G37" s="305" t="s">
        <v>2394</v>
      </c>
    </row>
    <row r="38" spans="1:7" ht="13.5" customHeight="1">
      <c r="A38" s="947" t="s">
        <v>799</v>
      </c>
      <c r="B38" s="259" t="s">
        <v>2395</v>
      </c>
      <c r="C38" s="264">
        <f ca="1">ROUND(C34*F38,0)</f>
        <v>0</v>
      </c>
      <c r="D38" s="264"/>
      <c r="E38" s="264"/>
      <c r="F38" s="303">
        <f>'数据-取费表'!B36</f>
        <v>1.4999999999999999E-2</v>
      </c>
      <c r="G38" s="263" t="s">
        <v>2390</v>
      </c>
    </row>
    <row r="39" spans="1:7" s="258" customFormat="1" ht="13.5" customHeight="1">
      <c r="A39" s="299" t="s">
        <v>2396</v>
      </c>
      <c r="B39" s="254" t="s">
        <v>2397</v>
      </c>
      <c r="C39" s="276">
        <f ca="1">ROUND(C33*F20,0)</f>
        <v>0</v>
      </c>
      <c r="D39" s="276"/>
      <c r="E39" s="276"/>
      <c r="F39" s="277"/>
      <c r="G39" s="278" t="s">
        <v>2398</v>
      </c>
    </row>
    <row r="40" spans="1:7" s="258" customFormat="1" ht="13.5" customHeight="1">
      <c r="A40" s="299" t="s">
        <v>2399</v>
      </c>
      <c r="B40" s="254" t="s">
        <v>2400</v>
      </c>
      <c r="C40" s="1718">
        <f>F21</f>
        <v>0.02</v>
      </c>
      <c r="D40" s="280" t="s">
        <v>2401</v>
      </c>
      <c r="E40" s="276"/>
      <c r="F40" s="277"/>
      <c r="G40" s="278" t="s">
        <v>2402</v>
      </c>
    </row>
    <row r="41" spans="1:7" s="258" customFormat="1" ht="13.5" customHeight="1">
      <c r="A41" s="299" t="s">
        <v>2403</v>
      </c>
      <c r="B41" s="254" t="s">
        <v>2404</v>
      </c>
      <c r="C41" s="276">
        <f ca="1">ROUND(SUM(C42:C43),0)</f>
        <v>1</v>
      </c>
      <c r="D41" s="279">
        <f ca="1">C44</f>
        <v>1.1999999999999999E-3</v>
      </c>
      <c r="E41" s="280" t="s">
        <v>2401</v>
      </c>
      <c r="F41" s="281"/>
      <c r="G41" s="278" t="str">
        <f>IF('数据-取费表'!B22&lt;=1,"单利计息","复利计息")</f>
        <v>复利计息</v>
      </c>
    </row>
    <row r="42" spans="1:7" ht="13.5" customHeight="1">
      <c r="A42" s="947" t="s">
        <v>791</v>
      </c>
      <c r="B42" s="259" t="s">
        <v>2405</v>
      </c>
      <c r="C42" s="282">
        <f ca="1">ROUND(IF('数据-取费表'!B22&lt;=1,C33*F22*'数据-取费表'!B21/2,C33*(POWER((1+F22),'数据-取费表'!B21/2)-1)),0)</f>
        <v>1</v>
      </c>
      <c r="D42" s="282"/>
      <c r="E42" s="282"/>
      <c r="F42" s="283"/>
      <c r="G42" s="3192" t="s">
        <v>2406</v>
      </c>
    </row>
    <row r="43" spans="1:7" ht="13.5" customHeight="1">
      <c r="A43" s="947" t="s">
        <v>792</v>
      </c>
      <c r="B43" s="259" t="s">
        <v>2407</v>
      </c>
      <c r="C43" s="282">
        <f ca="1">ROUND(IF('数据-取费表'!B22&lt;=1,C39*F22*'数据-取费表'!B21/2,C39*(POWER((1+F22),'数据-取费表'!B21/2)-1)),0)</f>
        <v>0</v>
      </c>
      <c r="D43" s="282"/>
      <c r="E43" s="282"/>
      <c r="F43" s="283"/>
      <c r="G43" s="3193"/>
    </row>
    <row r="44" spans="1:7" ht="13.5" customHeight="1">
      <c r="A44" s="947" t="s">
        <v>793</v>
      </c>
      <c r="B44" s="259" t="s">
        <v>2408</v>
      </c>
      <c r="C44" s="282">
        <f ca="1">ROUND(IF('数据-取费表'!B22&lt;=1,C40*F22*'数据-取费表'!B21/2,C40*(POWER((1+F22),'数据-取费表'!B21/2)-1)),4)</f>
        <v>1.1999999999999999E-3</v>
      </c>
      <c r="D44" s="282"/>
      <c r="E44" s="282"/>
      <c r="F44" s="283"/>
      <c r="G44" s="3194"/>
    </row>
    <row r="45" spans="1:7" s="258" customFormat="1" ht="13.5" customHeight="1">
      <c r="A45" s="299" t="s">
        <v>2409</v>
      </c>
      <c r="B45" s="288" t="s">
        <v>2375</v>
      </c>
      <c r="C45" s="289">
        <f ca="1">C46</f>
        <v>3</v>
      </c>
      <c r="D45" s="279">
        <f ca="1">C47</f>
        <v>5.0000000000000001E-3</v>
      </c>
      <c r="E45" s="280" t="s">
        <v>2401</v>
      </c>
      <c r="F45" s="290"/>
      <c r="G45" s="291" t="s">
        <v>2410</v>
      </c>
    </row>
    <row r="46" spans="1:7" s="258" customFormat="1" ht="13.5" customHeight="1">
      <c r="A46" s="947" t="s">
        <v>791</v>
      </c>
      <c r="B46" s="292" t="s">
        <v>2411</v>
      </c>
      <c r="C46" s="293">
        <f ca="1">ROUND((C33+C39)*F27,0)</f>
        <v>3</v>
      </c>
      <c r="D46" s="307"/>
      <c r="E46" s="280"/>
      <c r="F46" s="290"/>
      <c r="G46" s="291"/>
    </row>
    <row r="47" spans="1:7" s="258" customFormat="1" ht="13.5" customHeight="1">
      <c r="A47" s="947" t="s">
        <v>792</v>
      </c>
      <c r="B47" s="292" t="s">
        <v>2412</v>
      </c>
      <c r="C47" s="282">
        <f ca="1">ROUND(C40*F27,4)</f>
        <v>5.0000000000000001E-3</v>
      </c>
      <c r="D47" s="307"/>
      <c r="E47" s="280"/>
      <c r="F47" s="290"/>
      <c r="G47" s="291"/>
    </row>
    <row r="48" spans="1:7" s="258" customFormat="1" ht="13.5" customHeight="1">
      <c r="A48" s="299" t="s">
        <v>2374</v>
      </c>
      <c r="B48" s="254" t="s">
        <v>2413</v>
      </c>
      <c r="C48" s="1718">
        <f>ROUND(F30/(1+'数据-取费表'!C42),4)</f>
        <v>5.9400000000000001E-2</v>
      </c>
      <c r="D48" s="280" t="s">
        <v>2401</v>
      </c>
      <c r="E48" s="276"/>
      <c r="F48" s="281"/>
      <c r="G48" s="278" t="s">
        <v>2414</v>
      </c>
    </row>
    <row r="49" spans="1:7" ht="16.5" customHeight="1">
      <c r="A49" s="299" t="s">
        <v>2380</v>
      </c>
      <c r="B49" s="254" t="s">
        <v>2415</v>
      </c>
      <c r="C49" s="276">
        <f ca="1">ROUND((C33+C39+C41+C45)/(1-C40-D41-D45-C48),0)</f>
        <v>17</v>
      </c>
      <c r="D49" s="276"/>
      <c r="E49" s="276"/>
      <c r="F49" s="308"/>
      <c r="G49" s="278" t="s">
        <v>2416</v>
      </c>
    </row>
    <row r="50" spans="1:7" s="302" customFormat="1" ht="24">
      <c r="A50" s="299" t="s">
        <v>2417</v>
      </c>
      <c r="B50" s="254" t="s">
        <v>2418</v>
      </c>
      <c r="C50" s="276"/>
      <c r="D50" s="276"/>
      <c r="E50" s="276"/>
      <c r="F50" s="308">
        <f>IF('数据-取费表'!B24=0,'数据-取费表'!N16,1)</f>
        <v>0.97</v>
      </c>
      <c r="G50" s="291" t="s">
        <v>2419</v>
      </c>
    </row>
    <row r="51" spans="1:7" ht="16.5" customHeight="1">
      <c r="A51" s="299" t="s">
        <v>2420</v>
      </c>
      <c r="B51" s="254" t="s">
        <v>2421</v>
      </c>
      <c r="C51" s="276">
        <f ca="1">ROUND(C49*F50,0)</f>
        <v>16</v>
      </c>
      <c r="D51" s="276"/>
      <c r="E51" s="276"/>
      <c r="F51" s="308"/>
      <c r="G51" s="278" t="s">
        <v>2422</v>
      </c>
    </row>
    <row r="52" spans="1:7" s="252" customFormat="1" ht="16.5" thickBot="1">
      <c r="A52" s="309" t="s">
        <v>2423</v>
      </c>
      <c r="B52" s="310"/>
      <c r="C52" s="311">
        <f ca="1">C31+C51</f>
        <v>17</v>
      </c>
      <c r="D52" s="310"/>
      <c r="E52" s="310"/>
      <c r="F52" s="310"/>
      <c r="G52" s="312"/>
    </row>
    <row r="55" spans="1:7" ht="15">
      <c r="B55" s="314" t="s">
        <v>2424</v>
      </c>
      <c r="C55" s="315"/>
    </row>
    <row r="56" spans="1:7">
      <c r="B56" s="317" t="s">
        <v>1514</v>
      </c>
      <c r="C56" s="319">
        <f ca="1">1-C57</f>
        <v>5.9000000000000052E-2</v>
      </c>
    </row>
    <row r="57" spans="1:7">
      <c r="B57" s="317" t="s">
        <v>1515</v>
      </c>
      <c r="C57" s="318">
        <f ca="1">ROUND(C51/C52,3)</f>
        <v>0.94099999999999995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06" t="str">
        <f>项目基本情况!B1</f>
        <v>浙江省杭州市下城区杭州新天地项目D地块办公用房房地产房地产抵押价值预评估</v>
      </c>
      <c r="C37" s="3006"/>
      <c r="D37" s="3006"/>
      <c r="E37" s="3006"/>
      <c r="F37" s="3006"/>
      <c r="G37" s="3006"/>
      <c r="H37" s="3006"/>
      <c r="I37" s="3006"/>
    </row>
    <row r="38" spans="1:9">
      <c r="A38" s="1012"/>
      <c r="B38" s="1012"/>
    </row>
    <row r="39" spans="1:9">
      <c r="A39" s="1010" t="s">
        <v>818</v>
      </c>
      <c r="B39" s="1010" t="s">
        <v>820</v>
      </c>
    </row>
    <row r="40" spans="1:9">
      <c r="A40" s="1010"/>
      <c r="B40" s="1931" t="str">
        <f>项目基本情况!B5</f>
        <v>昆仑信托有限责任公司</v>
      </c>
    </row>
    <row r="41" spans="1:9">
      <c r="A41" s="1010"/>
      <c r="B41" s="1010"/>
    </row>
    <row r="42" spans="1:9">
      <c r="A42" s="1010" t="s">
        <v>818</v>
      </c>
      <c r="B42" s="1010" t="s">
        <v>821</v>
      </c>
    </row>
    <row r="43" spans="1:9">
      <c r="A43" s="1010"/>
      <c r="B43" s="1931" t="s">
        <v>822</v>
      </c>
    </row>
    <row r="44" spans="1:9">
      <c r="A44" s="1010"/>
      <c r="B44" s="1010"/>
    </row>
    <row r="45" spans="1:9">
      <c r="A45" s="1010" t="s">
        <v>818</v>
      </c>
      <c r="B45" s="1010" t="s">
        <v>823</v>
      </c>
    </row>
    <row r="46" spans="1:9" s="1010" customFormat="1" ht="12.75">
      <c r="B46" s="1931" t="str">
        <f ca="1">项目基本情况!K4</f>
        <v>郑燚（注册号：1120070131)、王萌（注册号：1120130048)</v>
      </c>
    </row>
    <row r="47" spans="1:9">
      <c r="A47" s="1010"/>
      <c r="B47" s="1010" t="str">
        <f>项目基本情况!K5</f>
        <v/>
      </c>
    </row>
    <row r="48" spans="1:9">
      <c r="A48" s="1010" t="s">
        <v>818</v>
      </c>
      <c r="B48" s="1010" t="s">
        <v>824</v>
      </c>
    </row>
    <row r="49" spans="2:2">
      <c r="B49" s="1931" t="str">
        <f>"康正预评字"&amp;项目基本情况!B2&amp;"号"</f>
        <v>康正预评字2017-1-0966-P01DYGJ3号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26"/>
      <c r="C1" s="2540" t="s">
        <v>2425</v>
      </c>
      <c r="D1" s="242"/>
      <c r="E1" s="242"/>
      <c r="F1" s="242"/>
      <c r="G1" s="1368">
        <f>MATCH(B1,'数据-取费表'!A6:A16,0)+5</f>
        <v>8</v>
      </c>
      <c r="H1" s="1278" t="str">
        <f>IF(ISERROR(FIND("住宅",B1)),"非住宅","住宅")</f>
        <v>非住宅</v>
      </c>
    </row>
    <row r="2" spans="1:8" s="244" customFormat="1" ht="18" customHeight="1">
      <c r="A2" s="245" t="s">
        <v>2324</v>
      </c>
      <c r="B2" s="246">
        <f ca="1">ROUND(IF(D2="——",C52/10000,C52/10000-E2),0)</f>
        <v>20</v>
      </c>
      <c r="C2" s="243" t="s">
        <v>2325</v>
      </c>
      <c r="D2" s="2534" t="s">
        <v>70</v>
      </c>
      <c r="E2" s="1429" t="e">
        <f ca="1">SUMIF(INDIRECT("'"&amp;G2&amp;"'"&amp;"!A:A"),"承租人权益价值",INDIRECT("'"&amp;G2&amp;"'"&amp;"!c:c"))</f>
        <v>#REF!</v>
      </c>
      <c r="F2" s="2535" t="s">
        <v>2325</v>
      </c>
      <c r="G2" s="2536"/>
    </row>
    <row r="3" spans="1:8" s="244" customFormat="1" ht="18" customHeight="1" thickBot="1">
      <c r="A3" s="247" t="s">
        <v>2326</v>
      </c>
      <c r="B3" s="248">
        <f ca="1">ROUND(B2*10000/(IF(B1="",'数据-汇总表'!E3,INDIRECT("'数据-取费表'!k"&amp;$G$1))),0)</f>
        <v>4031</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7640</v>
      </c>
      <c r="D5" s="255" t="s">
        <v>2331</v>
      </c>
      <c r="E5" s="256" t="s">
        <v>2332</v>
      </c>
      <c r="F5" s="256" t="s">
        <v>2333</v>
      </c>
      <c r="G5" s="257"/>
    </row>
    <row r="6" spans="1:8" s="258" customFormat="1" ht="13.5" customHeight="1">
      <c r="A6" s="945" t="s">
        <v>2334</v>
      </c>
      <c r="B6" s="259" t="s">
        <v>2335</v>
      </c>
      <c r="C6" s="260"/>
      <c r="D6" s="261"/>
      <c r="E6" s="262"/>
      <c r="F6" s="262"/>
      <c r="G6" s="263"/>
    </row>
    <row r="7" spans="1:8" s="258" customFormat="1" ht="13.5" customHeight="1">
      <c r="A7" s="945" t="s">
        <v>2336</v>
      </c>
      <c r="B7" s="259" t="s">
        <v>2337</v>
      </c>
      <c r="C7" s="264">
        <f>ROUND(C6*F7,0)</f>
        <v>0</v>
      </c>
      <c r="D7" s="264"/>
      <c r="E7" s="262"/>
      <c r="F7" s="265">
        <f>'数据-取费表'!B48+'数据-取费表'!B49</f>
        <v>3.0499999999999999E-2</v>
      </c>
      <c r="G7" s="263"/>
    </row>
    <row r="8" spans="1:8" s="267" customFormat="1">
      <c r="A8" s="945" t="s">
        <v>2338</v>
      </c>
      <c r="B8" s="259" t="s">
        <v>2339</v>
      </c>
      <c r="C8" s="264">
        <f ca="1">IF(G8="已包含在土地购买价格中",0,C9+C10)</f>
        <v>7640</v>
      </c>
      <c r="D8" s="266"/>
      <c r="E8" s="264"/>
      <c r="F8" s="265"/>
      <c r="G8" s="2537"/>
    </row>
    <row r="9" spans="1:8" s="258" customFormat="1" ht="13.5" customHeight="1">
      <c r="A9" s="946" t="s">
        <v>800</v>
      </c>
      <c r="B9" s="268" t="s">
        <v>2340</v>
      </c>
      <c r="C9" s="269">
        <f ca="1">ROUND(D9*E9,0)</f>
        <v>0</v>
      </c>
      <c r="D9" s="1028">
        <f ca="1">IF(B1="",'数据-汇总表'!E5,IF(INDIRECT("'数据-取费表'!c"&amp;$G$1)="住宅",INDIRECT("'数据-取费表'!k"&amp;$G$1),0))</f>
        <v>0</v>
      </c>
      <c r="E9" s="269">
        <f>'数据-取费表'!B27</f>
        <v>105</v>
      </c>
      <c r="F9" s="265"/>
      <c r="G9" s="270"/>
    </row>
    <row r="10" spans="1:8" s="258" customFormat="1" ht="13.5" customHeight="1">
      <c r="A10" s="946" t="s">
        <v>801</v>
      </c>
      <c r="B10" s="268" t="s">
        <v>2342</v>
      </c>
      <c r="C10" s="269">
        <f ca="1">ROUND(D10*E10,0)</f>
        <v>7640</v>
      </c>
      <c r="D10" s="1028">
        <f ca="1">IF(B1="",'数据-汇总表'!E6,IF(INDIRECT("'数据-取费表'!c"&amp;$G$1)="住宅",INDIRECT("'数据-取费表'!s"&amp;$G$1),INDIRECT("'数据-取费表'!k"&amp;$G$1)+INDIRECT("'数据-取费表'!s"&amp;$G$1)))</f>
        <v>49.61</v>
      </c>
      <c r="E10" s="269">
        <f>'数据-取费表'!B28</f>
        <v>154</v>
      </c>
      <c r="F10" s="265"/>
      <c r="G10" s="270"/>
    </row>
    <row r="11" spans="1:8" s="258" customFormat="1" ht="13.5" hidden="1" customHeight="1">
      <c r="A11" s="271" t="s">
        <v>7</v>
      </c>
      <c r="B11" s="259" t="s">
        <v>2343</v>
      </c>
      <c r="C11" s="255"/>
      <c r="D11" s="1030"/>
      <c r="E11" s="262"/>
      <c r="F11" s="262"/>
      <c r="G11" s="263"/>
    </row>
    <row r="12" spans="1:8" s="258" customFormat="1" ht="13.5" hidden="1" customHeight="1">
      <c r="A12" s="271" t="s">
        <v>8</v>
      </c>
      <c r="B12" s="259" t="s">
        <v>2426</v>
      </c>
      <c r="C12" s="255">
        <v>0</v>
      </c>
      <c r="D12" s="1030"/>
      <c r="E12" s="272"/>
      <c r="F12" s="265">
        <v>3.0499999999999999E-2</v>
      </c>
      <c r="G12" s="263"/>
    </row>
    <row r="13" spans="1:8" s="258" customFormat="1" ht="13.5" hidden="1" customHeight="1">
      <c r="A13" s="271" t="s">
        <v>9</v>
      </c>
      <c r="B13" s="259" t="s">
        <v>2427</v>
      </c>
      <c r="C13" s="255"/>
      <c r="D13" s="1030"/>
      <c r="E13" s="262"/>
      <c r="F13" s="262"/>
      <c r="G13" s="263"/>
    </row>
    <row r="14" spans="1:8" s="258" customFormat="1" ht="13.5" hidden="1" customHeight="1">
      <c r="A14" s="271" t="s">
        <v>10</v>
      </c>
      <c r="B14" s="259" t="s">
        <v>2339</v>
      </c>
      <c r="C14" s="255"/>
      <c r="D14" s="1030"/>
      <c r="E14" s="262"/>
      <c r="F14" s="262"/>
      <c r="G14" s="263" t="s">
        <v>2428</v>
      </c>
    </row>
    <row r="15" spans="1:8" s="258" customFormat="1" ht="13.5" hidden="1" customHeight="1">
      <c r="A15" s="271" t="s">
        <v>11</v>
      </c>
      <c r="B15" s="259" t="s">
        <v>2429</v>
      </c>
      <c r="C15" s="264"/>
      <c r="D15" s="1030"/>
      <c r="E15" s="262"/>
      <c r="F15" s="262"/>
      <c r="G15" s="263" t="s">
        <v>2430</v>
      </c>
    </row>
    <row r="16" spans="1:8" s="258" customFormat="1" ht="13.5" hidden="1" customHeight="1">
      <c r="A16" s="271" t="s">
        <v>12</v>
      </c>
      <c r="B16" s="259" t="s">
        <v>2339</v>
      </c>
      <c r="C16" s="264"/>
      <c r="D16" s="1030"/>
      <c r="E16" s="262"/>
      <c r="F16" s="262"/>
      <c r="G16" s="263"/>
    </row>
    <row r="17" spans="1:7" s="258" customFormat="1" ht="13.5" hidden="1" customHeight="1">
      <c r="A17" s="271" t="s">
        <v>13</v>
      </c>
      <c r="B17" s="259" t="s">
        <v>2431</v>
      </c>
      <c r="C17" s="273"/>
      <c r="D17" s="1031"/>
      <c r="E17" s="273"/>
      <c r="F17" s="273"/>
      <c r="G17" s="263" t="s">
        <v>2430</v>
      </c>
    </row>
    <row r="18" spans="1:7" s="258" customFormat="1" ht="13.5" hidden="1" customHeight="1">
      <c r="A18" s="271" t="s">
        <v>14</v>
      </c>
      <c r="B18" s="259" t="s">
        <v>2432</v>
      </c>
      <c r="C18" s="264">
        <v>0</v>
      </c>
      <c r="D18" s="1030"/>
      <c r="E18" s="262"/>
      <c r="F18" s="265">
        <v>3.0499999999999999E-2</v>
      </c>
      <c r="G18" s="263" t="s">
        <v>2433</v>
      </c>
    </row>
    <row r="19" spans="1:7" s="267" customFormat="1" ht="13.5" customHeight="1">
      <c r="A19" s="299" t="s">
        <v>2434</v>
      </c>
      <c r="B19" s="254" t="s">
        <v>2435</v>
      </c>
      <c r="C19" s="255">
        <f ca="1">IF(G19="已包含在土地取得成本中","0",ROUND(D19*E19,0))</f>
        <v>9922</v>
      </c>
      <c r="D19" s="1032">
        <f ca="1">D9+D10</f>
        <v>49.61</v>
      </c>
      <c r="E19" s="255">
        <f>'数据-取费表'!B31</f>
        <v>200</v>
      </c>
      <c r="F19" s="275"/>
      <c r="G19" s="2537"/>
    </row>
    <row r="20" spans="1:7" s="258" customFormat="1" ht="13.5" customHeight="1">
      <c r="A20" s="299" t="s">
        <v>2436</v>
      </c>
      <c r="B20" s="254" t="s">
        <v>2437</v>
      </c>
      <c r="C20" s="276">
        <f ca="1">ROUND((C5+C19)*F20,0)</f>
        <v>351</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69">
        <f ca="1">ROUND(SUM(C23:C25),0)</f>
        <v>2182</v>
      </c>
      <c r="D22" s="279">
        <f ca="1">C26</f>
        <v>1.1999999999999999E-3</v>
      </c>
      <c r="E22" s="280" t="s">
        <v>2441</v>
      </c>
      <c r="F22" s="281">
        <f ca="1">'数据-取费表'!B40</f>
        <v>4.7500000000000001E-2</v>
      </c>
      <c r="G22" s="278" t="str">
        <f>IF('数据-取费表'!B22&lt;=1,"单利计息","复利计息")</f>
        <v>复利计息</v>
      </c>
    </row>
    <row r="23" spans="1:7" s="258" customFormat="1" ht="13.5" customHeight="1">
      <c r="A23" s="947" t="s">
        <v>2334</v>
      </c>
      <c r="B23" s="259" t="s">
        <v>2445</v>
      </c>
      <c r="C23" s="1370">
        <f ca="1">ROUND(IF('数据-取费表'!B22&lt;=1,C5*F22*'数据-取费表'!B22,C5*(POWER((1+F22),'数据-取费表'!B22)-1)),0)</f>
        <v>940</v>
      </c>
      <c r="D23" s="282"/>
      <c r="E23" s="282"/>
      <c r="F23" s="283"/>
      <c r="G23" s="284" t="s">
        <v>2446</v>
      </c>
    </row>
    <row r="24" spans="1:7" s="258" customFormat="1" ht="13.5" customHeight="1">
      <c r="A24" s="947" t="s">
        <v>2336</v>
      </c>
      <c r="B24" s="259" t="s">
        <v>2447</v>
      </c>
      <c r="C24" s="1370">
        <f ca="1">ROUND(IF('数据-取费表'!B22&lt;=1,C19*F22*('数据-取费表'!B19/2+'数据-取费表'!B20),C19*(POWER((1+F22),('数据-取费表'!B19/2+'数据-取费表'!B20))-1)),0)</f>
        <v>1221</v>
      </c>
      <c r="D24" s="282"/>
      <c r="E24" s="282"/>
      <c r="F24" s="283"/>
      <c r="G24" s="284" t="s">
        <v>2448</v>
      </c>
    </row>
    <row r="25" spans="1:7" s="258" customFormat="1" ht="24">
      <c r="A25" s="947" t="s">
        <v>2338</v>
      </c>
      <c r="B25" s="259" t="s">
        <v>2449</v>
      </c>
      <c r="C25" s="1370">
        <f ca="1">ROUND(IF('数据-取费表'!B22&lt;=1,C20*F22*'数据-取费表'!B22/2,C20*(POWER((1+F22),'数据-取费表'!B22/2)-1)),0)</f>
        <v>21</v>
      </c>
      <c r="D25" s="282"/>
      <c r="E25" s="285"/>
      <c r="F25" s="283"/>
      <c r="G25" s="286" t="s">
        <v>2450</v>
      </c>
    </row>
    <row r="26" spans="1:7" s="258" customFormat="1">
      <c r="A26" s="947" t="s">
        <v>795</v>
      </c>
      <c r="B26" s="259" t="s">
        <v>2373</v>
      </c>
      <c r="C26" s="282">
        <f ca="1">ROUND(IF('数据-取费表'!B22&lt;=1,F21*F22*'数据-取费表'!B22/2,F21*(POWER((1+F22),'数据-取费表'!B22/2)-1)),4)</f>
        <v>1.1999999999999999E-3</v>
      </c>
      <c r="D26" s="282"/>
      <c r="E26" s="285"/>
      <c r="F26" s="283"/>
      <c r="G26" s="287"/>
    </row>
    <row r="27" spans="1:7" s="258" customFormat="1" ht="24.75">
      <c r="A27" s="299" t="s">
        <v>2374</v>
      </c>
      <c r="B27" s="288" t="s">
        <v>2375</v>
      </c>
      <c r="C27" s="289">
        <f ca="1">C28</f>
        <v>4478</v>
      </c>
      <c r="D27" s="279">
        <f ca="1">C29</f>
        <v>5.0000000000000001E-3</v>
      </c>
      <c r="E27" s="280" t="s">
        <v>2376</v>
      </c>
      <c r="F27" s="290">
        <f ca="1">IF(B1="",'数据-取费表'!Q16,INDIRECT("'数据-取费表'!q"&amp;$G$1))</f>
        <v>0.25</v>
      </c>
      <c r="G27" s="291" t="s">
        <v>2377</v>
      </c>
    </row>
    <row r="28" spans="1:7" s="258" customFormat="1" ht="13.5" customHeight="1">
      <c r="A28" s="947" t="s">
        <v>791</v>
      </c>
      <c r="B28" s="292" t="s">
        <v>2378</v>
      </c>
      <c r="C28" s="293">
        <f ca="1">ROUND((C5+C19+C20)*F27,0)</f>
        <v>4478</v>
      </c>
      <c r="D28" s="279"/>
      <c r="E28" s="280"/>
      <c r="F28" s="290"/>
      <c r="G28" s="291"/>
    </row>
    <row r="29" spans="1:7" s="258" customFormat="1" ht="13.5" customHeight="1">
      <c r="A29" s="947" t="s">
        <v>792</v>
      </c>
      <c r="B29" s="292" t="s">
        <v>2379</v>
      </c>
      <c r="C29" s="282">
        <f ca="1">ROUND(C21*F27,4)</f>
        <v>5.0000000000000001E-3</v>
      </c>
      <c r="D29" s="279"/>
      <c r="E29" s="280"/>
      <c r="F29" s="290"/>
      <c r="G29" s="291"/>
    </row>
    <row r="30" spans="1:7" s="258" customFormat="1" ht="13.5" customHeight="1">
      <c r="A30" s="299" t="s">
        <v>2380</v>
      </c>
      <c r="B30" s="254" t="s">
        <v>2381</v>
      </c>
      <c r="C30" s="279">
        <f>ROUND(F30/(1+'数据-取费表'!C42),4)</f>
        <v>5.9400000000000001E-2</v>
      </c>
      <c r="D30" s="280" t="s">
        <v>2376</v>
      </c>
      <c r="E30" s="285"/>
      <c r="F30" s="281">
        <f>'数据-取费表'!B41</f>
        <v>6.2719999999999998E-2</v>
      </c>
      <c r="G30" s="278" t="s">
        <v>2382</v>
      </c>
    </row>
    <row r="31" spans="1:7" ht="16.5" customHeight="1">
      <c r="A31" s="253">
        <v>1</v>
      </c>
      <c r="B31" s="254" t="s">
        <v>2383</v>
      </c>
      <c r="C31" s="255">
        <f ca="1">ROUND((C5+C19+C20+C22+C27)/(1-C21-D22-D27-C30),0)</f>
        <v>26873</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123975</v>
      </c>
      <c r="D33" s="276"/>
      <c r="E33" s="256"/>
      <c r="F33" s="285"/>
      <c r="G33" s="278"/>
    </row>
    <row r="34" spans="1:7" s="302" customFormat="1" ht="13.5" customHeight="1">
      <c r="A34" s="947" t="s">
        <v>791</v>
      </c>
      <c r="B34" s="259" t="s">
        <v>2387</v>
      </c>
      <c r="C34" s="264">
        <f ca="1">ROUND(IF(B1="",SUMPRODUCT('数据-取费表'!K6:K14,'数据-取费表'!L6:L14),INDIRECT("'数据-取费表'!l"&amp;$G$1)*INDIRECT("'数据-取费表'!k"&amp;$G$1)+'数据-取费表'!L14*INDIRECT("'数据-取费表'!S"&amp;$G$1)),0)</f>
        <v>109142</v>
      </c>
      <c r="D34" s="261"/>
      <c r="E34" s="264"/>
      <c r="F34" s="301"/>
      <c r="G34" s="263"/>
    </row>
    <row r="35" spans="1:7" ht="13.5" customHeight="1">
      <c r="A35" s="947" t="s">
        <v>796</v>
      </c>
      <c r="B35" s="259" t="s">
        <v>2389</v>
      </c>
      <c r="C35" s="264">
        <f ca="1">ROUND(C34*F35,0)</f>
        <v>3274</v>
      </c>
      <c r="D35" s="264"/>
      <c r="E35" s="264"/>
      <c r="F35" s="303">
        <f>'数据-取费表'!B33</f>
        <v>0.03</v>
      </c>
      <c r="G35" s="263" t="s">
        <v>2390</v>
      </c>
    </row>
    <row r="36" spans="1:7" ht="24">
      <c r="A36" s="947" t="s">
        <v>797</v>
      </c>
      <c r="B36" s="259" t="s">
        <v>2391</v>
      </c>
      <c r="C36" s="264">
        <f ca="1">ROUND(IF(B1="",SUM('数据-取费表'!AP6:AP13)*F36,IF(INDIRECT("'数据-取费表'!c"&amp;$G$1)="住宅",INDIRECT("'数据-取费表'!k"&amp;$G$1)*INDIRECT("'数据-取费表'!l"&amp;$G$1)*F36,0)),0)</f>
        <v>0</v>
      </c>
      <c r="D36" s="264"/>
      <c r="E36" s="264"/>
      <c r="F36" s="303">
        <f>'数据-取费表'!B34</f>
        <v>0.05</v>
      </c>
      <c r="G36" s="304" t="s">
        <v>2392</v>
      </c>
    </row>
    <row r="37" spans="1:7" s="302" customFormat="1" ht="13.5" customHeight="1">
      <c r="A37" s="947" t="s">
        <v>798</v>
      </c>
      <c r="B37" s="259" t="s">
        <v>2393</v>
      </c>
      <c r="C37" s="293">
        <f ca="1">ROUND(E37*D37,0)</f>
        <v>9922</v>
      </c>
      <c r="D37" s="261">
        <f ca="1">D19</f>
        <v>49.61</v>
      </c>
      <c r="E37" s="293">
        <f>'数据-取费表'!B35</f>
        <v>200</v>
      </c>
      <c r="F37" s="303"/>
      <c r="G37" s="305"/>
    </row>
    <row r="38" spans="1:7" ht="13.5" customHeight="1">
      <c r="A38" s="947" t="s">
        <v>799</v>
      </c>
      <c r="B38" s="259" t="s">
        <v>2395</v>
      </c>
      <c r="C38" s="264">
        <f ca="1">ROUND(C34*F38,0)</f>
        <v>1637</v>
      </c>
      <c r="D38" s="264"/>
      <c r="E38" s="264"/>
      <c r="F38" s="303">
        <f>'数据-取费表'!B36</f>
        <v>1.4999999999999999E-2</v>
      </c>
      <c r="G38" s="263" t="s">
        <v>2390</v>
      </c>
    </row>
    <row r="39" spans="1:7" s="258" customFormat="1" ht="13.5" customHeight="1">
      <c r="A39" s="299" t="s">
        <v>2396</v>
      </c>
      <c r="B39" s="254" t="s">
        <v>2397</v>
      </c>
      <c r="C39" s="276">
        <f ca="1">ROUND(C33*F20,0)</f>
        <v>2480</v>
      </c>
      <c r="D39" s="276"/>
      <c r="E39" s="276"/>
      <c r="F39" s="277"/>
      <c r="G39" s="278" t="s">
        <v>2398</v>
      </c>
    </row>
    <row r="40" spans="1:7" s="258" customFormat="1" ht="13.5" customHeight="1">
      <c r="A40" s="299" t="s">
        <v>2399</v>
      </c>
      <c r="B40" s="254" t="s">
        <v>2400</v>
      </c>
      <c r="C40" s="1718">
        <f>F21</f>
        <v>0.02</v>
      </c>
      <c r="D40" s="280" t="s">
        <v>2401</v>
      </c>
      <c r="E40" s="276"/>
      <c r="F40" s="277"/>
      <c r="G40" s="278" t="s">
        <v>2402</v>
      </c>
    </row>
    <row r="41" spans="1:7" s="258" customFormat="1" ht="13.5" customHeight="1">
      <c r="A41" s="299" t="s">
        <v>2403</v>
      </c>
      <c r="B41" s="254" t="s">
        <v>2404</v>
      </c>
      <c r="C41" s="276">
        <f ca="1">ROUND(SUM(C42:C43),0)</f>
        <v>7552</v>
      </c>
      <c r="D41" s="279">
        <f ca="1">C44</f>
        <v>1.1999999999999999E-3</v>
      </c>
      <c r="E41" s="280" t="s">
        <v>2401</v>
      </c>
      <c r="F41" s="281"/>
      <c r="G41" s="278" t="str">
        <f>IF('数据-取费表'!B22&lt;=1,"单利计息","复利计息")</f>
        <v>复利计息</v>
      </c>
    </row>
    <row r="42" spans="1:7" ht="13.5" customHeight="1">
      <c r="A42" s="947" t="s">
        <v>791</v>
      </c>
      <c r="B42" s="259" t="s">
        <v>2405</v>
      </c>
      <c r="C42" s="282">
        <f ca="1">ROUND(IF('数据-取费表'!B22&lt;=1,C33*F22*'数据-取费表'!B20/2,C33*(POWER((1+F22),'数据-取费表'!B20/2)-1)),0)</f>
        <v>7404</v>
      </c>
      <c r="D42" s="282"/>
      <c r="E42" s="282"/>
      <c r="F42" s="283"/>
      <c r="G42" s="3192" t="s">
        <v>2453</v>
      </c>
    </row>
    <row r="43" spans="1:7" ht="13.5" customHeight="1">
      <c r="A43" s="947" t="s">
        <v>792</v>
      </c>
      <c r="B43" s="259" t="s">
        <v>2407</v>
      </c>
      <c r="C43" s="282">
        <f ca="1">ROUND(IF('数据-取费表'!B22&lt;=1,C39*F22*'数据-取费表'!B20/2,C39*(POWER((1+F22),'数据-取费表'!B20/2)-1)),0)</f>
        <v>148</v>
      </c>
      <c r="D43" s="282"/>
      <c r="E43" s="282"/>
      <c r="F43" s="283"/>
      <c r="G43" s="3193"/>
    </row>
    <row r="44" spans="1:7" ht="13.5" customHeight="1">
      <c r="A44" s="947" t="s">
        <v>793</v>
      </c>
      <c r="B44" s="259" t="s">
        <v>2408</v>
      </c>
      <c r="C44" s="282">
        <f ca="1">ROUND(IF('数据-取费表'!B22&lt;=1,C40*F22*'数据-取费表'!B20/2,C40*(POWER((1+F22),'数据-取费表'!B20/2)-1)),4)</f>
        <v>1.1999999999999999E-3</v>
      </c>
      <c r="D44" s="282"/>
      <c r="E44" s="282"/>
      <c r="F44" s="283"/>
      <c r="G44" s="3194"/>
    </row>
    <row r="45" spans="1:7" s="258" customFormat="1" ht="13.5" customHeight="1">
      <c r="A45" s="299" t="s">
        <v>2409</v>
      </c>
      <c r="B45" s="288" t="s">
        <v>2375</v>
      </c>
      <c r="C45" s="289">
        <f ca="1">C46</f>
        <v>31614</v>
      </c>
      <c r="D45" s="279">
        <f ca="1">C47</f>
        <v>5.0000000000000001E-3</v>
      </c>
      <c r="E45" s="280" t="s">
        <v>2401</v>
      </c>
      <c r="F45" s="290"/>
      <c r="G45" s="291" t="s">
        <v>2410</v>
      </c>
    </row>
    <row r="46" spans="1:7" s="258" customFormat="1" ht="13.5" customHeight="1">
      <c r="A46" s="947" t="s">
        <v>791</v>
      </c>
      <c r="B46" s="292" t="s">
        <v>2411</v>
      </c>
      <c r="C46" s="293">
        <f ca="1">ROUND((C33+C39)*F27,0)</f>
        <v>31614</v>
      </c>
      <c r="D46" s="307"/>
      <c r="E46" s="280"/>
      <c r="F46" s="290"/>
      <c r="G46" s="291"/>
    </row>
    <row r="47" spans="1:7" s="258" customFormat="1" ht="13.5" customHeight="1">
      <c r="A47" s="947" t="s">
        <v>792</v>
      </c>
      <c r="B47" s="292" t="s">
        <v>2412</v>
      </c>
      <c r="C47" s="282">
        <f ca="1">ROUND(C40*F27,4)</f>
        <v>5.0000000000000001E-3</v>
      </c>
      <c r="D47" s="307"/>
      <c r="E47" s="280"/>
      <c r="F47" s="290"/>
      <c r="G47" s="291"/>
    </row>
    <row r="48" spans="1:7" s="258" customFormat="1" ht="13.5" customHeight="1">
      <c r="A48" s="299" t="s">
        <v>2374</v>
      </c>
      <c r="B48" s="254" t="s">
        <v>2413</v>
      </c>
      <c r="C48" s="306">
        <f>ROUND(F30/(1+'数据-取费表'!C42),4)</f>
        <v>5.9400000000000001E-2</v>
      </c>
      <c r="D48" s="280" t="s">
        <v>2401</v>
      </c>
      <c r="E48" s="276"/>
      <c r="F48" s="281"/>
      <c r="G48" s="278" t="s">
        <v>2414</v>
      </c>
    </row>
    <row r="49" spans="1:7" ht="16.5" customHeight="1">
      <c r="A49" s="299" t="s">
        <v>2380</v>
      </c>
      <c r="B49" s="254" t="s">
        <v>2454</v>
      </c>
      <c r="C49" s="276">
        <f ca="1">ROUND((C33+C39+C41+C45)/(1-C40-D41-D45-C48),0)</f>
        <v>181125</v>
      </c>
      <c r="D49" s="276"/>
      <c r="E49" s="276"/>
      <c r="F49" s="308"/>
      <c r="G49" s="278" t="s">
        <v>2416</v>
      </c>
    </row>
    <row r="50" spans="1:7" s="302" customFormat="1">
      <c r="A50" s="299" t="s">
        <v>2417</v>
      </c>
      <c r="B50" s="254" t="s">
        <v>2418</v>
      </c>
      <c r="C50" s="276"/>
      <c r="D50" s="276"/>
      <c r="E50" s="276"/>
      <c r="F50" s="308">
        <f>IF('数据-取费表'!B24=0,'数据-取费表'!N16,1)</f>
        <v>0.97</v>
      </c>
      <c r="G50" s="291"/>
    </row>
    <row r="51" spans="1:7" ht="16.5" customHeight="1">
      <c r="A51" s="299" t="s">
        <v>2420</v>
      </c>
      <c r="B51" s="254" t="s">
        <v>2455</v>
      </c>
      <c r="C51" s="276">
        <f ca="1">ROUND(C49*F50,0)</f>
        <v>175691</v>
      </c>
      <c r="D51" s="276"/>
      <c r="E51" s="276"/>
      <c r="F51" s="308"/>
      <c r="G51" s="278" t="s">
        <v>2422</v>
      </c>
    </row>
    <row r="52" spans="1:7" s="252" customFormat="1" ht="16.5" thickBot="1">
      <c r="A52" s="309" t="s">
        <v>2423</v>
      </c>
      <c r="B52" s="310"/>
      <c r="C52" s="311">
        <f ca="1">C31+C51</f>
        <v>202564</v>
      </c>
      <c r="D52" s="310"/>
      <c r="E52" s="310"/>
      <c r="F52" s="310"/>
      <c r="G52" s="312"/>
    </row>
    <row r="55" spans="1:7" ht="15">
      <c r="B55" s="314" t="s">
        <v>2424</v>
      </c>
      <c r="C55" s="315"/>
    </row>
    <row r="56" spans="1:7">
      <c r="B56" s="317" t="s">
        <v>1514</v>
      </c>
      <c r="C56" s="319">
        <f ca="1">1-C57</f>
        <v>0.13300000000000001</v>
      </c>
    </row>
    <row r="57" spans="1:7">
      <c r="B57" s="317" t="s">
        <v>1515</v>
      </c>
      <c r="C57" s="318">
        <f ca="1">ROUND(C51/C52,3)</f>
        <v>0.86699999999999999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1" customWidth="1"/>
    <col min="2" max="2" width="25.75" style="948" customWidth="1"/>
    <col min="3" max="3" width="10.375" style="991" customWidth="1"/>
    <col min="4" max="4" width="9.875" style="948" customWidth="1"/>
    <col min="5" max="5" width="9.5" style="791"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2456</v>
      </c>
      <c r="B1" s="1571"/>
      <c r="C1" s="1572"/>
      <c r="D1" s="1570"/>
      <c r="E1" s="320"/>
      <c r="F1" s="320"/>
      <c r="G1" s="1571"/>
      <c r="H1" s="320"/>
      <c r="I1" s="320"/>
      <c r="J1" s="320"/>
      <c r="K1" s="320">
        <f>MATCH(C1,'数据-取费表'!A6:A16,0)+5</f>
        <v>8</v>
      </c>
    </row>
    <row r="2" spans="1:33" ht="18" customHeight="1">
      <c r="A2" s="245" t="s">
        <v>2324</v>
      </c>
      <c r="B2" s="248">
        <f ca="1">C32</f>
        <v>-1</v>
      </c>
      <c r="C2" s="320" t="s">
        <v>2457</v>
      </c>
      <c r="D2" s="320"/>
      <c r="E2" s="320"/>
      <c r="F2" s="320"/>
      <c r="G2" s="320"/>
      <c r="H2" s="320"/>
      <c r="I2" s="320"/>
      <c r="J2" s="320"/>
      <c r="K2" s="320"/>
    </row>
    <row r="3" spans="1:33" ht="18" customHeight="1" thickBot="1">
      <c r="A3" s="247" t="s">
        <v>2326</v>
      </c>
      <c r="B3" s="248">
        <f ca="1">ROUND(B2*10000/IF(C1="",'数据-汇总表'!E3,INDIRECT("'数据-取费表'!K"&amp;$K$1)),0)</f>
        <v>-202</v>
      </c>
      <c r="C3" s="320" t="s">
        <v>2458</v>
      </c>
      <c r="D3" s="320"/>
      <c r="E3" s="320"/>
      <c r="F3" s="320"/>
      <c r="G3" s="320"/>
      <c r="H3" s="320"/>
      <c r="I3" s="320"/>
      <c r="J3" s="320"/>
      <c r="K3" s="320"/>
    </row>
    <row r="4" spans="1:33" s="952" customFormat="1" ht="16.5" customHeight="1">
      <c r="A4" s="949" t="s">
        <v>2459</v>
      </c>
      <c r="B4" s="950"/>
      <c r="C4" s="992">
        <f>SUM(C8:K8)</f>
        <v>0</v>
      </c>
      <c r="D4" s="950"/>
      <c r="E4" s="950"/>
      <c r="F4" s="950"/>
      <c r="G4" s="950"/>
      <c r="H4" s="950"/>
      <c r="I4" s="950"/>
      <c r="J4" s="950"/>
      <c r="K4" s="951"/>
    </row>
    <row r="5" spans="1:33" s="956" customFormat="1" ht="24.75">
      <c r="A5" s="953" t="s">
        <v>2460</v>
      </c>
      <c r="B5" s="954" t="s">
        <v>2461</v>
      </c>
      <c r="C5" s="2541" t="s">
        <v>2462</v>
      </c>
      <c r="D5" s="2541" t="s">
        <v>2463</v>
      </c>
      <c r="E5" s="2541" t="s">
        <v>2464</v>
      </c>
      <c r="F5" s="2541"/>
      <c r="G5" s="2541"/>
      <c r="H5" s="2541"/>
      <c r="I5" s="2541"/>
      <c r="J5" s="2541"/>
      <c r="K5" s="254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2465</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2466</v>
      </c>
      <c r="B7" s="139"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2" t="s">
        <v>2468</v>
      </c>
      <c r="B8" s="177" t="s">
        <v>2469</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2470</v>
      </c>
      <c r="B9" s="950"/>
      <c r="C9" s="950"/>
      <c r="D9" s="950"/>
      <c r="E9" s="950"/>
      <c r="F9" s="950"/>
      <c r="G9" s="950"/>
      <c r="H9" s="950"/>
      <c r="I9" s="950"/>
      <c r="J9" s="950"/>
      <c r="K9" s="951"/>
    </row>
    <row r="10" spans="1:33" s="966" customFormat="1" ht="13.5" customHeight="1">
      <c r="A10" s="953" t="s">
        <v>2471</v>
      </c>
      <c r="B10" s="8" t="s">
        <v>2472</v>
      </c>
      <c r="C10" s="962" t="s">
        <v>2473</v>
      </c>
      <c r="D10" s="963" t="s">
        <v>2474</v>
      </c>
      <c r="E10" s="963" t="s">
        <v>2475</v>
      </c>
      <c r="F10" s="963" t="s">
        <v>2476</v>
      </c>
      <c r="G10" s="8"/>
      <c r="H10" s="964"/>
      <c r="I10" s="964"/>
      <c r="J10" s="964"/>
      <c r="K10" s="965"/>
    </row>
    <row r="11" spans="1:33" s="971" customFormat="1" ht="13.5" customHeight="1">
      <c r="A11" s="967" t="s">
        <v>1335</v>
      </c>
      <c r="B11" s="968" t="s">
        <v>2477</v>
      </c>
      <c r="C11" s="323">
        <f ca="1">IF(C1="",'数据-取费表'!P16,INDIRECT("'数据-取费表'!p"&amp;$K$1)+INDIRECT("'数据-取费表'!ar"&amp;$K$1))</f>
        <v>0</v>
      </c>
      <c r="D11" s="969"/>
      <c r="E11" s="371"/>
      <c r="F11" s="970">
        <f ca="1">1-IF('数据-取费表'!B24=0,1,IF(C1="",'数据-取费表'!N16,INDIRECT("'数据-取费表'!n"&amp;$K$1)))</f>
        <v>0</v>
      </c>
      <c r="G11" s="8"/>
      <c r="H11" s="964"/>
      <c r="I11" s="964"/>
      <c r="J11" s="964"/>
      <c r="K11" s="965"/>
    </row>
    <row r="12" spans="1:33" s="971" customFormat="1" ht="13.5" customHeight="1">
      <c r="A12" s="967" t="s">
        <v>1336</v>
      </c>
      <c r="B12" s="968" t="s">
        <v>2478</v>
      </c>
      <c r="C12" s="24">
        <f ca="1">ROUND(C11*F12,0)</f>
        <v>0</v>
      </c>
      <c r="D12" s="969"/>
      <c r="E12" s="371"/>
      <c r="F12" s="972">
        <f>'数据-取费表'!B33</f>
        <v>0.03</v>
      </c>
      <c r="G12" s="8" t="s">
        <v>2479</v>
      </c>
      <c r="H12" s="964"/>
      <c r="I12" s="964"/>
      <c r="J12" s="964"/>
      <c r="K12" s="965"/>
    </row>
    <row r="13" spans="1:33" s="971" customFormat="1" ht="13.5" customHeight="1">
      <c r="A13" s="967" t="s">
        <v>1337</v>
      </c>
      <c r="B13" s="968" t="s">
        <v>2480</v>
      </c>
      <c r="C13" s="24">
        <f ca="1">ROUND(IF(C1="",SUMIF('数据-取费表'!C:C,"住宅",'数据-取费表'!P:P)*F13,IF(INDIRECT("'数据-取费表'!c"&amp;$K$1)="住宅",INDIRECT("'数据-取费表'!P"&amp;$K$1)*F13,0)),0)</f>
        <v>0</v>
      </c>
      <c r="D13" s="1029"/>
      <c r="E13" s="371"/>
      <c r="F13" s="972">
        <f>'数据-取费表'!B34</f>
        <v>0.05</v>
      </c>
      <c r="G13" s="8" t="s">
        <v>2481</v>
      </c>
      <c r="H13" s="964"/>
      <c r="I13" s="964"/>
      <c r="J13" s="964"/>
      <c r="K13" s="965"/>
    </row>
    <row r="14" spans="1:33" s="973" customFormat="1" ht="13.5" customHeight="1">
      <c r="A14" s="967" t="s">
        <v>1338</v>
      </c>
      <c r="B14" s="968" t="s">
        <v>2482</v>
      </c>
      <c r="C14" s="24">
        <f ca="1">ROUND(D14*E14*F11/10000,0)</f>
        <v>0</v>
      </c>
      <c r="D14" s="1029">
        <f ca="1">IF(C1="",'数据-汇总表'!E3,INDIRECT("'数据-取费表'!K"&amp;$K$1)+INDIRECT("'数据-取费表'!S"&amp;$K$1))</f>
        <v>49.61</v>
      </c>
      <c r="E14" s="24">
        <f>'数据-取费表'!B35</f>
        <v>200</v>
      </c>
      <c r="F14" s="972"/>
      <c r="G14" s="8" t="s">
        <v>2483</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1339</v>
      </c>
      <c r="B15" s="968" t="s">
        <v>2484</v>
      </c>
      <c r="C15" s="979">
        <f ca="1">ROUND(C11*F15,0)</f>
        <v>0</v>
      </c>
      <c r="D15" s="974"/>
      <c r="E15" s="979"/>
      <c r="F15" s="980">
        <f>'数据-取费表'!B36</f>
        <v>1.4999999999999999E-2</v>
      </c>
      <c r="G15" s="139" t="s">
        <v>2485</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2486</v>
      </c>
      <c r="C16" s="979">
        <f ca="1">SUM(C11:C15)</f>
        <v>0</v>
      </c>
      <c r="D16" s="974"/>
      <c r="E16" s="979"/>
      <c r="F16" s="980"/>
      <c r="G16" s="139"/>
      <c r="H16" s="1568"/>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2487</v>
      </c>
      <c r="C17" s="24">
        <f ca="1">ROUND(D17*E17/10000,0)</f>
        <v>0</v>
      </c>
      <c r="D17" s="1029">
        <f ca="1">D14</f>
        <v>49.61</v>
      </c>
      <c r="E17" s="24">
        <f>'数据-取费表'!B32</f>
        <v>0</v>
      </c>
      <c r="F17" s="974"/>
      <c r="G17" s="139" t="s">
        <v>2488</v>
      </c>
      <c r="H17" s="1568"/>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1340</v>
      </c>
      <c r="B18" s="968" t="s">
        <v>2489</v>
      </c>
      <c r="C18" s="24">
        <f ca="1">C19+C20-IF(C1="",'数据-取费表'!B29,IF(G18="已全部缴纳",C19+C20,H18))</f>
        <v>1</v>
      </c>
      <c r="D18" s="1029"/>
      <c r="E18" s="24"/>
      <c r="F18" s="972"/>
      <c r="G18" s="2543"/>
      <c r="H18" s="1567"/>
      <c r="I18" s="2544" t="s">
        <v>2490</v>
      </c>
      <c r="J18" s="975"/>
      <c r="K18" s="976"/>
    </row>
    <row r="19" spans="1:33" s="971" customFormat="1" ht="13.5" customHeight="1">
      <c r="A19" s="967" t="s">
        <v>805</v>
      </c>
      <c r="B19" s="968" t="s">
        <v>2491</v>
      </c>
      <c r="C19" s="24">
        <f ca="1">ROUND(D19*E19/10000,0)</f>
        <v>0</v>
      </c>
      <c r="D19" s="1029">
        <f ca="1">IF(C1="",'数据-汇总表'!E5,IF(INDIRECT("'数据-取费表'!c"&amp;$K$1)="住宅",INDIRECT("'数据-取费表'!k"&amp;$K$1),0))</f>
        <v>0</v>
      </c>
      <c r="E19" s="24">
        <f>'数据-取费表'!B27</f>
        <v>105</v>
      </c>
      <c r="F19" s="972"/>
      <c r="G19" s="15"/>
      <c r="H19" s="1569"/>
      <c r="I19" s="977"/>
      <c r="J19" s="977"/>
      <c r="K19" s="978"/>
    </row>
    <row r="20" spans="1:33" s="971" customFormat="1" ht="13.5" customHeight="1">
      <c r="A20" s="967" t="s">
        <v>806</v>
      </c>
      <c r="B20" s="968" t="s">
        <v>2492</v>
      </c>
      <c r="C20" s="24">
        <f ca="1">ROUND(D20*E20/10000,0)</f>
        <v>1</v>
      </c>
      <c r="D20" s="1029">
        <f ca="1">IF(C1="",'数据-汇总表'!E6,IF(INDIRECT("'数据-取费表'!c"&amp;$K$1)="住宅",INDIRECT("'数据-取费表'!s"&amp;$K$1),INDIRECT("'数据-取费表'!k"&amp;$K$1)+INDIRECT("'数据-取费表'!s"&amp;$K$1)))</f>
        <v>49.61</v>
      </c>
      <c r="E20" s="24">
        <f>'数据-取费表'!B28</f>
        <v>154</v>
      </c>
      <c r="F20" s="972"/>
      <c r="G20" s="15"/>
      <c r="H20" s="977"/>
      <c r="I20" s="977"/>
      <c r="J20" s="977"/>
      <c r="K20" s="978"/>
    </row>
    <row r="21" spans="1:33" s="971" customFormat="1" ht="13.5" customHeight="1">
      <c r="A21" s="957" t="s">
        <v>802</v>
      </c>
      <c r="B21" s="981" t="s">
        <v>2493</v>
      </c>
      <c r="C21" s="982">
        <f ca="1">C16+C17+C18</f>
        <v>1</v>
      </c>
      <c r="D21" s="983"/>
      <c r="E21" s="325"/>
      <c r="F21" s="325"/>
      <c r="G21" s="139" t="s">
        <v>2494</v>
      </c>
      <c r="H21" s="975"/>
      <c r="I21" s="975"/>
      <c r="J21" s="975"/>
      <c r="K21" s="976"/>
    </row>
    <row r="22" spans="1:33" s="971" customFormat="1" ht="13.5" customHeight="1">
      <c r="A22" s="957" t="s">
        <v>2466</v>
      </c>
      <c r="B22" s="981" t="s">
        <v>2495</v>
      </c>
      <c r="C22" s="982">
        <f ca="1">ROUND(C21*F22,0)</f>
        <v>0</v>
      </c>
      <c r="D22" s="325"/>
      <c r="E22" s="325"/>
      <c r="F22" s="984">
        <f>'数据-取费表'!B37</f>
        <v>0.02</v>
      </c>
      <c r="G22" s="8" t="s">
        <v>2496</v>
      </c>
      <c r="H22" s="964"/>
      <c r="I22" s="964"/>
      <c r="J22" s="964"/>
      <c r="K22" s="965"/>
    </row>
    <row r="23" spans="1:33" s="971" customFormat="1" ht="13.5" customHeight="1">
      <c r="A23" s="957" t="s">
        <v>2468</v>
      </c>
      <c r="B23" s="981" t="s">
        <v>2497</v>
      </c>
      <c r="C23" s="982">
        <f ca="1">ROUND(C4*F23*F11,0)</f>
        <v>0</v>
      </c>
      <c r="D23" s="325"/>
      <c r="E23" s="325"/>
      <c r="F23" s="984">
        <f>'数据-取费表'!B38</f>
        <v>0.02</v>
      </c>
      <c r="G23" s="8" t="s">
        <v>2498</v>
      </c>
      <c r="H23" s="964"/>
      <c r="I23" s="964"/>
      <c r="J23" s="964"/>
      <c r="K23" s="965"/>
    </row>
    <row r="24" spans="1:33" s="971" customFormat="1" ht="13.5" customHeight="1">
      <c r="A24" s="957" t="s">
        <v>2499</v>
      </c>
      <c r="B24" s="981" t="s">
        <v>2500</v>
      </c>
      <c r="C24" s="324">
        <f>ROUND(F24/(1+'数据-取费表'!C42),4)</f>
        <v>2.8899999999999999E-2</v>
      </c>
      <c r="D24" s="325" t="s">
        <v>15</v>
      </c>
      <c r="E24" s="325"/>
      <c r="F24" s="984">
        <f>'数据-取费表'!B48+'数据-取费表'!B49</f>
        <v>3.0499999999999999E-2</v>
      </c>
      <c r="G24" s="8" t="s">
        <v>2501</v>
      </c>
      <c r="H24" s="986"/>
      <c r="I24" s="986"/>
      <c r="J24" s="986"/>
      <c r="K24" s="987"/>
    </row>
    <row r="25" spans="1:33" s="971" customFormat="1" ht="13.5" customHeight="1">
      <c r="A25" s="957" t="s">
        <v>2502</v>
      </c>
      <c r="B25" s="983" t="s">
        <v>2503</v>
      </c>
      <c r="C25" s="1345">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2504</v>
      </c>
      <c r="C26" s="1346">
        <f ca="1">ROUND(IF('数据-取费表'!B22&lt;=1,(1+C24)*F25*'数据-取费表'!B24,(1+C24)*(POWER((1+F25),'数据-取费表'!B24)-1)),4)</f>
        <v>0</v>
      </c>
      <c r="D26" s="328"/>
      <c r="E26" s="329"/>
      <c r="F26" s="330"/>
      <c r="G26" s="2545"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2505</v>
      </c>
      <c r="C27" s="1347">
        <f ca="1">ROUND(IF('数据-取费表'!B22&lt;=1,(C21+C22+C23)*F25*'数据-取费表'!B24/2,(C21+C22+C23)*(POWER((1+F25),'数据-取费表'!B24/2)-1)),0)</f>
        <v>0</v>
      </c>
      <c r="D27" s="328"/>
      <c r="E27" s="329"/>
      <c r="F27" s="330"/>
      <c r="G27" s="2545" t="str">
        <f>IF('数据-取费表'!B22&lt;=1,"（1）-（3）项×年利率×建设期÷2","（1）-（3）项×((1+年利率)^(建设期÷2)-1)")</f>
        <v>（1）-（3）项×((1+年利率)^(建设期÷2)-1)</v>
      </c>
      <c r="H27" s="975"/>
      <c r="I27" s="975"/>
      <c r="J27" s="975"/>
      <c r="K27" s="976"/>
    </row>
    <row r="28" spans="1:33" s="333" customFormat="1" ht="13.5" customHeight="1">
      <c r="A28" s="957" t="s">
        <v>2506</v>
      </c>
      <c r="B28" s="2546" t="s">
        <v>2507</v>
      </c>
      <c r="C28" s="331">
        <f ca="1">C30</f>
        <v>0</v>
      </c>
      <c r="D28" s="324">
        <f ca="1">C29</f>
        <v>0</v>
      </c>
      <c r="E28" s="326" t="s">
        <v>15</v>
      </c>
      <c r="F28" s="332">
        <f ca="1">IF(C1="",'数据-取费表'!Q16,INDIRECT("'数据-取费表'!q"&amp;$K$1))</f>
        <v>0.25</v>
      </c>
      <c r="G28" s="985"/>
      <c r="H28" s="986"/>
      <c r="I28" s="986"/>
      <c r="J28" s="986"/>
      <c r="K28" s="987"/>
    </row>
    <row r="29" spans="1:33" s="335" customFormat="1" ht="13.5" customHeight="1">
      <c r="A29" s="967" t="s">
        <v>803</v>
      </c>
      <c r="B29" s="990" t="s">
        <v>2508</v>
      </c>
      <c r="C29" s="328">
        <f ca="1">ROUND((1+C24)*F28*'数据-取费表'!B24/'数据-取费表'!B20,4)</f>
        <v>0</v>
      </c>
      <c r="D29" s="328"/>
      <c r="E29" s="329"/>
      <c r="F29" s="334"/>
      <c r="G29" s="139" t="s">
        <v>2509</v>
      </c>
      <c r="H29" s="975"/>
      <c r="I29" s="975"/>
      <c r="J29" s="975"/>
      <c r="K29" s="976"/>
    </row>
    <row r="30" spans="1:33" s="335" customFormat="1" ht="13.5" customHeight="1">
      <c r="A30" s="967" t="s">
        <v>804</v>
      </c>
      <c r="B30" s="990" t="s">
        <v>2510</v>
      </c>
      <c r="C30" s="336">
        <f ca="1">ROUND((C21+C22+C23)*F28,0)</f>
        <v>0</v>
      </c>
      <c r="D30" s="328"/>
      <c r="E30" s="329"/>
      <c r="F30" s="334"/>
      <c r="G30" s="139"/>
      <c r="H30" s="975"/>
      <c r="I30" s="975"/>
      <c r="J30" s="975"/>
      <c r="K30" s="976"/>
    </row>
    <row r="31" spans="1:33" s="971" customFormat="1" ht="13.5" customHeight="1" thickBot="1">
      <c r="A31" s="2547" t="s">
        <v>2511</v>
      </c>
      <c r="B31" s="1001" t="s">
        <v>2512</v>
      </c>
      <c r="C31" s="1002">
        <f>ROUND(C4*F31/(1+'数据-取费表'!C42),0)</f>
        <v>0</v>
      </c>
      <c r="D31" s="1003"/>
      <c r="E31" s="1004"/>
      <c r="F31" s="1005">
        <f>'数据-取费表'!B41</f>
        <v>6.2719999999999998E-2</v>
      </c>
      <c r="G31" s="1006" t="s">
        <v>2513</v>
      </c>
      <c r="H31" s="1007"/>
      <c r="I31" s="1007"/>
      <c r="J31" s="1007"/>
      <c r="K31" s="1008"/>
    </row>
    <row r="32" spans="1:33" s="966" customFormat="1" ht="13.5" customHeight="1" thickBot="1">
      <c r="A32" s="996" t="s">
        <v>2514</v>
      </c>
      <c r="B32" s="997"/>
      <c r="C32" s="998">
        <f ca="1">ROUND((C4-C21-C22-C23-C25-C28-C31)/(1+C24+D25+D28),0)</f>
        <v>-1</v>
      </c>
      <c r="D32" s="997"/>
      <c r="E32" s="997"/>
      <c r="F32" s="997"/>
      <c r="G32" s="999" t="s">
        <v>2515</v>
      </c>
      <c r="H32" s="997"/>
      <c r="I32" s="997"/>
      <c r="J32" s="997"/>
      <c r="K32" s="100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14">
    <tabColor rgb="FF92D050"/>
    <pageSetUpPr fitToPage="1"/>
  </sheetPr>
  <dimension ref="A1:AC132"/>
  <sheetViews>
    <sheetView topLeftCell="A21" zoomScale="90" zoomScaleNormal="90" workbookViewId="0">
      <selection activeCell="I47" sqref="I47"/>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1"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9" customFormat="1" ht="28.5" customHeight="1" thickBot="1">
      <c r="A1" s="1608" t="s">
        <v>2525</v>
      </c>
      <c r="B1" s="2569" t="s">
        <v>2639</v>
      </c>
      <c r="C1" s="1624" t="s">
        <v>2527</v>
      </c>
      <c r="D1" s="1611" t="s">
        <v>4670</v>
      </c>
      <c r="E1" s="2644"/>
      <c r="F1" s="2571" t="s">
        <v>3078</v>
      </c>
      <c r="G1" s="1621" t="s">
        <v>2640</v>
      </c>
      <c r="H1" s="1620"/>
      <c r="I1" s="1620"/>
      <c r="J1" s="1620"/>
      <c r="K1" s="1622"/>
      <c r="L1" s="1623"/>
      <c r="M1" s="1624"/>
      <c r="N1" s="1624"/>
      <c r="O1" s="1624"/>
      <c r="P1" s="2645"/>
      <c r="Q1" s="2646"/>
      <c r="R1" s="2646"/>
      <c r="S1" s="2646"/>
      <c r="T1" s="2646"/>
      <c r="U1" s="2646"/>
      <c r="V1" s="2646"/>
      <c r="W1" s="2646"/>
      <c r="X1" s="2646"/>
      <c r="Y1" s="2646"/>
      <c r="Z1" s="2646"/>
      <c r="AA1" s="2646"/>
      <c r="AB1" s="2646"/>
      <c r="AC1" s="2647"/>
    </row>
    <row r="2" spans="1:29" s="394" customFormat="1" ht="28.5" customHeight="1" thickTop="1">
      <c r="A2" s="1607" t="s">
        <v>2324</v>
      </c>
      <c r="B2" s="1407">
        <f>IF(C2="——",ROUND(C49*D3/10000,0),ROUND(C49*D3/10000,0)-D2)</f>
        <v>94</v>
      </c>
      <c r="C2" s="2573" t="s">
        <v>70</v>
      </c>
      <c r="D2" s="1354">
        <f ca="1">SUMIF(INDIRECT("'"&amp;F2&amp;"'"&amp;"!A:A"),"承租人权益价值",INDIRECT("'"&amp;F2&amp;"'"&amp;"!c:c"))</f>
        <v>0</v>
      </c>
      <c r="E2" s="2574" t="s">
        <v>2325</v>
      </c>
      <c r="F2" s="2575" t="s">
        <v>3079</v>
      </c>
      <c r="G2" s="1121"/>
      <c r="H2" s="1121"/>
      <c r="I2" s="1121"/>
      <c r="J2" s="1121"/>
      <c r="K2" s="1121"/>
      <c r="L2" s="1124"/>
      <c r="M2" s="1125"/>
      <c r="N2" s="1125"/>
      <c r="O2" s="1125"/>
      <c r="P2" s="2648"/>
      <c r="Q2" s="1125"/>
      <c r="R2" s="1125"/>
      <c r="S2" s="1125"/>
      <c r="T2" s="1125"/>
      <c r="U2" s="1125"/>
      <c r="V2" s="1125"/>
      <c r="W2" s="1125"/>
      <c r="X2" s="1125"/>
      <c r="Y2" s="1125"/>
      <c r="Z2" s="1125"/>
      <c r="AA2" s="1125"/>
      <c r="AB2" s="1125"/>
      <c r="AC2" s="2649"/>
    </row>
    <row r="3" spans="1:29" s="394" customFormat="1" ht="28.5" customHeight="1" thickBot="1">
      <c r="A3" s="247" t="s">
        <v>2326</v>
      </c>
      <c r="B3" s="605">
        <f>IF(C2="——",C49,ROUND(B2*10000/D3,0))</f>
        <v>18883</v>
      </c>
      <c r="C3" s="396" t="s">
        <v>2641</v>
      </c>
      <c r="D3" s="395">
        <f>IF(D1="",'数据-汇总表'!E3,SUMIF('数据-汇总表'!$C19:$C33,D1,'数据-汇总表'!$E19:$E33))</f>
        <v>49.61</v>
      </c>
      <c r="E3" s="2650"/>
      <c r="F3" s="1122"/>
      <c r="G3" s="1121"/>
      <c r="H3" s="1121"/>
      <c r="I3" s="1121"/>
      <c r="J3" s="1121"/>
      <c r="K3" s="1123"/>
      <c r="L3" s="1124"/>
      <c r="M3" s="1125"/>
      <c r="N3" s="1125"/>
      <c r="O3" s="1125"/>
      <c r="P3" s="2648"/>
      <c r="Q3" s="1125"/>
      <c r="R3" s="1125"/>
      <c r="S3" s="1125"/>
      <c r="T3" s="1125"/>
      <c r="U3" s="1125"/>
      <c r="V3" s="1125"/>
      <c r="W3" s="1125"/>
      <c r="X3" s="1125"/>
      <c r="Y3" s="1125"/>
      <c r="Z3" s="1125"/>
      <c r="AA3" s="1125"/>
      <c r="AB3" s="1125"/>
      <c r="AC3" s="2650"/>
    </row>
    <row r="4" spans="1:29" ht="15">
      <c r="A4" s="397" t="s">
        <v>2642</v>
      </c>
      <c r="B4" s="398"/>
      <c r="C4" s="3215" t="s">
        <v>2643</v>
      </c>
      <c r="D4" s="3216"/>
      <c r="E4" s="3217" t="s">
        <v>2644</v>
      </c>
      <c r="F4" s="3218"/>
      <c r="G4" s="3215" t="s">
        <v>2645</v>
      </c>
      <c r="H4" s="3216"/>
      <c r="I4" s="3215" t="s">
        <v>2646</v>
      </c>
      <c r="J4" s="3216"/>
      <c r="K4" s="606" t="s">
        <v>2647</v>
      </c>
      <c r="L4" s="1126"/>
      <c r="M4" s="1127"/>
      <c r="N4" s="1127"/>
      <c r="O4" s="1127"/>
      <c r="P4" s="3219" t="s">
        <v>2648</v>
      </c>
      <c r="Q4" s="3220"/>
      <c r="R4" s="3201" t="s">
        <v>2644</v>
      </c>
      <c r="S4" s="3202"/>
      <c r="T4" s="3201" t="s">
        <v>2645</v>
      </c>
      <c r="U4" s="3202"/>
      <c r="V4" s="3198" t="s">
        <v>2646</v>
      </c>
      <c r="W4" s="3198"/>
      <c r="X4" s="1803"/>
      <c r="Y4" s="3201" t="s">
        <v>2648</v>
      </c>
      <c r="Z4" s="3202"/>
      <c r="AA4" s="3195" t="s">
        <v>2644</v>
      </c>
      <c r="AB4" s="3198" t="s">
        <v>2645</v>
      </c>
      <c r="AC4" s="3195" t="s">
        <v>2646</v>
      </c>
    </row>
    <row r="5" spans="1:29" ht="15">
      <c r="A5" s="400"/>
      <c r="B5" s="401"/>
      <c r="C5" s="3207" t="s">
        <v>2539</v>
      </c>
      <c r="D5" s="3208"/>
      <c r="E5" s="3205" t="s">
        <v>2540</v>
      </c>
      <c r="F5" s="3206"/>
      <c r="G5" s="3207" t="s">
        <v>2541</v>
      </c>
      <c r="H5" s="3208"/>
      <c r="I5" s="3211" t="s">
        <v>4679</v>
      </c>
      <c r="J5" s="3208"/>
      <c r="K5" s="606"/>
      <c r="L5" s="1126"/>
      <c r="M5" s="1127"/>
      <c r="N5" s="1127"/>
      <c r="O5" s="1127"/>
      <c r="P5" s="3221"/>
      <c r="Q5" s="3222"/>
      <c r="R5" s="3203"/>
      <c r="S5" s="3204"/>
      <c r="T5" s="3203"/>
      <c r="U5" s="3204"/>
      <c r="V5" s="3198"/>
      <c r="W5" s="3198"/>
      <c r="X5" s="1803"/>
      <c r="Y5" s="3203"/>
      <c r="Z5" s="3204"/>
      <c r="AA5" s="3196"/>
      <c r="AB5" s="3198"/>
      <c r="AC5" s="3196"/>
    </row>
    <row r="6" spans="1:29" ht="15.75" thickBot="1">
      <c r="A6" s="402"/>
      <c r="B6" s="403"/>
      <c r="C6" s="3209" t="s">
        <v>2543</v>
      </c>
      <c r="D6" s="3210"/>
      <c r="E6" s="3212" t="s">
        <v>2543</v>
      </c>
      <c r="F6" s="3213"/>
      <c r="G6" s="3209" t="s">
        <v>2543</v>
      </c>
      <c r="H6" s="3210"/>
      <c r="I6" s="3227" t="s">
        <v>4680</v>
      </c>
      <c r="J6" s="3210"/>
      <c r="K6" s="606" t="s">
        <v>2544</v>
      </c>
      <c r="L6" s="1126"/>
      <c r="M6" s="1127"/>
      <c r="N6" s="1127"/>
      <c r="O6" s="1127"/>
      <c r="P6" s="3223"/>
      <c r="Q6" s="3224"/>
      <c r="R6" s="3203"/>
      <c r="S6" s="3204"/>
      <c r="T6" s="3225"/>
      <c r="U6" s="3226"/>
      <c r="V6" s="3198"/>
      <c r="W6" s="3198"/>
      <c r="X6" s="1803"/>
      <c r="Y6" s="3225"/>
      <c r="Z6" s="3226"/>
      <c r="AA6" s="3197"/>
      <c r="AB6" s="3198"/>
      <c r="AC6" s="3197"/>
    </row>
    <row r="7" spans="1:29" s="116" customFormat="1" ht="15.75" thickBot="1">
      <c r="A7" s="404" t="s">
        <v>2545</v>
      </c>
      <c r="B7" s="405"/>
      <c r="C7" s="406">
        <f>'数据-取费表'!B2</f>
        <v>43028</v>
      </c>
      <c r="D7" s="407">
        <v>100</v>
      </c>
      <c r="E7" s="408">
        <f>C7</f>
        <v>43028</v>
      </c>
      <c r="F7" s="409">
        <f>SUMIF(58:58,YEAR(E7)&amp;"-"&amp;MONTH(E7),59:59)</f>
        <v>100</v>
      </c>
      <c r="G7" s="408">
        <f>C7</f>
        <v>43028</v>
      </c>
      <c r="H7" s="407">
        <f>SUMIF(58:58,YEAR(G7)&amp;"-"&amp;MONTH(G7),59:59)</f>
        <v>100</v>
      </c>
      <c r="I7" s="408">
        <f>C7</f>
        <v>43028</v>
      </c>
      <c r="J7" s="407">
        <f>SUMIF(58:58,YEAR(I7)&amp;"-"&amp;MONTH(I7),59:59)</f>
        <v>100</v>
      </c>
      <c r="K7" s="607"/>
      <c r="L7" s="1128"/>
      <c r="M7" s="1129"/>
      <c r="N7" s="1129"/>
      <c r="O7" s="1129"/>
      <c r="P7" s="3199" t="s">
        <v>2546</v>
      </c>
      <c r="Q7" s="3228"/>
      <c r="R7" s="763" t="s">
        <v>17</v>
      </c>
      <c r="S7" s="764">
        <f t="shared" ref="S7:S15" si="0">F7</f>
        <v>100</v>
      </c>
      <c r="T7" s="763" t="s">
        <v>17</v>
      </c>
      <c r="U7" s="764">
        <f t="shared" ref="U7:U15" si="1">H7</f>
        <v>100</v>
      </c>
      <c r="V7" s="763" t="s">
        <v>17</v>
      </c>
      <c r="W7" s="764">
        <f t="shared" ref="W7:W15" si="2">J7</f>
        <v>100</v>
      </c>
      <c r="X7" s="765"/>
      <c r="Y7" s="3199" t="s">
        <v>2546</v>
      </c>
      <c r="Z7" s="3200"/>
      <c r="AA7" s="766">
        <f>D7/F7</f>
        <v>1</v>
      </c>
      <c r="AB7" s="766">
        <f>D7/H7</f>
        <v>1</v>
      </c>
      <c r="AC7" s="766">
        <f>D7/J7</f>
        <v>1</v>
      </c>
    </row>
    <row r="8" spans="1:29" s="116" customFormat="1" ht="15.75" thickBot="1">
      <c r="A8" s="404" t="s">
        <v>2547</v>
      </c>
      <c r="B8" s="405"/>
      <c r="C8" s="410" t="s">
        <v>2649</v>
      </c>
      <c r="D8" s="407">
        <v>100</v>
      </c>
      <c r="E8" s="410" t="s">
        <v>3076</v>
      </c>
      <c r="F8" s="409">
        <f>SUMIF(61:61,E8,62:62)-SUMIF(61:61,C8,62:62)+100</f>
        <v>100</v>
      </c>
      <c r="G8" s="410" t="s">
        <v>3076</v>
      </c>
      <c r="H8" s="407">
        <f>SUMIF(61:61,G8,62:62)-SUMIF(61:61,C8,62:62)+100</f>
        <v>100</v>
      </c>
      <c r="I8" s="410" t="s">
        <v>3076</v>
      </c>
      <c r="J8" s="407">
        <f>SUMIF(61:61,I8,62:62)-SUMIF(61:61,C8,62:62)+100</f>
        <v>100</v>
      </c>
      <c r="K8" s="607"/>
      <c r="L8" s="1128"/>
      <c r="M8" s="1129"/>
      <c r="N8" s="1129"/>
      <c r="O8" s="1129"/>
      <c r="P8" s="3199" t="s">
        <v>2549</v>
      </c>
      <c r="Q8" s="3200"/>
      <c r="R8" s="763" t="s">
        <v>17</v>
      </c>
      <c r="S8" s="764">
        <f t="shared" si="0"/>
        <v>100</v>
      </c>
      <c r="T8" s="763" t="s">
        <v>17</v>
      </c>
      <c r="U8" s="764">
        <f t="shared" si="1"/>
        <v>100</v>
      </c>
      <c r="V8" s="763" t="s">
        <v>17</v>
      </c>
      <c r="W8" s="764">
        <f t="shared" si="2"/>
        <v>100</v>
      </c>
      <c r="X8" s="765"/>
      <c r="Y8" s="3199" t="s">
        <v>2549</v>
      </c>
      <c r="Z8" s="3200"/>
      <c r="AA8" s="766">
        <f t="shared" ref="AA8:AA46" si="3">D8/F8</f>
        <v>1</v>
      </c>
      <c r="AB8" s="766">
        <f t="shared" ref="AB8:AB46" si="4">D8/H8</f>
        <v>1</v>
      </c>
      <c r="AC8" s="766">
        <f t="shared" ref="AC8:AC46" si="5">D8/J8</f>
        <v>1</v>
      </c>
    </row>
    <row r="9" spans="1:29" s="116" customFormat="1">
      <c r="A9" s="411" t="s">
        <v>2550</v>
      </c>
      <c r="B9" s="70" t="s">
        <v>2551</v>
      </c>
      <c r="C9" s="2924" t="s">
        <v>3077</v>
      </c>
      <c r="D9" s="134">
        <v>100</v>
      </c>
      <c r="E9" s="413" t="s">
        <v>1378</v>
      </c>
      <c r="F9" s="414">
        <f>SUMIF(63:63,E9,64:64)-SUMIF(63:63,C9,64:64)+100</f>
        <v>100</v>
      </c>
      <c r="G9" s="413" t="s">
        <v>1378</v>
      </c>
      <c r="H9" s="134">
        <f>SUMIF(63:63,G9,64:64)-SUMIF(63:63,C9,64:64)+100</f>
        <v>100</v>
      </c>
      <c r="I9" s="413" t="s">
        <v>1378</v>
      </c>
      <c r="J9" s="134">
        <f>SUMIF(63:63,I9,64:64)-SUMIF(63:63,C9,64:64)+100</f>
        <v>100</v>
      </c>
      <c r="K9" s="607"/>
      <c r="L9" s="1128"/>
      <c r="M9" s="1129"/>
      <c r="N9" s="1129"/>
      <c r="O9" s="1129"/>
      <c r="P9" s="3214" t="s">
        <v>2552</v>
      </c>
      <c r="Q9" s="1785" t="str">
        <f t="shared" ref="Q9:Q15" si="6">B9</f>
        <v>用途</v>
      </c>
      <c r="R9" s="763" t="s">
        <v>17</v>
      </c>
      <c r="S9" s="764">
        <f t="shared" si="0"/>
        <v>100</v>
      </c>
      <c r="T9" s="763" t="s">
        <v>17</v>
      </c>
      <c r="U9" s="764">
        <f t="shared" si="1"/>
        <v>100</v>
      </c>
      <c r="V9" s="763" t="s">
        <v>17</v>
      </c>
      <c r="W9" s="764">
        <f t="shared" si="2"/>
        <v>100</v>
      </c>
      <c r="X9" s="765"/>
      <c r="Y9" s="3072" t="s">
        <v>2553</v>
      </c>
      <c r="Z9" s="55" t="str">
        <f t="shared" ref="Z9:Z15" si="7">Q9</f>
        <v>用途</v>
      </c>
      <c r="AA9" s="766">
        <f t="shared" si="3"/>
        <v>1</v>
      </c>
      <c r="AB9" s="766">
        <f t="shared" si="4"/>
        <v>1</v>
      </c>
      <c r="AC9" s="766">
        <f t="shared" si="5"/>
        <v>1</v>
      </c>
    </row>
    <row r="10" spans="1:29" s="423" customFormat="1" ht="27">
      <c r="A10" s="417"/>
      <c r="B10" s="418" t="s">
        <v>2554</v>
      </c>
      <c r="C10" s="419" t="s">
        <v>3080</v>
      </c>
      <c r="D10" s="135">
        <v>100</v>
      </c>
      <c r="E10" s="420" t="s">
        <v>3080</v>
      </c>
      <c r="F10" s="421">
        <f>SUMIF(65:65,E10,66:66)-SUMIF(65:65,C10,66:66)+100</f>
        <v>100</v>
      </c>
      <c r="G10" s="419" t="s">
        <v>3080</v>
      </c>
      <c r="H10" s="135">
        <f>SUMIF(65:65,G10,66:66)-SUMIF(65:65,C10,66:66)+100</f>
        <v>100</v>
      </c>
      <c r="I10" s="419" t="s">
        <v>3080</v>
      </c>
      <c r="J10" s="135">
        <f>SUMIF(65:65,I10,66:66)-SUMIF(65:65,C10,66:66)+100</f>
        <v>100</v>
      </c>
      <c r="K10" s="608"/>
      <c r="L10" s="1131"/>
      <c r="M10" s="1132"/>
      <c r="N10" s="1132"/>
      <c r="O10" s="1132"/>
      <c r="P10" s="3214"/>
      <c r="Q10" s="1785" t="str">
        <f t="shared" si="6"/>
        <v>土地使用年限（年）</v>
      </c>
      <c r="R10" s="763" t="s">
        <v>17</v>
      </c>
      <c r="S10" s="764">
        <f t="shared" si="0"/>
        <v>100</v>
      </c>
      <c r="T10" s="763" t="s">
        <v>17</v>
      </c>
      <c r="U10" s="764">
        <f t="shared" si="1"/>
        <v>100</v>
      </c>
      <c r="V10" s="763" t="s">
        <v>17</v>
      </c>
      <c r="W10" s="764">
        <f t="shared" si="2"/>
        <v>100</v>
      </c>
      <c r="X10" s="765"/>
      <c r="Y10" s="3072"/>
      <c r="Z10" s="55" t="str">
        <f t="shared" si="7"/>
        <v>土地使用年限（年）</v>
      </c>
      <c r="AA10" s="766">
        <f t="shared" si="3"/>
        <v>1</v>
      </c>
      <c r="AB10" s="766">
        <f t="shared" si="4"/>
        <v>1</v>
      </c>
      <c r="AC10" s="766">
        <f t="shared" si="5"/>
        <v>1</v>
      </c>
    </row>
    <row r="11" spans="1:29" ht="15.75" thickBot="1">
      <c r="A11" s="424"/>
      <c r="B11" s="418" t="s">
        <v>2555</v>
      </c>
      <c r="C11" s="425">
        <v>4.4000000000000004</v>
      </c>
      <c r="D11" s="135">
        <v>100</v>
      </c>
      <c r="E11" s="426"/>
      <c r="F11" s="421">
        <f>LOOKUP(E11,68:68,69:69)-LOOKUP(C11,68:68,69:69)+100</f>
        <v>100</v>
      </c>
      <c r="G11" s="425"/>
      <c r="H11" s="135">
        <f>LOOKUP(G11,68:68,69:69)-LOOKUP(C11,68:68,69:69)+100</f>
        <v>100</v>
      </c>
      <c r="I11" s="425">
        <v>4.2</v>
      </c>
      <c r="J11" s="135">
        <f>LOOKUP(I11,68:68,69:69)-LOOKUP(C11,68:68,69:69)+100</f>
        <v>100</v>
      </c>
      <c r="K11" s="608"/>
      <c r="L11" s="1134"/>
      <c r="M11" s="1127"/>
      <c r="N11" s="1127"/>
      <c r="O11" s="1127"/>
      <c r="P11" s="3214"/>
      <c r="Q11" s="1785" t="str">
        <f t="shared" si="6"/>
        <v>容积率</v>
      </c>
      <c r="R11" s="763" t="s">
        <v>17</v>
      </c>
      <c r="S11" s="764">
        <f t="shared" si="0"/>
        <v>100</v>
      </c>
      <c r="T11" s="763" t="s">
        <v>17</v>
      </c>
      <c r="U11" s="764">
        <f t="shared" si="1"/>
        <v>100</v>
      </c>
      <c r="V11" s="763" t="s">
        <v>17</v>
      </c>
      <c r="W11" s="764">
        <f t="shared" si="2"/>
        <v>100</v>
      </c>
      <c r="X11" s="765"/>
      <c r="Y11" s="3072"/>
      <c r="Z11" s="55" t="str">
        <f t="shared" si="7"/>
        <v>容积率</v>
      </c>
      <c r="AA11" s="766">
        <f t="shared" si="3"/>
        <v>1</v>
      </c>
      <c r="AB11" s="766">
        <f t="shared" si="4"/>
        <v>1</v>
      </c>
      <c r="AC11" s="766">
        <f t="shared" si="5"/>
        <v>1</v>
      </c>
    </row>
    <row r="12" spans="1:29" s="116" customFormat="1" ht="15" hidden="1">
      <c r="A12" s="427"/>
      <c r="B12" s="2587">
        <v>111</v>
      </c>
      <c r="C12" s="428"/>
      <c r="D12" s="429">
        <v>100</v>
      </c>
      <c r="E12" s="430"/>
      <c r="F12" s="421">
        <f>SUMIF(70:70,E12,71:71)-SUMIF(70:70,C12,71:71)+100</f>
        <v>100</v>
      </c>
      <c r="G12" s="430"/>
      <c r="H12" s="135">
        <f>SUMIF(70:70,G12,71:71)-SUMIF(70:70,C12,71:71)+100</f>
        <v>100</v>
      </c>
      <c r="I12" s="430"/>
      <c r="J12" s="135">
        <f>SUMIF(70:70,I12,71:71)-SUMIF(70:70,C12,71:71)+100</f>
        <v>100</v>
      </c>
      <c r="K12" s="609"/>
      <c r="L12" s="1128"/>
      <c r="M12" s="1129"/>
      <c r="N12" s="1129"/>
      <c r="O12" s="1129"/>
      <c r="P12" s="3214"/>
      <c r="Q12" s="1785">
        <f t="shared" si="6"/>
        <v>111</v>
      </c>
      <c r="R12" s="763" t="s">
        <v>17</v>
      </c>
      <c r="S12" s="764">
        <f t="shared" si="0"/>
        <v>100</v>
      </c>
      <c r="T12" s="763" t="s">
        <v>17</v>
      </c>
      <c r="U12" s="764">
        <f t="shared" si="1"/>
        <v>100</v>
      </c>
      <c r="V12" s="763" t="s">
        <v>17</v>
      </c>
      <c r="W12" s="764">
        <f t="shared" si="2"/>
        <v>100</v>
      </c>
      <c r="X12" s="765"/>
      <c r="Y12" s="3072"/>
      <c r="Z12" s="55">
        <f t="shared" si="7"/>
        <v>111</v>
      </c>
      <c r="AA12" s="766">
        <f>D12/F12</f>
        <v>1</v>
      </c>
      <c r="AB12" s="766">
        <f>D12/H12</f>
        <v>1</v>
      </c>
      <c r="AC12" s="766">
        <f>D12/J12</f>
        <v>1</v>
      </c>
    </row>
    <row r="13" spans="1:29" ht="15" hidden="1">
      <c r="A13" s="424"/>
      <c r="B13" s="2587">
        <v>111</v>
      </c>
      <c r="C13" s="430"/>
      <c r="D13" s="431">
        <v>100</v>
      </c>
      <c r="E13" s="430"/>
      <c r="F13" s="421">
        <f>SUMIF(72:72,E13,73:73)-SUMIF(72:72,C13,73:73)+100</f>
        <v>100</v>
      </c>
      <c r="G13" s="430"/>
      <c r="H13" s="431">
        <f>SUMIF(72:72,G13,73:73)-SUMIF(72:72,C13,73:73)+100</f>
        <v>100</v>
      </c>
      <c r="I13" s="430"/>
      <c r="J13" s="431">
        <f>SUMIF(72:72,I13,73:73)-SUMIF(72:72,C13,73:73)+100</f>
        <v>100</v>
      </c>
      <c r="K13" s="609"/>
      <c r="L13" s="1136"/>
      <c r="M13" s="1127"/>
      <c r="N13" s="1127"/>
      <c r="O13" s="1127"/>
      <c r="P13" s="3214"/>
      <c r="Q13" s="1785">
        <f t="shared" si="6"/>
        <v>111</v>
      </c>
      <c r="R13" s="763" t="s">
        <v>17</v>
      </c>
      <c r="S13" s="764">
        <f t="shared" si="0"/>
        <v>100</v>
      </c>
      <c r="T13" s="763" t="s">
        <v>17</v>
      </c>
      <c r="U13" s="764">
        <f t="shared" si="1"/>
        <v>100</v>
      </c>
      <c r="V13" s="763" t="s">
        <v>17</v>
      </c>
      <c r="W13" s="764">
        <f t="shared" si="2"/>
        <v>100</v>
      </c>
      <c r="X13" s="765"/>
      <c r="Y13" s="3072"/>
      <c r="Z13" s="55">
        <f t="shared" si="7"/>
        <v>111</v>
      </c>
      <c r="AA13" s="766">
        <f t="shared" si="3"/>
        <v>1</v>
      </c>
      <c r="AB13" s="766">
        <f t="shared" si="4"/>
        <v>1</v>
      </c>
      <c r="AC13" s="766">
        <f t="shared" si="5"/>
        <v>1</v>
      </c>
    </row>
    <row r="14" spans="1:29" ht="15.75" hidden="1" thickBot="1">
      <c r="A14" s="432"/>
      <c r="B14" s="2589">
        <v>111</v>
      </c>
      <c r="C14" s="433"/>
      <c r="D14" s="434">
        <v>100</v>
      </c>
      <c r="E14" s="430"/>
      <c r="F14" s="435">
        <f>SUMIF(74:74,E14,75:75)-SUMIF(74:74,C14,75:75)+100</f>
        <v>100</v>
      </c>
      <c r="G14" s="430"/>
      <c r="H14" s="434">
        <f>SUMIF(74:74,G14,75:75)-SUMIF(74:74,C14,75:75)+100</f>
        <v>100</v>
      </c>
      <c r="I14" s="430"/>
      <c r="J14" s="434">
        <f>SUMIF(74:74,I14,75:75)-SUMIF(74:74,C14,75:75)+100</f>
        <v>100</v>
      </c>
      <c r="K14" s="609"/>
      <c r="L14" s="1136"/>
      <c r="M14" s="1127"/>
      <c r="N14" s="1127"/>
      <c r="O14" s="1127"/>
      <c r="P14" s="3214"/>
      <c r="Q14" s="1785">
        <f t="shared" si="6"/>
        <v>111</v>
      </c>
      <c r="R14" s="763" t="s">
        <v>17</v>
      </c>
      <c r="S14" s="764">
        <f t="shared" si="0"/>
        <v>100</v>
      </c>
      <c r="T14" s="763" t="s">
        <v>17</v>
      </c>
      <c r="U14" s="764">
        <f t="shared" si="1"/>
        <v>100</v>
      </c>
      <c r="V14" s="763" t="s">
        <v>17</v>
      </c>
      <c r="W14" s="764">
        <f t="shared" si="2"/>
        <v>100</v>
      </c>
      <c r="X14" s="765"/>
      <c r="Y14" s="3072"/>
      <c r="Z14" s="55">
        <f t="shared" si="7"/>
        <v>111</v>
      </c>
      <c r="AA14" s="766">
        <f t="shared" si="3"/>
        <v>1</v>
      </c>
      <c r="AB14" s="766">
        <f t="shared" si="4"/>
        <v>1</v>
      </c>
      <c r="AC14" s="766">
        <f t="shared" si="5"/>
        <v>1</v>
      </c>
    </row>
    <row r="15" spans="1:29" ht="71.25">
      <c r="A15" s="436" t="s">
        <v>2556</v>
      </c>
      <c r="B15" s="68" t="s">
        <v>2650</v>
      </c>
      <c r="C15" s="2590" t="str">
        <f>估价对象房地状况!C4</f>
        <v>估价对象位于XX商圈，周边商业氛围成熟，人流量大，商业繁华度好</v>
      </c>
      <c r="D15" s="437">
        <v>100</v>
      </c>
      <c r="E15" s="438"/>
      <c r="F15" s="439">
        <f>SUMIF(76:76,E16,77:77)-SUMIF(76:76,C16,77:77)+100</f>
        <v>100</v>
      </c>
      <c r="G15" s="440"/>
      <c r="H15" s="437">
        <f>SUMIF(76:76,G16,77:77)-SUMIF(76:76,C16,77:77)+100</f>
        <v>100</v>
      </c>
      <c r="I15" s="438"/>
      <c r="J15" s="437">
        <f>SUMIF(76:76,I16,77:77)-SUMIF(76:76,C16,77:77)+100</f>
        <v>100</v>
      </c>
      <c r="K15" s="610"/>
      <c r="L15" s="1136"/>
      <c r="M15" s="1127"/>
      <c r="N15" s="1127"/>
      <c r="O15" s="1127"/>
      <c r="P15" s="3229" t="s">
        <v>2557</v>
      </c>
      <c r="Q15" s="1800" t="str">
        <f t="shared" si="6"/>
        <v>商业繁华度</v>
      </c>
      <c r="R15" s="767" t="s">
        <v>17</v>
      </c>
      <c r="S15" s="768">
        <f t="shared" si="0"/>
        <v>100</v>
      </c>
      <c r="T15" s="767" t="s">
        <v>17</v>
      </c>
      <c r="U15" s="768">
        <f t="shared" si="1"/>
        <v>100</v>
      </c>
      <c r="V15" s="767" t="s">
        <v>17</v>
      </c>
      <c r="W15" s="768">
        <f t="shared" si="2"/>
        <v>100</v>
      </c>
      <c r="X15" s="1803"/>
      <c r="Y15" s="3231" t="s">
        <v>2557</v>
      </c>
      <c r="Z15" s="1804" t="str">
        <f t="shared" si="7"/>
        <v>商业繁华度</v>
      </c>
      <c r="AA15" s="1801">
        <f t="shared" si="3"/>
        <v>1</v>
      </c>
      <c r="AB15" s="1801">
        <f t="shared" si="4"/>
        <v>1</v>
      </c>
      <c r="AC15" s="1801">
        <f t="shared" si="5"/>
        <v>1</v>
      </c>
    </row>
    <row r="16" spans="1:29" ht="15">
      <c r="A16" s="424"/>
      <c r="B16" s="442"/>
      <c r="C16" s="443" t="s">
        <v>3081</v>
      </c>
      <c r="D16" s="444"/>
      <c r="E16" s="443" t="s">
        <v>3081</v>
      </c>
      <c r="F16" s="445"/>
      <c r="G16" s="443" t="s">
        <v>3081</v>
      </c>
      <c r="H16" s="446"/>
      <c r="I16" s="443" t="s">
        <v>3081</v>
      </c>
      <c r="J16" s="444"/>
      <c r="K16" s="611"/>
      <c r="L16" s="1136"/>
      <c r="M16" s="1127"/>
      <c r="N16" s="1127"/>
      <c r="O16" s="1127"/>
      <c r="P16" s="3230"/>
      <c r="Q16" s="1800"/>
      <c r="R16" s="767"/>
      <c r="S16" s="768"/>
      <c r="T16" s="767"/>
      <c r="U16" s="768"/>
      <c r="V16" s="767"/>
      <c r="W16" s="768"/>
      <c r="X16" s="1803"/>
      <c r="Y16" s="3232"/>
      <c r="Z16" s="1804"/>
      <c r="AA16" s="1801">
        <v>1</v>
      </c>
      <c r="AB16" s="1801">
        <v>1</v>
      </c>
      <c r="AC16" s="1801">
        <v>1</v>
      </c>
    </row>
    <row r="17" spans="1:29" ht="85.5">
      <c r="A17" s="424"/>
      <c r="B17" s="447" t="s">
        <v>2093</v>
      </c>
      <c r="C17" s="2594" t="str">
        <f>估价对象房地状况!C6</f>
        <v>估价对象周边道路状况、公共交通通达情况、停车便捷程度，综合评价交通便捷度较好</v>
      </c>
      <c r="D17" s="446">
        <v>100</v>
      </c>
      <c r="E17" s="448"/>
      <c r="F17" s="449">
        <f>SUMIF(78:78,E18,79:79)-SUMIF(78:78,C18,79:79)+100</f>
        <v>100</v>
      </c>
      <c r="G17" s="450"/>
      <c r="H17" s="451">
        <f>SUMIF(78:78,G18,79:79)-SUMIF(78:78,C18,79:79)+100</f>
        <v>100</v>
      </c>
      <c r="I17" s="448"/>
      <c r="J17" s="451">
        <f>SUMIF(78:78,I18,79:79)-SUMIF(78:78,C18,79:79)+100</f>
        <v>100</v>
      </c>
      <c r="K17" s="610"/>
      <c r="L17" s="1136"/>
      <c r="M17" s="1127"/>
      <c r="N17" s="1127"/>
      <c r="O17" s="1127"/>
      <c r="P17" s="3230"/>
      <c r="Q17" s="1800" t="str">
        <f>B17</f>
        <v>交通便捷度</v>
      </c>
      <c r="R17" s="767" t="s">
        <v>17</v>
      </c>
      <c r="S17" s="768">
        <f>F17</f>
        <v>100</v>
      </c>
      <c r="T17" s="767" t="s">
        <v>17</v>
      </c>
      <c r="U17" s="768">
        <f>H17</f>
        <v>100</v>
      </c>
      <c r="V17" s="767" t="s">
        <v>17</v>
      </c>
      <c r="W17" s="768">
        <f>J17</f>
        <v>100</v>
      </c>
      <c r="X17" s="1803"/>
      <c r="Y17" s="3232"/>
      <c r="Z17" s="1804" t="str">
        <f>Q17</f>
        <v>交通便捷度</v>
      </c>
      <c r="AA17" s="1801">
        <f t="shared" si="3"/>
        <v>1</v>
      </c>
      <c r="AB17" s="1801">
        <f t="shared" si="4"/>
        <v>1</v>
      </c>
      <c r="AC17" s="1801">
        <f t="shared" si="5"/>
        <v>1</v>
      </c>
    </row>
    <row r="18" spans="1:29" ht="15">
      <c r="A18" s="424"/>
      <c r="B18" s="452"/>
      <c r="C18" s="2595" t="s">
        <v>3081</v>
      </c>
      <c r="D18" s="446"/>
      <c r="E18" s="2597" t="s">
        <v>3081</v>
      </c>
      <c r="F18" s="449"/>
      <c r="G18" s="2596" t="s">
        <v>3081</v>
      </c>
      <c r="H18" s="444"/>
      <c r="I18" s="2597" t="s">
        <v>3081</v>
      </c>
      <c r="J18" s="444"/>
      <c r="K18" s="611"/>
      <c r="L18" s="1136"/>
      <c r="M18" s="1127"/>
      <c r="N18" s="1127"/>
      <c r="O18" s="1127"/>
      <c r="P18" s="3230"/>
      <c r="Q18" s="1800"/>
      <c r="R18" s="767"/>
      <c r="S18" s="768"/>
      <c r="T18" s="767"/>
      <c r="U18" s="768"/>
      <c r="V18" s="767"/>
      <c r="W18" s="768"/>
      <c r="X18" s="1803"/>
      <c r="Y18" s="3232"/>
      <c r="Z18" s="1804"/>
      <c r="AA18" s="1801">
        <v>1</v>
      </c>
      <c r="AB18" s="1801">
        <v>1</v>
      </c>
      <c r="AC18" s="1801">
        <v>1</v>
      </c>
    </row>
    <row r="19" spans="1:29" ht="42.75">
      <c r="A19" s="424"/>
      <c r="B19" s="447" t="s">
        <v>2651</v>
      </c>
      <c r="C19" s="2594" t="str">
        <f>估价对象房地状况!C7</f>
        <v>估价对象所在区域公共配套设施齐备情况</v>
      </c>
      <c r="D19" s="451">
        <v>100</v>
      </c>
      <c r="E19" s="453"/>
      <c r="F19" s="454">
        <f>SUMIF(80:80,E20,81:81)-SUMIF(80:80,C20,81:81)+100</f>
        <v>100</v>
      </c>
      <c r="G19" s="455"/>
      <c r="H19" s="446">
        <f>SUMIF(80:80,G20,81:81)-SUMIF(80:80,C20,81:81)+100</f>
        <v>100</v>
      </c>
      <c r="I19" s="453"/>
      <c r="J19" s="446">
        <f>SUMIF(80:80,I20,81:81)-SUMIF(80:80,C20,81:81)+100</f>
        <v>100</v>
      </c>
      <c r="K19" s="610"/>
      <c r="L19" s="1136"/>
      <c r="M19" s="1127"/>
      <c r="N19" s="1127"/>
      <c r="O19" s="1127"/>
      <c r="P19" s="3230"/>
      <c r="Q19" s="1800" t="str">
        <f>B19</f>
        <v>公共配套设施</v>
      </c>
      <c r="R19" s="767" t="s">
        <v>17</v>
      </c>
      <c r="S19" s="768">
        <f>F19</f>
        <v>100</v>
      </c>
      <c r="T19" s="767" t="s">
        <v>17</v>
      </c>
      <c r="U19" s="768">
        <f>H19</f>
        <v>100</v>
      </c>
      <c r="V19" s="767" t="s">
        <v>17</v>
      </c>
      <c r="W19" s="768">
        <f>J19</f>
        <v>100</v>
      </c>
      <c r="X19" s="1803"/>
      <c r="Y19" s="3232"/>
      <c r="Z19" s="1804" t="str">
        <f>Q19</f>
        <v>公共配套设施</v>
      </c>
      <c r="AA19" s="1801">
        <f t="shared" si="3"/>
        <v>1</v>
      </c>
      <c r="AB19" s="1801">
        <f t="shared" si="4"/>
        <v>1</v>
      </c>
      <c r="AC19" s="1801">
        <f t="shared" si="5"/>
        <v>1</v>
      </c>
    </row>
    <row r="20" spans="1:29" ht="15">
      <c r="A20" s="424"/>
      <c r="B20" s="452"/>
      <c r="C20" s="443" t="s">
        <v>3081</v>
      </c>
      <c r="D20" s="444"/>
      <c r="E20" s="2592" t="s">
        <v>3081</v>
      </c>
      <c r="F20" s="445"/>
      <c r="G20" s="2591" t="s">
        <v>3081</v>
      </c>
      <c r="H20" s="444"/>
      <c r="I20" s="2592" t="s">
        <v>3081</v>
      </c>
      <c r="J20" s="444"/>
      <c r="K20" s="611"/>
      <c r="L20" s="1136"/>
      <c r="M20" s="1127"/>
      <c r="N20" s="1127"/>
      <c r="O20" s="1127"/>
      <c r="P20" s="3230"/>
      <c r="Q20" s="1800"/>
      <c r="R20" s="767"/>
      <c r="S20" s="768"/>
      <c r="T20" s="767"/>
      <c r="U20" s="768"/>
      <c r="V20" s="767"/>
      <c r="W20" s="768"/>
      <c r="X20" s="1803"/>
      <c r="Y20" s="3232"/>
      <c r="Z20" s="1804"/>
      <c r="AA20" s="1801">
        <v>1</v>
      </c>
      <c r="AB20" s="1801">
        <v>1</v>
      </c>
      <c r="AC20" s="1801">
        <v>1</v>
      </c>
    </row>
    <row r="21" spans="1:29" ht="28.5">
      <c r="A21" s="424"/>
      <c r="B21" s="1373" t="s">
        <v>2652</v>
      </c>
      <c r="C21" s="2594" t="str">
        <f>估价对象房地状况!C8</f>
        <v>估价对象所在区域基础设施水平</v>
      </c>
      <c r="D21" s="451">
        <v>100</v>
      </c>
      <c r="E21" s="453"/>
      <c r="F21" s="454">
        <f>SUMIF(82:82,E22,83:83)-SUMIF(82:82,C22,83:83)+100</f>
        <v>100</v>
      </c>
      <c r="G21" s="455"/>
      <c r="H21" s="446">
        <f>SUMIF(82:82,G22,83:83)-SUMIF(82:82,C22,83:83)+100</f>
        <v>100</v>
      </c>
      <c r="I21" s="453"/>
      <c r="J21" s="446">
        <f>SUMIF(82:82,I22,83:83)-SUMIF(82:82,C22,83:83)+100</f>
        <v>100</v>
      </c>
      <c r="K21" s="610"/>
      <c r="L21" s="1136"/>
      <c r="M21" s="1127"/>
      <c r="N21" s="1127"/>
      <c r="O21" s="1127"/>
      <c r="P21" s="3230"/>
      <c r="Q21" s="1800" t="str">
        <f>B21</f>
        <v>基础设施水平</v>
      </c>
      <c r="R21" s="767" t="s">
        <v>17</v>
      </c>
      <c r="S21" s="768">
        <f>F21</f>
        <v>100</v>
      </c>
      <c r="T21" s="767" t="s">
        <v>17</v>
      </c>
      <c r="U21" s="768">
        <f>H21</f>
        <v>100</v>
      </c>
      <c r="V21" s="767" t="s">
        <v>17</v>
      </c>
      <c r="W21" s="768">
        <f>J21</f>
        <v>100</v>
      </c>
      <c r="X21" s="1803"/>
      <c r="Y21" s="3232"/>
      <c r="Z21" s="1804" t="str">
        <f>Q21</f>
        <v>基础设施水平</v>
      </c>
      <c r="AA21" s="1801">
        <f>D21/F21</f>
        <v>1</v>
      </c>
      <c r="AB21" s="1801">
        <f>D21/H21</f>
        <v>1</v>
      </c>
      <c r="AC21" s="1801">
        <f>D21/J21</f>
        <v>1</v>
      </c>
    </row>
    <row r="22" spans="1:29" ht="15">
      <c r="A22" s="424"/>
      <c r="B22" s="1373"/>
      <c r="C22" s="2595" t="s">
        <v>3082</v>
      </c>
      <c r="D22" s="444"/>
      <c r="E22" s="443" t="s">
        <v>3082</v>
      </c>
      <c r="F22" s="445"/>
      <c r="G22" s="443" t="s">
        <v>3082</v>
      </c>
      <c r="H22" s="444"/>
      <c r="I22" s="443" t="s">
        <v>3082</v>
      </c>
      <c r="J22" s="444"/>
      <c r="K22" s="1372"/>
      <c r="L22" s="1136"/>
      <c r="M22" s="1127"/>
      <c r="N22" s="1127"/>
      <c r="O22" s="1127"/>
      <c r="P22" s="3230"/>
      <c r="Q22" s="1800"/>
      <c r="R22" s="767"/>
      <c r="S22" s="768"/>
      <c r="T22" s="767"/>
      <c r="U22" s="768"/>
      <c r="V22" s="767"/>
      <c r="W22" s="768"/>
      <c r="X22" s="1803"/>
      <c r="Y22" s="3232"/>
      <c r="Z22" s="1804"/>
      <c r="AA22" s="1801">
        <v>1</v>
      </c>
      <c r="AB22" s="1801">
        <v>1</v>
      </c>
      <c r="AC22" s="1801">
        <v>1</v>
      </c>
    </row>
    <row r="23" spans="1:29" ht="57">
      <c r="A23" s="424"/>
      <c r="B23" s="447" t="s">
        <v>2098</v>
      </c>
      <c r="C23" s="2651" t="str">
        <f>估价对象房地状况!C9</f>
        <v>区域自然环境：；人文环境；综合评价环境状况一般</v>
      </c>
      <c r="D23" s="446">
        <v>100</v>
      </c>
      <c r="E23" s="448"/>
      <c r="F23" s="449">
        <f>SUMIF(84:84,E24,85:85)-SUMIF(84:84,C24,85:85)+100</f>
        <v>100</v>
      </c>
      <c r="G23" s="450"/>
      <c r="H23" s="446">
        <f>SUMIF(84:84,G24,85:85)-SUMIF(84:84,C24,85:85)+100</f>
        <v>100</v>
      </c>
      <c r="I23" s="448"/>
      <c r="J23" s="446">
        <f>SUMIF(84:84,I24,85:85)-SUMIF(84:84,C24,85:85)+100</f>
        <v>100</v>
      </c>
      <c r="K23" s="610"/>
      <c r="L23" s="1136"/>
      <c r="M23" s="1127"/>
      <c r="N23" s="1127"/>
      <c r="O23" s="1127"/>
      <c r="P23" s="3230"/>
      <c r="Q23" s="1800" t="str">
        <f>B23</f>
        <v>自然及人文环境</v>
      </c>
      <c r="R23" s="767" t="s">
        <v>17</v>
      </c>
      <c r="S23" s="768">
        <f>F23</f>
        <v>100</v>
      </c>
      <c r="T23" s="767" t="s">
        <v>17</v>
      </c>
      <c r="U23" s="768">
        <f>H23</f>
        <v>100</v>
      </c>
      <c r="V23" s="767" t="s">
        <v>17</v>
      </c>
      <c r="W23" s="768">
        <f>J23</f>
        <v>100</v>
      </c>
      <c r="X23" s="1803"/>
      <c r="Y23" s="3232"/>
      <c r="Z23" s="1804" t="str">
        <f>Q23</f>
        <v>自然及人文环境</v>
      </c>
      <c r="AA23" s="1801">
        <f t="shared" si="3"/>
        <v>1</v>
      </c>
      <c r="AB23" s="1801">
        <f t="shared" si="4"/>
        <v>1</v>
      </c>
      <c r="AC23" s="1801">
        <f t="shared" si="5"/>
        <v>1</v>
      </c>
    </row>
    <row r="24" spans="1:29" ht="15">
      <c r="A24" s="424"/>
      <c r="B24" s="452"/>
      <c r="C24" s="443" t="s">
        <v>3081</v>
      </c>
      <c r="D24" s="444"/>
      <c r="E24" s="2592" t="s">
        <v>3081</v>
      </c>
      <c r="F24" s="445"/>
      <c r="G24" s="2591" t="s">
        <v>3081</v>
      </c>
      <c r="H24" s="444"/>
      <c r="I24" s="2592" t="s">
        <v>3081</v>
      </c>
      <c r="J24" s="444"/>
      <c r="K24" s="611"/>
      <c r="L24" s="1136"/>
      <c r="M24" s="1127"/>
      <c r="N24" s="1127"/>
      <c r="O24" s="1127"/>
      <c r="P24" s="3230"/>
      <c r="Q24" s="1800"/>
      <c r="R24" s="767"/>
      <c r="S24" s="768"/>
      <c r="T24" s="767"/>
      <c r="U24" s="768"/>
      <c r="V24" s="767"/>
      <c r="W24" s="768"/>
      <c r="X24" s="1803"/>
      <c r="Y24" s="3232"/>
      <c r="Z24" s="1804"/>
      <c r="AA24" s="1801">
        <v>1</v>
      </c>
      <c r="AB24" s="1801">
        <v>1</v>
      </c>
      <c r="AC24" s="1801">
        <v>1</v>
      </c>
    </row>
    <row r="25" spans="1:29" ht="15" hidden="1">
      <c r="A25" s="424"/>
      <c r="B25" s="418" t="s">
        <v>2653</v>
      </c>
      <c r="C25" s="612" t="s">
        <v>3085</v>
      </c>
      <c r="D25" s="431">
        <v>100</v>
      </c>
      <c r="E25" s="612" t="s">
        <v>3085</v>
      </c>
      <c r="F25" s="457">
        <f>SUMIF(86:86,E25,87:87)-SUMIF(86:86,C25,87:87)+100</f>
        <v>100</v>
      </c>
      <c r="G25" s="612" t="s">
        <v>3085</v>
      </c>
      <c r="H25" s="431">
        <f>SUMIF(86:86,G25,87:87)-SUMIF(86:86,C25,87:87)+100</f>
        <v>100</v>
      </c>
      <c r="I25" s="612" t="s">
        <v>3085</v>
      </c>
      <c r="J25" s="431">
        <f>SUMIF(86:86,I25,87:87)-SUMIF(86:86,C25,87:87)+100</f>
        <v>100</v>
      </c>
      <c r="K25" s="608"/>
      <c r="L25" s="1136"/>
      <c r="M25" s="1127"/>
      <c r="N25" s="1127"/>
      <c r="O25" s="1127"/>
      <c r="P25" s="3230"/>
      <c r="Q25" s="1800" t="str">
        <f t="shared" ref="Q25:Q46" si="8">B25</f>
        <v>临街状况</v>
      </c>
      <c r="R25" s="767" t="s">
        <v>17</v>
      </c>
      <c r="S25" s="768">
        <f>F25</f>
        <v>100</v>
      </c>
      <c r="T25" s="767" t="s">
        <v>17</v>
      </c>
      <c r="U25" s="768">
        <f>H25</f>
        <v>100</v>
      </c>
      <c r="V25" s="767" t="s">
        <v>17</v>
      </c>
      <c r="W25" s="768">
        <f>J25</f>
        <v>100</v>
      </c>
      <c r="X25" s="1803"/>
      <c r="Y25" s="3232"/>
      <c r="Z25" s="1804" t="str">
        <f>Q25</f>
        <v>临街状况</v>
      </c>
      <c r="AA25" s="1801">
        <f t="shared" si="3"/>
        <v>1</v>
      </c>
      <c r="AB25" s="1801">
        <f t="shared" si="4"/>
        <v>1</v>
      </c>
      <c r="AC25" s="1801">
        <f t="shared" si="5"/>
        <v>1</v>
      </c>
    </row>
    <row r="26" spans="1:29" ht="15">
      <c r="A26" s="424"/>
      <c r="B26" s="1375" t="s">
        <v>2654</v>
      </c>
      <c r="C26" s="2929" t="s">
        <v>3105</v>
      </c>
      <c r="D26" s="431">
        <v>100</v>
      </c>
      <c r="E26" s="2929" t="s">
        <v>3105</v>
      </c>
      <c r="F26" s="457">
        <f>SUMIF(88:88,E26,89:89)-SUMIF(88:88,C26,89:89)+100</f>
        <v>100</v>
      </c>
      <c r="G26" s="2929" t="s">
        <v>3105</v>
      </c>
      <c r="H26" s="431">
        <f>SUMIF(88:88,G26,89:89)-SUMIF(88:88,C26,89:89)+100</f>
        <v>100</v>
      </c>
      <c r="I26" s="2929" t="s">
        <v>3105</v>
      </c>
      <c r="J26" s="431">
        <f>SUMIF(88:88,I26,89:89)-SUMIF(88:88,C26,89:89)+100</f>
        <v>100</v>
      </c>
      <c r="K26" s="609"/>
      <c r="L26" s="1136"/>
      <c r="M26" s="1127"/>
      <c r="N26" s="1127"/>
      <c r="O26" s="1127"/>
      <c r="P26" s="3230"/>
      <c r="Q26" s="1800" t="str">
        <f t="shared" si="8"/>
        <v>平面位置/可视性</v>
      </c>
      <c r="R26" s="767" t="s">
        <v>17</v>
      </c>
      <c r="S26" s="768">
        <f>F26</f>
        <v>100</v>
      </c>
      <c r="T26" s="767" t="s">
        <v>17</v>
      </c>
      <c r="U26" s="768">
        <f>H26</f>
        <v>100</v>
      </c>
      <c r="V26" s="767" t="s">
        <v>17</v>
      </c>
      <c r="W26" s="768">
        <f>J26</f>
        <v>100</v>
      </c>
      <c r="X26" s="1803"/>
      <c r="Y26" s="3232"/>
      <c r="Z26" s="1804" t="str">
        <f>Q26</f>
        <v>平面位置/可视性</v>
      </c>
      <c r="AA26" s="1801">
        <f t="shared" si="3"/>
        <v>1</v>
      </c>
      <c r="AB26" s="1801">
        <f t="shared" si="4"/>
        <v>1</v>
      </c>
      <c r="AC26" s="1801">
        <f t="shared" si="5"/>
        <v>1</v>
      </c>
    </row>
    <row r="27" spans="1:29" s="116" customFormat="1" ht="15.75" thickBot="1">
      <c r="A27" s="427"/>
      <c r="B27" s="447" t="s">
        <v>2655</v>
      </c>
      <c r="C27" s="2652" t="s">
        <v>3081</v>
      </c>
      <c r="D27" s="458">
        <v>100</v>
      </c>
      <c r="E27" s="2652" t="s">
        <v>3081</v>
      </c>
      <c r="F27" s="460">
        <f>SUMIF(90:90,E27,91:91)-SUMIF(90:90,C27,91:91)+100</f>
        <v>100</v>
      </c>
      <c r="G27" s="2652" t="s">
        <v>3081</v>
      </c>
      <c r="H27" s="458">
        <f>SUMIF(90:90,G27,91:91)-SUMIF(90:90,C27,91:91)+100</f>
        <v>100</v>
      </c>
      <c r="I27" s="2652" t="s">
        <v>3081</v>
      </c>
      <c r="J27" s="458">
        <f>SUMIF(90:90,I27,91:91)-SUMIF(90:90,C27,91:91)+100</f>
        <v>100</v>
      </c>
      <c r="K27" s="608"/>
      <c r="L27" s="1128"/>
      <c r="M27" s="1129"/>
      <c r="N27" s="1129"/>
      <c r="O27" s="1129"/>
      <c r="P27" s="3230"/>
      <c r="Q27" s="1785" t="str">
        <f t="shared" si="8"/>
        <v>人流量</v>
      </c>
      <c r="R27" s="763" t="s">
        <v>17</v>
      </c>
      <c r="S27" s="764">
        <f>F27</f>
        <v>100</v>
      </c>
      <c r="T27" s="763" t="s">
        <v>17</v>
      </c>
      <c r="U27" s="764">
        <f>H27</f>
        <v>100</v>
      </c>
      <c r="V27" s="763" t="s">
        <v>17</v>
      </c>
      <c r="W27" s="764">
        <f>J27</f>
        <v>100</v>
      </c>
      <c r="X27" s="765"/>
      <c r="Y27" s="3232"/>
      <c r="Z27" s="55" t="str">
        <f>Q27</f>
        <v>人流量</v>
      </c>
      <c r="AA27" s="1801">
        <f>D27/F27</f>
        <v>1</v>
      </c>
      <c r="AB27" s="1801">
        <f>D27/H27</f>
        <v>1</v>
      </c>
      <c r="AC27" s="1801">
        <f>D27/J27</f>
        <v>1</v>
      </c>
    </row>
    <row r="28" spans="1:29" ht="16.5" hidden="1" customHeight="1" thickBot="1">
      <c r="A28" s="424"/>
      <c r="B28" s="418" t="s">
        <v>2656</v>
      </c>
      <c r="C28" s="612">
        <v>1</v>
      </c>
      <c r="D28" s="431">
        <v>100</v>
      </c>
      <c r="E28" s="612">
        <v>1</v>
      </c>
      <c r="F28" s="457">
        <f>SUMIF(92:92,E28,93:93)-SUMIF(92:92,C28,93:93)+100</f>
        <v>100</v>
      </c>
      <c r="G28" s="612">
        <v>1</v>
      </c>
      <c r="H28" s="431">
        <f>SUMIF(92:92,G28,93:93)-SUMIF(92:92,C28,93:93)+100</f>
        <v>100</v>
      </c>
      <c r="I28" s="612">
        <v>1</v>
      </c>
      <c r="J28" s="431">
        <f>SUMIF(92:92,I28,93:93)-SUMIF(92:92,C28,93:93)+100</f>
        <v>100</v>
      </c>
      <c r="K28" s="609"/>
      <c r="L28" s="1136"/>
      <c r="M28" s="1127"/>
      <c r="N28" s="1127"/>
      <c r="O28" s="1127"/>
      <c r="P28" s="3230"/>
      <c r="Q28" s="1800" t="str">
        <f t="shared" si="8"/>
        <v>楼层</v>
      </c>
      <c r="R28" s="767" t="s">
        <v>17</v>
      </c>
      <c r="S28" s="768">
        <f t="shared" ref="S28:S46" si="9">F28</f>
        <v>100</v>
      </c>
      <c r="T28" s="767" t="s">
        <v>17</v>
      </c>
      <c r="U28" s="768">
        <f t="shared" ref="U28:U46" si="10">H28</f>
        <v>100</v>
      </c>
      <c r="V28" s="767" t="s">
        <v>17</v>
      </c>
      <c r="W28" s="768">
        <f t="shared" ref="W28:W46" si="11">J28</f>
        <v>100</v>
      </c>
      <c r="X28" s="1803"/>
      <c r="Y28" s="3232"/>
      <c r="Z28" s="1804" t="str">
        <f t="shared" ref="Z28:Z46" si="12">Q28</f>
        <v>楼层</v>
      </c>
      <c r="AA28" s="1801">
        <f t="shared" si="3"/>
        <v>1</v>
      </c>
      <c r="AB28" s="1801">
        <f t="shared" si="4"/>
        <v>1</v>
      </c>
      <c r="AC28" s="1801">
        <f t="shared" si="5"/>
        <v>1</v>
      </c>
    </row>
    <row r="29" spans="1:29" ht="15" hidden="1">
      <c r="A29" s="424"/>
      <c r="B29" s="1375">
        <v>111</v>
      </c>
      <c r="C29" s="430"/>
      <c r="D29" s="431">
        <v>100</v>
      </c>
      <c r="E29" s="430"/>
      <c r="F29" s="457">
        <f>SUMIF(94:94,E29,95:95)-SUMIF(94:94,C29,95:95)+100</f>
        <v>100</v>
      </c>
      <c r="G29" s="430"/>
      <c r="H29" s="431">
        <f>SUMIF(94:94,G29,95:95)-SUMIF(94:94,C29,95:95)+100</f>
        <v>100</v>
      </c>
      <c r="I29" s="430"/>
      <c r="J29" s="431">
        <f>SUMIF(94:94,I29,95:95)-SUMIF(94:94,C29,95:95)+100</f>
        <v>100</v>
      </c>
      <c r="K29" s="609"/>
      <c r="L29" s="1136"/>
      <c r="M29" s="1127"/>
      <c r="N29" s="1127"/>
      <c r="O29" s="1127"/>
      <c r="P29" s="3230"/>
      <c r="Q29" s="1800">
        <f t="shared" si="8"/>
        <v>111</v>
      </c>
      <c r="R29" s="767" t="s">
        <v>17</v>
      </c>
      <c r="S29" s="768">
        <f t="shared" si="9"/>
        <v>100</v>
      </c>
      <c r="T29" s="767" t="s">
        <v>17</v>
      </c>
      <c r="U29" s="768">
        <f t="shared" si="10"/>
        <v>100</v>
      </c>
      <c r="V29" s="767" t="s">
        <v>17</v>
      </c>
      <c r="W29" s="768">
        <f t="shared" si="11"/>
        <v>100</v>
      </c>
      <c r="X29" s="1803"/>
      <c r="Y29" s="3232"/>
      <c r="Z29" s="1804">
        <f t="shared" si="12"/>
        <v>111</v>
      </c>
      <c r="AA29" s="1801">
        <f t="shared" si="3"/>
        <v>1</v>
      </c>
      <c r="AB29" s="1801">
        <f t="shared" si="4"/>
        <v>1</v>
      </c>
      <c r="AC29" s="1801">
        <f t="shared" si="5"/>
        <v>1</v>
      </c>
    </row>
    <row r="30" spans="1:29" ht="15" hidden="1">
      <c r="A30" s="424"/>
      <c r="B30" s="1375">
        <v>111</v>
      </c>
      <c r="C30" s="430"/>
      <c r="D30" s="431">
        <v>100</v>
      </c>
      <c r="E30" s="430"/>
      <c r="F30" s="457">
        <f>SUMIF(96:96,E30,97:97)-SUMIF(96:96,C30,97:97)+100</f>
        <v>100</v>
      </c>
      <c r="G30" s="430"/>
      <c r="H30" s="431">
        <f>SUMIF(96:96,G30,97:97)-SUMIF(96:96,C30,97:97)+100</f>
        <v>100</v>
      </c>
      <c r="I30" s="430"/>
      <c r="J30" s="431">
        <f>SUMIF(96:96,I30,97:97)-SUMIF(96:96,C30,97:97)+100</f>
        <v>100</v>
      </c>
      <c r="K30" s="609"/>
      <c r="L30" s="1136"/>
      <c r="M30" s="1127"/>
      <c r="N30" s="1127"/>
      <c r="O30" s="1127"/>
      <c r="P30" s="3230"/>
      <c r="Q30" s="1800">
        <f t="shared" si="8"/>
        <v>111</v>
      </c>
      <c r="R30" s="767" t="s">
        <v>17</v>
      </c>
      <c r="S30" s="768">
        <f t="shared" si="9"/>
        <v>100</v>
      </c>
      <c r="T30" s="767" t="s">
        <v>17</v>
      </c>
      <c r="U30" s="768">
        <f t="shared" si="10"/>
        <v>100</v>
      </c>
      <c r="V30" s="767" t="s">
        <v>17</v>
      </c>
      <c r="W30" s="768">
        <f t="shared" si="11"/>
        <v>100</v>
      </c>
      <c r="X30" s="1803"/>
      <c r="Y30" s="3232"/>
      <c r="Z30" s="1804">
        <f t="shared" si="12"/>
        <v>111</v>
      </c>
      <c r="AA30" s="1801">
        <f t="shared" si="3"/>
        <v>1</v>
      </c>
      <c r="AB30" s="1801">
        <f t="shared" si="4"/>
        <v>1</v>
      </c>
      <c r="AC30" s="1801">
        <f t="shared" si="5"/>
        <v>1</v>
      </c>
    </row>
    <row r="31" spans="1:29" ht="15.75" hidden="1" thickBot="1">
      <c r="A31" s="432"/>
      <c r="B31" s="1375">
        <v>111</v>
      </c>
      <c r="C31" s="433"/>
      <c r="D31" s="434">
        <v>100</v>
      </c>
      <c r="E31" s="430"/>
      <c r="F31" s="435">
        <f>SUMIF(98:98,E31,99:99)-SUMIF(98:98,C31,99:99)+100</f>
        <v>100</v>
      </c>
      <c r="G31" s="430"/>
      <c r="H31" s="434">
        <f>SUMIF(98:98,G31,99:99)-SUMIF(98:98,C31,99:99)+100</f>
        <v>100</v>
      </c>
      <c r="I31" s="430"/>
      <c r="J31" s="434">
        <f>SUMIF(98:98,I31,99:99)-SUMIF(98:98,C31,99:99)+100</f>
        <v>100</v>
      </c>
      <c r="K31" s="609"/>
      <c r="L31" s="1136"/>
      <c r="M31" s="1127"/>
      <c r="N31" s="1127"/>
      <c r="O31" s="1127"/>
      <c r="P31" s="3230"/>
      <c r="Q31" s="1800">
        <f t="shared" si="8"/>
        <v>111</v>
      </c>
      <c r="R31" s="767" t="s">
        <v>17</v>
      </c>
      <c r="S31" s="768">
        <f t="shared" si="9"/>
        <v>100</v>
      </c>
      <c r="T31" s="767" t="s">
        <v>17</v>
      </c>
      <c r="U31" s="768">
        <f t="shared" si="10"/>
        <v>100</v>
      </c>
      <c r="V31" s="767" t="s">
        <v>17</v>
      </c>
      <c r="W31" s="768">
        <f t="shared" si="11"/>
        <v>100</v>
      </c>
      <c r="X31" s="1803"/>
      <c r="Y31" s="3232"/>
      <c r="Z31" s="1804">
        <f t="shared" si="12"/>
        <v>111</v>
      </c>
      <c r="AA31" s="1801">
        <f t="shared" si="3"/>
        <v>1</v>
      </c>
      <c r="AB31" s="1801">
        <f t="shared" si="4"/>
        <v>1</v>
      </c>
      <c r="AC31" s="1801">
        <f t="shared" si="5"/>
        <v>1</v>
      </c>
    </row>
    <row r="32" spans="1:29" ht="15">
      <c r="A32" s="436" t="s">
        <v>2560</v>
      </c>
      <c r="B32" s="70" t="s">
        <v>2657</v>
      </c>
      <c r="C32" s="2604" t="s">
        <v>3067</v>
      </c>
      <c r="D32" s="463">
        <v>100</v>
      </c>
      <c r="E32" s="2604" t="s">
        <v>3067</v>
      </c>
      <c r="F32" s="457">
        <f>SUMIF(100:100,E32,101:101)-SUMIF(100:100,C32,101:101)+100</f>
        <v>100</v>
      </c>
      <c r="G32" s="2604" t="s">
        <v>3067</v>
      </c>
      <c r="H32" s="431">
        <f>SUMIF(100:100,G32,101:101)-SUMIF(100:100,C32,101:101)+100</f>
        <v>100</v>
      </c>
      <c r="I32" s="2604" t="s">
        <v>3067</v>
      </c>
      <c r="J32" s="463">
        <f>SUMIF(100:100,I32,101:101)-SUMIF(100:100,C32,101:101)+100</f>
        <v>100</v>
      </c>
      <c r="K32" s="608"/>
      <c r="L32" s="1136"/>
      <c r="M32" s="1127"/>
      <c r="N32" s="1127"/>
      <c r="O32" s="1127"/>
      <c r="P32" s="3233" t="s">
        <v>2562</v>
      </c>
      <c r="Q32" s="1800" t="str">
        <f t="shared" si="8"/>
        <v>商业类型</v>
      </c>
      <c r="R32" s="767" t="s">
        <v>17</v>
      </c>
      <c r="S32" s="768">
        <f t="shared" si="9"/>
        <v>100</v>
      </c>
      <c r="T32" s="767" t="s">
        <v>17</v>
      </c>
      <c r="U32" s="768">
        <f t="shared" si="10"/>
        <v>100</v>
      </c>
      <c r="V32" s="767" t="s">
        <v>17</v>
      </c>
      <c r="W32" s="768">
        <f t="shared" si="11"/>
        <v>100</v>
      </c>
      <c r="X32" s="1803"/>
      <c r="Y32" s="3236" t="s">
        <v>2562</v>
      </c>
      <c r="Z32" s="1804" t="str">
        <f t="shared" si="12"/>
        <v>商业类型</v>
      </c>
      <c r="AA32" s="1801">
        <f t="shared" si="3"/>
        <v>1</v>
      </c>
      <c r="AB32" s="1801">
        <f t="shared" si="4"/>
        <v>1</v>
      </c>
      <c r="AC32" s="1801">
        <f t="shared" si="5"/>
        <v>1</v>
      </c>
    </row>
    <row r="33" spans="1:29" s="467" customFormat="1" ht="15" hidden="1">
      <c r="A33" s="464"/>
      <c r="B33" s="418" t="s">
        <v>2563</v>
      </c>
      <c r="C33" s="465"/>
      <c r="D33" s="135">
        <v>100</v>
      </c>
      <c r="E33" s="426"/>
      <c r="F33" s="421">
        <f>LOOKUP(E33,103:103,104:104)-LOOKUP(C33,103:103,104:104)+100</f>
        <v>100</v>
      </c>
      <c r="G33" s="425"/>
      <c r="H33" s="135">
        <f>LOOKUP(G33,103:103,104:104)-LOOKUP(C33,103:103,104:104)+100</f>
        <v>100</v>
      </c>
      <c r="I33" s="425"/>
      <c r="J33" s="135">
        <f>LOOKUP(I33,103:103,104:104)-LOOKUP(C33,103:103,104:104)+100</f>
        <v>100</v>
      </c>
      <c r="K33" s="609"/>
      <c r="L33" s="1134"/>
      <c r="M33" s="1137"/>
      <c r="N33" s="1137"/>
      <c r="O33" s="1137"/>
      <c r="P33" s="3234"/>
      <c r="Q33" s="769" t="str">
        <f t="shared" si="8"/>
        <v>项目建筑规模</v>
      </c>
      <c r="R33" s="770" t="s">
        <v>17</v>
      </c>
      <c r="S33" s="771">
        <f t="shared" si="9"/>
        <v>100</v>
      </c>
      <c r="T33" s="770" t="s">
        <v>17</v>
      </c>
      <c r="U33" s="771">
        <f t="shared" si="10"/>
        <v>100</v>
      </c>
      <c r="V33" s="770" t="s">
        <v>17</v>
      </c>
      <c r="W33" s="771">
        <f t="shared" si="11"/>
        <v>100</v>
      </c>
      <c r="X33" s="772"/>
      <c r="Y33" s="3236"/>
      <c r="Z33" s="773" t="str">
        <f t="shared" si="12"/>
        <v>项目建筑规模</v>
      </c>
      <c r="AA33" s="1801">
        <f t="shared" si="3"/>
        <v>1</v>
      </c>
      <c r="AB33" s="1801">
        <f t="shared" si="4"/>
        <v>1</v>
      </c>
      <c r="AC33" s="1801">
        <f t="shared" si="5"/>
        <v>1</v>
      </c>
    </row>
    <row r="34" spans="1:29" ht="15">
      <c r="A34" s="468"/>
      <c r="B34" s="418" t="s">
        <v>2564</v>
      </c>
      <c r="C34" s="2606" t="s">
        <v>3073</v>
      </c>
      <c r="D34" s="431">
        <v>100</v>
      </c>
      <c r="E34" s="2606" t="s">
        <v>3073</v>
      </c>
      <c r="F34" s="457">
        <f>SUMIF(105:105,E34,106:106)-SUMIF(105:105,C34,106:106)+100</f>
        <v>100</v>
      </c>
      <c r="G34" s="2606" t="s">
        <v>3073</v>
      </c>
      <c r="H34" s="431">
        <f>SUMIF(105:105,G34,106:106)-SUMIF(105:105,C34,106:106)+100</f>
        <v>100</v>
      </c>
      <c r="I34" s="2606" t="s">
        <v>3073</v>
      </c>
      <c r="J34" s="431">
        <f>SUMIF(105:105,I34,106:106)-SUMIF(105:105,C34,106:106)+100</f>
        <v>100</v>
      </c>
      <c r="K34" s="608"/>
      <c r="L34" s="1136"/>
      <c r="M34" s="1127"/>
      <c r="N34" s="1127"/>
      <c r="O34" s="1127"/>
      <c r="P34" s="3234"/>
      <c r="Q34" s="1800" t="str">
        <f t="shared" si="8"/>
        <v>建筑结构</v>
      </c>
      <c r="R34" s="767" t="s">
        <v>17</v>
      </c>
      <c r="S34" s="768">
        <f t="shared" si="9"/>
        <v>100</v>
      </c>
      <c r="T34" s="767" t="s">
        <v>17</v>
      </c>
      <c r="U34" s="768">
        <f t="shared" si="10"/>
        <v>100</v>
      </c>
      <c r="V34" s="767" t="s">
        <v>17</v>
      </c>
      <c r="W34" s="768">
        <f t="shared" si="11"/>
        <v>100</v>
      </c>
      <c r="X34" s="1803"/>
      <c r="Y34" s="3236"/>
      <c r="Z34" s="1804" t="str">
        <f t="shared" si="12"/>
        <v>建筑结构</v>
      </c>
      <c r="AA34" s="1801">
        <f t="shared" si="3"/>
        <v>1</v>
      </c>
      <c r="AB34" s="1801">
        <f t="shared" si="4"/>
        <v>1</v>
      </c>
      <c r="AC34" s="1801">
        <f t="shared" si="5"/>
        <v>1</v>
      </c>
    </row>
    <row r="35" spans="1:29" ht="15">
      <c r="A35" s="468"/>
      <c r="B35" s="418" t="s">
        <v>2658</v>
      </c>
      <c r="C35" s="2600" t="s">
        <v>3093</v>
      </c>
      <c r="D35" s="431">
        <v>100</v>
      </c>
      <c r="E35" s="2600" t="s">
        <v>3093</v>
      </c>
      <c r="F35" s="457">
        <f>SUMIF(107:107,E35,108:108)-SUMIF(107:107,C35,108:108)+100</f>
        <v>100</v>
      </c>
      <c r="G35" s="2600" t="s">
        <v>3093</v>
      </c>
      <c r="H35" s="431">
        <f>SUMIF(107:107,G35,108:108)-SUMIF(107:107,C35,108:108)+100</f>
        <v>100</v>
      </c>
      <c r="I35" s="2600" t="s">
        <v>3093</v>
      </c>
      <c r="J35" s="431">
        <f>SUMIF(107:107,I35,108:108)-SUMIF(107:107,C35,108:108)+100</f>
        <v>100</v>
      </c>
      <c r="K35" s="608"/>
      <c r="L35" s="1136"/>
      <c r="M35" s="1127"/>
      <c r="N35" s="1127"/>
      <c r="O35" s="1127"/>
      <c r="P35" s="3234"/>
      <c r="Q35" s="1800" t="str">
        <f t="shared" si="8"/>
        <v>公共部分装修</v>
      </c>
      <c r="R35" s="767" t="s">
        <v>17</v>
      </c>
      <c r="S35" s="768">
        <f t="shared" si="9"/>
        <v>100</v>
      </c>
      <c r="T35" s="767" t="s">
        <v>17</v>
      </c>
      <c r="U35" s="768">
        <f t="shared" si="10"/>
        <v>100</v>
      </c>
      <c r="V35" s="767" t="s">
        <v>17</v>
      </c>
      <c r="W35" s="768">
        <f t="shared" si="11"/>
        <v>100</v>
      </c>
      <c r="X35" s="1803"/>
      <c r="Y35" s="3236"/>
      <c r="Z35" s="1804" t="str">
        <f t="shared" si="12"/>
        <v>公共部分装修</v>
      </c>
      <c r="AA35" s="1801">
        <f t="shared" si="3"/>
        <v>1</v>
      </c>
      <c r="AB35" s="1801">
        <f t="shared" si="4"/>
        <v>1</v>
      </c>
      <c r="AC35" s="1801">
        <f t="shared" si="5"/>
        <v>1</v>
      </c>
    </row>
    <row r="36" spans="1:29" ht="15">
      <c r="A36" s="468"/>
      <c r="B36" s="418" t="s">
        <v>2659</v>
      </c>
      <c r="C36" s="470">
        <f>'数据-取费表'!N6</f>
        <v>0.97</v>
      </c>
      <c r="D36" s="431">
        <v>100</v>
      </c>
      <c r="E36" s="470">
        <v>0.95</v>
      </c>
      <c r="F36" s="457">
        <f>LOOKUP(E36,110:110,111:111)-LOOKUP(C36,110:110,111:111)+100</f>
        <v>100</v>
      </c>
      <c r="G36" s="470">
        <v>0.95</v>
      </c>
      <c r="H36" s="457">
        <f>LOOKUP(G36,110:110,111:111)-LOOKUP(C36,110:110,111:111)+100</f>
        <v>100</v>
      </c>
      <c r="I36" s="470">
        <v>0.95</v>
      </c>
      <c r="J36" s="431">
        <f>LOOKUP(I36,110:110,111:111)-LOOKUP(C36,110:110,111:111)+100</f>
        <v>100</v>
      </c>
      <c r="K36" s="608"/>
      <c r="L36" s="1136"/>
      <c r="M36" s="1127"/>
      <c r="N36" s="1127"/>
      <c r="O36" s="1127"/>
      <c r="P36" s="3234"/>
      <c r="Q36" s="1800" t="str">
        <f t="shared" si="8"/>
        <v>成新度</v>
      </c>
      <c r="R36" s="767" t="s">
        <v>17</v>
      </c>
      <c r="S36" s="768">
        <f t="shared" si="9"/>
        <v>100</v>
      </c>
      <c r="T36" s="767" t="s">
        <v>17</v>
      </c>
      <c r="U36" s="768">
        <f t="shared" si="10"/>
        <v>100</v>
      </c>
      <c r="V36" s="767" t="s">
        <v>17</v>
      </c>
      <c r="W36" s="768">
        <f t="shared" si="11"/>
        <v>100</v>
      </c>
      <c r="X36" s="1803"/>
      <c r="Y36" s="3236"/>
      <c r="Z36" s="1804" t="str">
        <f t="shared" si="12"/>
        <v>成新度</v>
      </c>
      <c r="AA36" s="1801">
        <f t="shared" si="3"/>
        <v>1</v>
      </c>
      <c r="AB36" s="1801">
        <f t="shared" si="4"/>
        <v>1</v>
      </c>
      <c r="AC36" s="1801">
        <f t="shared" si="5"/>
        <v>1</v>
      </c>
    </row>
    <row r="37" spans="1:29" s="116" customFormat="1" ht="15">
      <c r="A37" s="469"/>
      <c r="B37" s="418" t="s">
        <v>2660</v>
      </c>
      <c r="C37" s="2600" t="s">
        <v>3082</v>
      </c>
      <c r="D37" s="135">
        <v>100</v>
      </c>
      <c r="E37" s="2600" t="s">
        <v>3082</v>
      </c>
      <c r="F37" s="457">
        <f>SUMIF(112:112,E37,113:113)-SUMIF(112:112,C37,113:113)+100</f>
        <v>100</v>
      </c>
      <c r="G37" s="2600" t="s">
        <v>3082</v>
      </c>
      <c r="H37" s="431">
        <f>SUMIF(112:112,G37,113:113)-SUMIF(112:112,C37,113:113)+100</f>
        <v>100</v>
      </c>
      <c r="I37" s="2600" t="s">
        <v>3082</v>
      </c>
      <c r="J37" s="431">
        <f>SUMIF(112:112,I37,113:113)-SUMIF(112:112,C37,113:113)+100</f>
        <v>100</v>
      </c>
      <c r="K37" s="608"/>
      <c r="L37" s="1128"/>
      <c r="M37" s="1129"/>
      <c r="N37" s="1129"/>
      <c r="O37" s="1129"/>
      <c r="P37" s="3234"/>
      <c r="Q37" s="1785" t="str">
        <f t="shared" si="8"/>
        <v>市政基础设施</v>
      </c>
      <c r="R37" s="763" t="s">
        <v>17</v>
      </c>
      <c r="S37" s="764">
        <f t="shared" si="9"/>
        <v>100</v>
      </c>
      <c r="T37" s="763" t="s">
        <v>17</v>
      </c>
      <c r="U37" s="764">
        <f t="shared" si="10"/>
        <v>100</v>
      </c>
      <c r="V37" s="763" t="s">
        <v>17</v>
      </c>
      <c r="W37" s="764">
        <f t="shared" si="11"/>
        <v>100</v>
      </c>
      <c r="X37" s="765"/>
      <c r="Y37" s="3236"/>
      <c r="Z37" s="55" t="str">
        <f t="shared" si="12"/>
        <v>市政基础设施</v>
      </c>
      <c r="AA37" s="766">
        <f t="shared" si="3"/>
        <v>1</v>
      </c>
      <c r="AB37" s="766">
        <f t="shared" si="4"/>
        <v>1</v>
      </c>
      <c r="AC37" s="766">
        <f t="shared" si="5"/>
        <v>1</v>
      </c>
    </row>
    <row r="38" spans="1:29" ht="15" hidden="1">
      <c r="A38" s="468"/>
      <c r="B38" s="418" t="s">
        <v>2661</v>
      </c>
      <c r="C38" s="2600"/>
      <c r="D38" s="431">
        <v>100</v>
      </c>
      <c r="E38" s="2600"/>
      <c r="F38" s="457">
        <f>SUMIF(114:114,E38,115:115)-SUMIF(114:114,C38,115:115)+100</f>
        <v>100</v>
      </c>
      <c r="G38" s="2600"/>
      <c r="H38" s="431">
        <f>SUMIF(114:114,G38,115:115)-SUMIF(114:114,C38,115:115)+100</f>
        <v>100</v>
      </c>
      <c r="I38" s="2600"/>
      <c r="J38" s="431">
        <f>SUMIF(114:114,I38,115:115)-SUMIF(114:114,C38,115:115)+100</f>
        <v>100</v>
      </c>
      <c r="K38" s="608"/>
      <c r="L38" s="1136"/>
      <c r="M38" s="1127"/>
      <c r="N38" s="1127"/>
      <c r="O38" s="1127"/>
      <c r="P38" s="3234" t="s">
        <v>2562</v>
      </c>
      <c r="Q38" s="1800" t="str">
        <f t="shared" si="8"/>
        <v>业态</v>
      </c>
      <c r="R38" s="767" t="s">
        <v>17</v>
      </c>
      <c r="S38" s="768">
        <f t="shared" si="9"/>
        <v>100</v>
      </c>
      <c r="T38" s="767" t="s">
        <v>17</v>
      </c>
      <c r="U38" s="768">
        <f t="shared" si="10"/>
        <v>100</v>
      </c>
      <c r="V38" s="767" t="s">
        <v>17</v>
      </c>
      <c r="W38" s="768">
        <f t="shared" si="11"/>
        <v>100</v>
      </c>
      <c r="X38" s="1803"/>
      <c r="Y38" s="3236" t="s">
        <v>2562</v>
      </c>
      <c r="Z38" s="1804" t="str">
        <f t="shared" si="12"/>
        <v>业态</v>
      </c>
      <c r="AA38" s="1801">
        <f t="shared" si="3"/>
        <v>1</v>
      </c>
      <c r="AB38" s="1801">
        <f t="shared" si="4"/>
        <v>1</v>
      </c>
      <c r="AC38" s="1801">
        <f t="shared" si="5"/>
        <v>1</v>
      </c>
    </row>
    <row r="39" spans="1:29" ht="15">
      <c r="A39" s="468"/>
      <c r="B39" s="418" t="s">
        <v>2662</v>
      </c>
      <c r="C39" s="2600" t="s">
        <v>3103</v>
      </c>
      <c r="D39" s="431">
        <v>100</v>
      </c>
      <c r="E39" s="2600" t="s">
        <v>3103</v>
      </c>
      <c r="F39" s="457">
        <f>SUMIF(116:116,E39,117:117)-SUMIF(116:116,C39,117:117)+100</f>
        <v>100</v>
      </c>
      <c r="G39" s="2600" t="s">
        <v>3103</v>
      </c>
      <c r="H39" s="431">
        <f>SUMIF(116:116,G39,117:117)-SUMIF(116:116,C39,117:117)+100</f>
        <v>100</v>
      </c>
      <c r="I39" s="2600" t="s">
        <v>3103</v>
      </c>
      <c r="J39" s="431">
        <f>SUMIF(116:116,I39,117:117)-SUMIF(116:116,C39,117:117)+100</f>
        <v>100</v>
      </c>
      <c r="K39" s="608"/>
      <c r="L39" s="1136"/>
      <c r="M39" s="1127"/>
      <c r="N39" s="1127"/>
      <c r="O39" s="1127"/>
      <c r="P39" s="3234"/>
      <c r="Q39" s="1800" t="str">
        <f t="shared" si="8"/>
        <v>层高</v>
      </c>
      <c r="R39" s="767" t="s">
        <v>17</v>
      </c>
      <c r="S39" s="768">
        <f t="shared" si="9"/>
        <v>100</v>
      </c>
      <c r="T39" s="767" t="s">
        <v>17</v>
      </c>
      <c r="U39" s="768">
        <f t="shared" si="10"/>
        <v>100</v>
      </c>
      <c r="V39" s="767" t="s">
        <v>17</v>
      </c>
      <c r="W39" s="768">
        <f t="shared" si="11"/>
        <v>100</v>
      </c>
      <c r="X39" s="1803"/>
      <c r="Y39" s="3236"/>
      <c r="Z39" s="1804" t="str">
        <f t="shared" si="12"/>
        <v>层高</v>
      </c>
      <c r="AA39" s="1801">
        <f t="shared" si="3"/>
        <v>1</v>
      </c>
      <c r="AB39" s="1801">
        <f t="shared" si="4"/>
        <v>1</v>
      </c>
      <c r="AC39" s="1801">
        <f t="shared" si="5"/>
        <v>1</v>
      </c>
    </row>
    <row r="40" spans="1:29" ht="15">
      <c r="A40" s="468"/>
      <c r="B40" s="418" t="s">
        <v>2663</v>
      </c>
      <c r="C40" s="2930">
        <v>73.400000000000006</v>
      </c>
      <c r="D40" s="431">
        <v>100</v>
      </c>
      <c r="E40" s="613"/>
      <c r="F40" s="457">
        <f>SUMIF(118:118,E40,119:119)-SUMIF(118:118,C40,119:119)+100</f>
        <v>100</v>
      </c>
      <c r="G40" s="613"/>
      <c r="H40" s="431">
        <f>SUMIF(118:118,G40,119:119)-SUMIF(118:118,C40,119:119)+100</f>
        <v>100</v>
      </c>
      <c r="I40" s="613"/>
      <c r="J40" s="431">
        <f>SUMIF(118:118,I40,119:119)-SUMIF(118:118,C40,119:119)+100</f>
        <v>100</v>
      </c>
      <c r="K40" s="609"/>
      <c r="L40" s="1136"/>
      <c r="M40" s="1127"/>
      <c r="N40" s="1127"/>
      <c r="O40" s="1127"/>
      <c r="P40" s="3234"/>
      <c r="Q40" s="1800" t="str">
        <f t="shared" si="8"/>
        <v>单套建筑面积</v>
      </c>
      <c r="R40" s="767" t="s">
        <v>17</v>
      </c>
      <c r="S40" s="768">
        <f t="shared" si="9"/>
        <v>100</v>
      </c>
      <c r="T40" s="767" t="s">
        <v>17</v>
      </c>
      <c r="U40" s="768">
        <f t="shared" si="10"/>
        <v>100</v>
      </c>
      <c r="V40" s="767" t="s">
        <v>17</v>
      </c>
      <c r="W40" s="768">
        <f t="shared" si="11"/>
        <v>100</v>
      </c>
      <c r="X40" s="1803"/>
      <c r="Y40" s="3236"/>
      <c r="Z40" s="1804" t="str">
        <f t="shared" si="12"/>
        <v>单套建筑面积</v>
      </c>
      <c r="AA40" s="1801">
        <f t="shared" si="3"/>
        <v>1</v>
      </c>
      <c r="AB40" s="1801">
        <f t="shared" si="4"/>
        <v>1</v>
      </c>
      <c r="AC40" s="1801">
        <f t="shared" si="5"/>
        <v>1</v>
      </c>
    </row>
    <row r="41" spans="1:29" s="467" customFormat="1" ht="15">
      <c r="A41" s="464"/>
      <c r="B41" s="1802" t="s">
        <v>2664</v>
      </c>
      <c r="C41" s="612" t="s">
        <v>3081</v>
      </c>
      <c r="D41" s="431">
        <v>100</v>
      </c>
      <c r="E41" s="612" t="s">
        <v>3081</v>
      </c>
      <c r="F41" s="457">
        <f>SUMIF(120:120,E41,121:121)-SUMIF(120:120,C41,121:121)+100</f>
        <v>100</v>
      </c>
      <c r="G41" s="612" t="s">
        <v>3081</v>
      </c>
      <c r="H41" s="431">
        <f>SUMIF(120:120,G41,121:121)-SUMIF(120:120,C41,121:121)+100</f>
        <v>100</v>
      </c>
      <c r="I41" s="612" t="s">
        <v>3081</v>
      </c>
      <c r="J41" s="431">
        <f>SUMIF(120:120,I41,121:121)-SUMIF(120:120,C41,121:121)+100</f>
        <v>100</v>
      </c>
      <c r="K41" s="608"/>
      <c r="L41" s="1134"/>
      <c r="M41" s="1137"/>
      <c r="N41" s="1137"/>
      <c r="O41" s="1137"/>
      <c r="P41" s="3234"/>
      <c r="Q41" s="769" t="str">
        <f t="shared" si="8"/>
        <v>进深比</v>
      </c>
      <c r="R41" s="770" t="s">
        <v>17</v>
      </c>
      <c r="S41" s="771">
        <f t="shared" si="9"/>
        <v>100</v>
      </c>
      <c r="T41" s="770" t="s">
        <v>17</v>
      </c>
      <c r="U41" s="771">
        <f t="shared" si="10"/>
        <v>100</v>
      </c>
      <c r="V41" s="770" t="s">
        <v>17</v>
      </c>
      <c r="W41" s="771">
        <f t="shared" si="11"/>
        <v>100</v>
      </c>
      <c r="X41" s="772"/>
      <c r="Y41" s="3236"/>
      <c r="Z41" s="773" t="str">
        <f t="shared" si="12"/>
        <v>进深比</v>
      </c>
      <c r="AA41" s="1801">
        <f t="shared" si="3"/>
        <v>1</v>
      </c>
      <c r="AB41" s="1801">
        <f t="shared" si="4"/>
        <v>1</v>
      </c>
      <c r="AC41" s="1801">
        <f t="shared" si="5"/>
        <v>1</v>
      </c>
    </row>
    <row r="42" spans="1:29" ht="15">
      <c r="A42" s="468"/>
      <c r="B42" s="418" t="s">
        <v>2665</v>
      </c>
      <c r="C42" s="2600" t="s">
        <v>3093</v>
      </c>
      <c r="D42" s="431">
        <v>100</v>
      </c>
      <c r="E42" s="2600" t="s">
        <v>3093</v>
      </c>
      <c r="F42" s="457">
        <f>SUMIF(122:122,E42,123:123)-SUMIF(122:122,C42,123:123)+100</f>
        <v>100</v>
      </c>
      <c r="G42" s="2600" t="s">
        <v>3093</v>
      </c>
      <c r="H42" s="431">
        <f>SUMIF(122:122,G42,123:123)-SUMIF(122:122,C42,123:123)+100</f>
        <v>100</v>
      </c>
      <c r="I42" s="2600" t="s">
        <v>3093</v>
      </c>
      <c r="J42" s="431">
        <f>SUMIF(122:122,I42,123:123)-SUMIF(122:122,C42,123:123)+100</f>
        <v>100</v>
      </c>
      <c r="K42" s="608"/>
      <c r="L42" s="1136"/>
      <c r="M42" s="1127"/>
      <c r="N42" s="1127"/>
      <c r="O42" s="1127"/>
      <c r="P42" s="3234"/>
      <c r="Q42" s="1800" t="str">
        <f t="shared" si="8"/>
        <v>内部装修</v>
      </c>
      <c r="R42" s="767" t="s">
        <v>17</v>
      </c>
      <c r="S42" s="768">
        <f t="shared" si="9"/>
        <v>100</v>
      </c>
      <c r="T42" s="767" t="s">
        <v>17</v>
      </c>
      <c r="U42" s="768">
        <f t="shared" si="10"/>
        <v>100</v>
      </c>
      <c r="V42" s="767" t="s">
        <v>17</v>
      </c>
      <c r="W42" s="768">
        <f t="shared" si="11"/>
        <v>100</v>
      </c>
      <c r="X42" s="1803"/>
      <c r="Y42" s="3236"/>
      <c r="Z42" s="1804" t="str">
        <f t="shared" si="12"/>
        <v>内部装修</v>
      </c>
      <c r="AA42" s="1801">
        <f t="shared" si="3"/>
        <v>1</v>
      </c>
      <c r="AB42" s="1801">
        <f t="shared" si="4"/>
        <v>1</v>
      </c>
      <c r="AC42" s="1801">
        <f t="shared" si="5"/>
        <v>1</v>
      </c>
    </row>
    <row r="43" spans="1:29" ht="15.75" thickBot="1">
      <c r="A43" s="468"/>
      <c r="B43" s="418" t="s">
        <v>2573</v>
      </c>
      <c r="C43" s="2600" t="s">
        <v>3081</v>
      </c>
      <c r="D43" s="431">
        <v>100</v>
      </c>
      <c r="E43" s="2600" t="s">
        <v>3081</v>
      </c>
      <c r="F43" s="457">
        <f>SUMIF(124:124,E43,125:125)-SUMIF(124:124,C43,125:125)+100</f>
        <v>100</v>
      </c>
      <c r="G43" s="2600" t="s">
        <v>3081</v>
      </c>
      <c r="H43" s="431">
        <f>SUMIF(124:124,G43,125:125)-SUMIF(124:124,C43,125:125)+100</f>
        <v>100</v>
      </c>
      <c r="I43" s="2600" t="s">
        <v>3081</v>
      </c>
      <c r="J43" s="431">
        <f>SUMIF(124:124,I43,125:125)-SUMIF(124:124,C43,125:125)+100</f>
        <v>100</v>
      </c>
      <c r="K43" s="608"/>
      <c r="L43" s="1136"/>
      <c r="M43" s="1127"/>
      <c r="N43" s="1127"/>
      <c r="O43" s="1127"/>
      <c r="P43" s="3234"/>
      <c r="Q43" s="1800" t="str">
        <f t="shared" si="8"/>
        <v>内部装修维护情况</v>
      </c>
      <c r="R43" s="767" t="s">
        <v>17</v>
      </c>
      <c r="S43" s="768">
        <f t="shared" si="9"/>
        <v>100</v>
      </c>
      <c r="T43" s="767" t="s">
        <v>17</v>
      </c>
      <c r="U43" s="768">
        <f t="shared" si="10"/>
        <v>100</v>
      </c>
      <c r="V43" s="767" t="s">
        <v>17</v>
      </c>
      <c r="W43" s="768">
        <f t="shared" si="11"/>
        <v>100</v>
      </c>
      <c r="X43" s="1803"/>
      <c r="Y43" s="3236"/>
      <c r="Z43" s="1804" t="str">
        <f t="shared" si="12"/>
        <v>内部装修维护情况</v>
      </c>
      <c r="AA43" s="1801">
        <f t="shared" si="3"/>
        <v>1</v>
      </c>
      <c r="AB43" s="1801">
        <f t="shared" si="4"/>
        <v>1</v>
      </c>
      <c r="AC43" s="1801">
        <f t="shared" si="5"/>
        <v>1</v>
      </c>
    </row>
    <row r="44" spans="1:29" s="116" customFormat="1" ht="15" hidden="1">
      <c r="A44" s="469"/>
      <c r="B44" s="1375">
        <v>111</v>
      </c>
      <c r="C44" s="465"/>
      <c r="D44" s="135">
        <v>100</v>
      </c>
      <c r="E44" s="430"/>
      <c r="F44" s="421">
        <f>SUMIF(126:126,E44,127:127)-SUMIF(126:126,C44,127:127)+100</f>
        <v>100</v>
      </c>
      <c r="G44" s="430"/>
      <c r="H44" s="135">
        <f>SUMIF(126:126,G44,127:127)-SUMIF(126:126,C44,127:127)+100</f>
        <v>100</v>
      </c>
      <c r="I44" s="430"/>
      <c r="J44" s="135">
        <f>SUMIF(126:126,I44,127:127)-SUMIF(126:126,C44,127:127)+100</f>
        <v>100</v>
      </c>
      <c r="K44" s="609"/>
      <c r="L44" s="1128"/>
      <c r="M44" s="1129"/>
      <c r="N44" s="1129"/>
      <c r="O44" s="1129"/>
      <c r="P44" s="3234"/>
      <c r="Q44" s="1785">
        <f t="shared" si="8"/>
        <v>111</v>
      </c>
      <c r="R44" s="763" t="s">
        <v>17</v>
      </c>
      <c r="S44" s="764">
        <f t="shared" si="9"/>
        <v>100</v>
      </c>
      <c r="T44" s="763" t="s">
        <v>17</v>
      </c>
      <c r="U44" s="764">
        <f t="shared" si="10"/>
        <v>100</v>
      </c>
      <c r="V44" s="763" t="s">
        <v>17</v>
      </c>
      <c r="W44" s="764">
        <f t="shared" si="11"/>
        <v>100</v>
      </c>
      <c r="X44" s="765"/>
      <c r="Y44" s="3236"/>
      <c r="Z44" s="55">
        <f t="shared" si="12"/>
        <v>111</v>
      </c>
      <c r="AA44" s="766">
        <f t="shared" si="3"/>
        <v>1</v>
      </c>
      <c r="AB44" s="766">
        <f t="shared" si="4"/>
        <v>1</v>
      </c>
      <c r="AC44" s="766">
        <f t="shared" si="5"/>
        <v>1</v>
      </c>
    </row>
    <row r="45" spans="1:29" ht="15" hidden="1">
      <c r="A45" s="468"/>
      <c r="B45" s="1375">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6"/>
      <c r="M45" s="1127"/>
      <c r="N45" s="1127"/>
      <c r="O45" s="1127"/>
      <c r="P45" s="3234"/>
      <c r="Q45" s="1800">
        <f t="shared" si="8"/>
        <v>111</v>
      </c>
      <c r="R45" s="767" t="s">
        <v>17</v>
      </c>
      <c r="S45" s="768">
        <f t="shared" si="9"/>
        <v>100</v>
      </c>
      <c r="T45" s="767" t="s">
        <v>17</v>
      </c>
      <c r="U45" s="768">
        <f t="shared" si="10"/>
        <v>100</v>
      </c>
      <c r="V45" s="767" t="s">
        <v>17</v>
      </c>
      <c r="W45" s="768">
        <f t="shared" si="11"/>
        <v>100</v>
      </c>
      <c r="X45" s="1803"/>
      <c r="Y45" s="3236"/>
      <c r="Z45" s="1804">
        <f t="shared" si="12"/>
        <v>111</v>
      </c>
      <c r="AA45" s="1801">
        <f t="shared" si="3"/>
        <v>1</v>
      </c>
      <c r="AB45" s="1801">
        <f t="shared" si="4"/>
        <v>1</v>
      </c>
      <c r="AC45" s="1801">
        <f t="shared" si="5"/>
        <v>1</v>
      </c>
    </row>
    <row r="46" spans="1:29" ht="15.75" hidden="1" thickBot="1">
      <c r="A46" s="474"/>
      <c r="B46" s="2589">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6"/>
      <c r="M46" s="1127"/>
      <c r="N46" s="1127"/>
      <c r="O46" s="1127"/>
      <c r="P46" s="3235"/>
      <c r="Q46" s="1800">
        <f t="shared" si="8"/>
        <v>111</v>
      </c>
      <c r="R46" s="767" t="s">
        <v>17</v>
      </c>
      <c r="S46" s="768">
        <f t="shared" si="9"/>
        <v>100</v>
      </c>
      <c r="T46" s="767" t="s">
        <v>17</v>
      </c>
      <c r="U46" s="768">
        <f t="shared" si="10"/>
        <v>100</v>
      </c>
      <c r="V46" s="767" t="s">
        <v>17</v>
      </c>
      <c r="W46" s="768">
        <f t="shared" si="11"/>
        <v>100</v>
      </c>
      <c r="X46" s="1803"/>
      <c r="Y46" s="3237"/>
      <c r="Z46" s="1804">
        <f t="shared" si="12"/>
        <v>111</v>
      </c>
      <c r="AA46" s="1801">
        <f t="shared" si="3"/>
        <v>1</v>
      </c>
      <c r="AB46" s="1801">
        <f t="shared" si="4"/>
        <v>1</v>
      </c>
      <c r="AC46" s="1801">
        <f t="shared" si="5"/>
        <v>1</v>
      </c>
    </row>
    <row r="47" spans="1:29" ht="15">
      <c r="A47" s="475" t="s">
        <v>2574</v>
      </c>
      <c r="B47" s="476"/>
      <c r="C47" s="1396" t="s">
        <v>1</v>
      </c>
      <c r="D47" s="1397"/>
      <c r="E47" s="1398">
        <f>ROUND(20000*0.98,0)</f>
        <v>19600</v>
      </c>
      <c r="F47" s="1399"/>
      <c r="G47" s="1400">
        <f>ROUND(19000*0.97,0)</f>
        <v>18430</v>
      </c>
      <c r="H47" s="1401"/>
      <c r="I47" s="1398">
        <f>ROUND(19000*0.98,0)</f>
        <v>18620</v>
      </c>
      <c r="J47" s="1401"/>
      <c r="K47" s="776"/>
      <c r="L47" s="1139"/>
      <c r="M47" s="1140"/>
      <c r="N47" s="1127"/>
      <c r="O47" s="1140"/>
      <c r="P47" s="3238" t="str">
        <f>A47</f>
        <v>成交单价（元/平方米）</v>
      </c>
      <c r="Q47" s="3238"/>
      <c r="R47" s="3198">
        <f>E47</f>
        <v>19600</v>
      </c>
      <c r="S47" s="3198"/>
      <c r="T47" s="3198">
        <f>G47</f>
        <v>18430</v>
      </c>
      <c r="U47" s="3198"/>
      <c r="V47" s="3198">
        <f>I47</f>
        <v>18620</v>
      </c>
      <c r="W47" s="3198"/>
      <c r="X47" s="752"/>
      <c r="Y47" s="774"/>
      <c r="Z47" s="752"/>
      <c r="AA47" s="752"/>
      <c r="AB47" s="752"/>
      <c r="AC47" s="752"/>
    </row>
    <row r="48" spans="1:29" ht="15.75" thickBot="1">
      <c r="A48" s="482" t="s">
        <v>2666</v>
      </c>
      <c r="B48" s="483"/>
      <c r="C48" s="1402">
        <f>R49</f>
        <v>18883</v>
      </c>
      <c r="D48" s="1403"/>
      <c r="E48" s="1404">
        <f>R48</f>
        <v>19600</v>
      </c>
      <c r="F48" s="1404"/>
      <c r="G48" s="1402">
        <f>T48</f>
        <v>18430</v>
      </c>
      <c r="H48" s="1403"/>
      <c r="I48" s="1404">
        <f>V48</f>
        <v>18620</v>
      </c>
      <c r="J48" s="1403"/>
      <c r="K48" s="777"/>
      <c r="L48" s="1139"/>
      <c r="M48" s="1140"/>
      <c r="N48" s="1127"/>
      <c r="O48" s="1140"/>
      <c r="P48" s="3238" t="str">
        <f>A48</f>
        <v>比较价值（元/平方米）</v>
      </c>
      <c r="Q48" s="3238"/>
      <c r="R48" s="3239">
        <f>IF(F1="售价",ROUND(PRODUCT(R47,AA7:AA46),0),ROUND(PRODUCT(R47,AA7:AA46),1))</f>
        <v>19600</v>
      </c>
      <c r="S48" s="3239"/>
      <c r="T48" s="3239">
        <f>IF(F1="售价",ROUND(PRODUCT(T47,AB7:AB46),0),ROUND(PRODUCT(T47,AB7:AB46),1))</f>
        <v>18430</v>
      </c>
      <c r="U48" s="3239"/>
      <c r="V48" s="3239">
        <f>IF(F1="售价",ROUND(PRODUCT(V47,AC7:AC46),0),ROUND(PRODUCT(V47,AC7:AC46),1))</f>
        <v>18620</v>
      </c>
      <c r="W48" s="3239"/>
      <c r="X48" s="752"/>
      <c r="Y48" s="752"/>
      <c r="Z48" s="752"/>
      <c r="AA48" s="752"/>
      <c r="AB48" s="752"/>
      <c r="AC48" s="752"/>
    </row>
    <row r="49" spans="1:29" ht="15.75" thickBot="1">
      <c r="A49" s="488" t="s">
        <v>2667</v>
      </c>
      <c r="B49" s="489"/>
      <c r="C49" s="1406">
        <f>R49</f>
        <v>18883</v>
      </c>
      <c r="D49" s="1406"/>
      <c r="E49" s="1406"/>
      <c r="F49" s="1406"/>
      <c r="G49" s="1406"/>
      <c r="H49" s="1406"/>
      <c r="I49" s="1406"/>
      <c r="J49" s="1406"/>
      <c r="K49" s="778"/>
      <c r="L49" s="1139"/>
      <c r="M49" s="1140"/>
      <c r="N49" s="1127"/>
      <c r="O49" s="1140"/>
      <c r="P49" s="3240" t="str">
        <f>A49</f>
        <v>估价对象XX用房的比较价值（楼面单价，元/平方米）</v>
      </c>
      <c r="Q49" s="3241"/>
      <c r="R49" s="3242">
        <f>IF(F1="售价",ROUND(AVERAGE(R48:V48),0),ROUND(AVERAGE(R48:V48),1))</f>
        <v>18883</v>
      </c>
      <c r="S49" s="3242"/>
      <c r="T49" s="3242"/>
      <c r="U49" s="3242"/>
      <c r="V49" s="3242"/>
      <c r="W49" s="3242"/>
      <c r="X49" s="752"/>
      <c r="Y49" s="752"/>
      <c r="Z49" s="752"/>
      <c r="AA49" s="752"/>
      <c r="AB49" s="752"/>
      <c r="AC49" s="752"/>
    </row>
    <row r="50" spans="1:29">
      <c r="A50" s="1140"/>
      <c r="B50" s="1140"/>
      <c r="C50" s="1140"/>
      <c r="D50" s="1140"/>
      <c r="E50" s="1140"/>
      <c r="F50" s="1140"/>
      <c r="G50" s="1143"/>
      <c r="H50" s="1140"/>
      <c r="I50" s="1140"/>
      <c r="J50" s="1140"/>
      <c r="K50" s="1101"/>
      <c r="L50" s="1102"/>
      <c r="M50" s="1140"/>
      <c r="N50" s="1140"/>
      <c r="O50" s="1140"/>
      <c r="P50" s="670"/>
      <c r="Q50" s="752"/>
      <c r="R50" s="752"/>
      <c r="S50" s="752"/>
      <c r="T50" s="752"/>
      <c r="U50" s="752"/>
      <c r="V50" s="752"/>
      <c r="W50" s="752"/>
      <c r="X50" s="752"/>
      <c r="Y50" s="752"/>
      <c r="Z50" s="752"/>
      <c r="AA50" s="752"/>
      <c r="AB50" s="752"/>
      <c r="AC50" s="752"/>
    </row>
    <row r="51" spans="1:29">
      <c r="A51" s="1140"/>
      <c r="B51" s="1140"/>
      <c r="C51" s="1140"/>
      <c r="D51" s="1140"/>
      <c r="E51" s="1140"/>
      <c r="F51" s="1140"/>
      <c r="G51" s="1140"/>
      <c r="H51" s="1140"/>
      <c r="I51" s="1140"/>
      <c r="J51" s="1140"/>
      <c r="K51" s="1101"/>
      <c r="L51" s="1102"/>
      <c r="M51" s="1140"/>
      <c r="N51" s="1140"/>
      <c r="O51" s="1140"/>
      <c r="P51" s="670"/>
      <c r="Q51" s="752"/>
      <c r="R51" s="752"/>
      <c r="S51" s="752"/>
      <c r="T51" s="752"/>
      <c r="U51" s="752"/>
      <c r="V51" s="752"/>
      <c r="W51" s="752"/>
      <c r="X51" s="752"/>
      <c r="Y51" s="752"/>
      <c r="Z51" s="752"/>
      <c r="AA51" s="752"/>
      <c r="AB51" s="752"/>
      <c r="AC51" s="752"/>
    </row>
    <row r="52" spans="1:29" ht="13.5" customHeight="1">
      <c r="A52" s="1140"/>
      <c r="B52" s="1140"/>
      <c r="C52" s="493" t="s">
        <v>2668</v>
      </c>
      <c r="D52" s="494"/>
      <c r="E52" s="495">
        <f>IF(E47&lt;E48,E48/E47-1,E47/E48-1)</f>
        <v>0</v>
      </c>
      <c r="F52" s="496" t="str">
        <f>IF(OR(E52&gt;=0.3,E52&lt;=-0.3),"超过30%","")</f>
        <v/>
      </c>
      <c r="G52" s="495">
        <f>IF(G47&lt;G48,G48/G47-1,G47/G48-1)</f>
        <v>0</v>
      </c>
      <c r="H52" s="496" t="str">
        <f>IF(OR(G52&gt;=0.3,G52&lt;=-0.3),"超过30%","")</f>
        <v/>
      </c>
      <c r="I52" s="495">
        <f>IF(I47&lt;I48,I48/I47-1,I47/I48-1)</f>
        <v>0</v>
      </c>
      <c r="J52" s="496" t="str">
        <f>IF(OR(I52&gt;=0.3,I52&lt;=-0.3),"超过30%","")</f>
        <v/>
      </c>
      <c r="K52" s="1101"/>
      <c r="L52" s="1102"/>
      <c r="M52" s="1140"/>
      <c r="N52" s="1140"/>
      <c r="O52" s="1140"/>
      <c r="P52" s="670"/>
      <c r="Q52" s="752"/>
      <c r="R52" s="752"/>
      <c r="S52" s="752"/>
      <c r="T52" s="752"/>
      <c r="U52" s="752"/>
      <c r="V52" s="752"/>
      <c r="W52" s="752"/>
      <c r="X52" s="752"/>
      <c r="Y52" s="752"/>
      <c r="Z52" s="752"/>
      <c r="AA52" s="752"/>
      <c r="AB52" s="752"/>
      <c r="AC52" s="752"/>
    </row>
    <row r="53" spans="1:29" ht="13.5" customHeight="1">
      <c r="A53" s="1140"/>
      <c r="B53" s="1140"/>
      <c r="C53" s="493" t="s">
        <v>2669</v>
      </c>
      <c r="D53" s="497"/>
      <c r="E53" s="495">
        <f>IF(E48&lt;G48,G48/E48-1,E48/G48-1)</f>
        <v>6.3483450895279514E-2</v>
      </c>
      <c r="F53" s="496" t="str">
        <f>IF(OR(E53&gt;=0.2,E53&lt;=-0.2),"超过20%","")</f>
        <v/>
      </c>
      <c r="G53" s="495">
        <f>IF(G48&lt;I48,I48/G48-1,G48/I48-1)</f>
        <v>1.0309278350515427E-2</v>
      </c>
      <c r="H53" s="496" t="str">
        <f>IF(OR(G53&gt;=0.2,G53&lt;=-0.2),"超过20%","")</f>
        <v/>
      </c>
      <c r="I53" s="495">
        <f>IF(I48&lt;E48,E48/I48-1,I48/E48-1)</f>
        <v>5.2631578947368363E-2</v>
      </c>
      <c r="J53" s="496" t="str">
        <f>IF(OR(I53&gt;=0.2,I53&lt;=-0.2),"超过20%","")</f>
        <v/>
      </c>
      <c r="K53" s="1101"/>
      <c r="L53" s="1102"/>
      <c r="M53" s="1140"/>
      <c r="N53" s="1140"/>
      <c r="O53" s="1140"/>
      <c r="P53" s="670"/>
      <c r="Q53" s="752"/>
      <c r="R53" s="752"/>
      <c r="S53" s="752"/>
      <c r="T53" s="752"/>
      <c r="U53" s="752"/>
      <c r="V53" s="752"/>
      <c r="W53" s="752"/>
      <c r="X53" s="752"/>
      <c r="Y53" s="752"/>
      <c r="Z53" s="752"/>
      <c r="AA53" s="752"/>
      <c r="AB53" s="752"/>
      <c r="AC53" s="752"/>
    </row>
    <row r="54" spans="1:29" s="498" customFormat="1" ht="13.5" customHeight="1">
      <c r="A54" s="1141"/>
      <c r="B54" s="1141"/>
      <c r="C54" s="493" t="s">
        <v>2670</v>
      </c>
      <c r="D54" s="497"/>
      <c r="E54" s="495">
        <f>IF(E47&lt;G47,G47/E47-1,E47/G47-1)</f>
        <v>6.3483450895279514E-2</v>
      </c>
      <c r="F54" s="496" t="str">
        <f>IF(OR(E54&gt;=0.3,E54&lt;=-0.3),"超过30%","")</f>
        <v/>
      </c>
      <c r="G54" s="495">
        <f>IF(G47&lt;I47,I47/G47-1,G47/I47-1)</f>
        <v>1.0309278350515427E-2</v>
      </c>
      <c r="H54" s="496" t="str">
        <f>IF(OR(G54&gt;=0.3,G54&lt;=-0.3),"超过30%","")</f>
        <v/>
      </c>
      <c r="I54" s="495">
        <f>IF(I47&lt;E47,E47/I47-1,I47/E47-1)</f>
        <v>5.2631578947368363E-2</v>
      </c>
      <c r="J54" s="496" t="str">
        <f>IF(OR(I54&gt;=0.3,I54&lt;=-0.3),"超过30%","")</f>
        <v/>
      </c>
      <c r="K54" s="1144"/>
      <c r="L54" s="1145"/>
      <c r="M54" s="1141"/>
      <c r="N54" s="1141"/>
      <c r="O54" s="1141"/>
      <c r="P54" s="2653"/>
      <c r="Q54" s="753"/>
      <c r="R54" s="753"/>
      <c r="S54" s="753"/>
      <c r="T54" s="753"/>
      <c r="U54" s="753"/>
      <c r="V54" s="753"/>
      <c r="W54" s="753"/>
      <c r="X54" s="753"/>
      <c r="Y54" s="753"/>
      <c r="Z54" s="753"/>
      <c r="AA54" s="753"/>
      <c r="AB54" s="753"/>
      <c r="AC54" s="753"/>
    </row>
    <row r="55" spans="1:29" s="498" customFormat="1">
      <c r="A55" s="1141"/>
      <c r="B55" s="1142"/>
      <c r="C55" s="1146"/>
      <c r="D55" s="1141"/>
      <c r="E55" s="1141"/>
      <c r="F55" s="1141"/>
      <c r="G55" s="1141"/>
      <c r="H55" s="1141"/>
      <c r="I55" s="1141"/>
      <c r="J55" s="1141"/>
      <c r="K55" s="1144"/>
      <c r="L55" s="1145"/>
      <c r="M55" s="1141"/>
      <c r="N55" s="1141"/>
      <c r="O55" s="1141"/>
      <c r="P55" s="2653"/>
      <c r="Q55" s="753"/>
      <c r="R55" s="753"/>
      <c r="S55" s="753"/>
      <c r="T55" s="753"/>
      <c r="U55" s="753"/>
      <c r="V55" s="753"/>
      <c r="W55" s="753"/>
      <c r="X55" s="753"/>
      <c r="Y55" s="753"/>
      <c r="Z55" s="753"/>
      <c r="AA55" s="753"/>
      <c r="AB55" s="753"/>
      <c r="AC55" s="753"/>
    </row>
    <row r="56" spans="1:29">
      <c r="A56" s="1140"/>
      <c r="B56" s="1142"/>
      <c r="C56" s="1146"/>
      <c r="D56" s="1140"/>
      <c r="E56" s="1140"/>
      <c r="F56" s="1140"/>
      <c r="G56" s="1140"/>
      <c r="H56" s="1140"/>
      <c r="I56" s="1140"/>
      <c r="J56" s="1140"/>
      <c r="K56" s="1101"/>
      <c r="L56" s="1102"/>
      <c r="M56" s="1140"/>
      <c r="N56" s="1140"/>
      <c r="O56" s="1140"/>
      <c r="P56" s="670"/>
      <c r="Q56" s="752"/>
      <c r="R56" s="752"/>
      <c r="S56" s="752"/>
      <c r="T56" s="752"/>
      <c r="U56" s="752"/>
      <c r="V56" s="752"/>
      <c r="W56" s="752"/>
      <c r="X56" s="752"/>
      <c r="Y56" s="752"/>
      <c r="Z56" s="752"/>
      <c r="AA56" s="752"/>
      <c r="AB56" s="752"/>
      <c r="AC56" s="752"/>
    </row>
    <row r="57" spans="1:29" ht="21.75" thickBot="1">
      <c r="A57" s="756" t="s">
        <v>2671</v>
      </c>
      <c r="B57" s="752"/>
      <c r="C57" s="757"/>
      <c r="D57" s="757"/>
      <c r="E57" s="757"/>
      <c r="F57" s="758"/>
      <c r="G57" s="758"/>
      <c r="H57" s="757"/>
      <c r="I57" s="757"/>
      <c r="J57" s="757"/>
      <c r="K57" s="759"/>
      <c r="L57" s="1157"/>
      <c r="M57" s="1155"/>
      <c r="N57" s="1155"/>
      <c r="O57" s="1155"/>
      <c r="P57" s="2654"/>
      <c r="Q57" s="2655"/>
      <c r="R57" s="752"/>
      <c r="S57" s="752"/>
      <c r="T57" s="752"/>
      <c r="U57" s="752"/>
      <c r="V57" s="752"/>
      <c r="W57" s="752"/>
      <c r="X57" s="752"/>
      <c r="Y57" s="752"/>
      <c r="Z57" s="752"/>
      <c r="AA57" s="752"/>
      <c r="AB57" s="752"/>
      <c r="AC57" s="752"/>
    </row>
    <row r="58" spans="1:29" s="504" customFormat="1" ht="15">
      <c r="A58" s="501" t="s">
        <v>2545</v>
      </c>
      <c r="B58" s="502"/>
      <c r="C58" s="1564" t="str">
        <f>YEAR(C7)&amp;"-"&amp;MONTH(C7)</f>
        <v>2017-10</v>
      </c>
      <c r="D58" s="1565">
        <f>EDATE(C58,-1)</f>
        <v>42979</v>
      </c>
      <c r="E58" s="1565">
        <f t="shared" ref="E58:N58" si="13">EDATE(D58,-1)</f>
        <v>42948</v>
      </c>
      <c r="F58" s="1565">
        <f t="shared" si="13"/>
        <v>42917</v>
      </c>
      <c r="G58" s="1565">
        <f t="shared" si="13"/>
        <v>42887</v>
      </c>
      <c r="H58" s="1565">
        <f t="shared" si="13"/>
        <v>42856</v>
      </c>
      <c r="I58" s="1565">
        <f t="shared" si="13"/>
        <v>42826</v>
      </c>
      <c r="J58" s="1565">
        <f t="shared" si="13"/>
        <v>42795</v>
      </c>
      <c r="K58" s="1565">
        <f t="shared" si="13"/>
        <v>42767</v>
      </c>
      <c r="L58" s="1565">
        <f t="shared" si="13"/>
        <v>42736</v>
      </c>
      <c r="M58" s="1565">
        <f t="shared" si="13"/>
        <v>42705</v>
      </c>
      <c r="N58" s="1565">
        <f t="shared" si="13"/>
        <v>42675</v>
      </c>
      <c r="O58" s="1565">
        <f>EDATE(N58,-1)</f>
        <v>42644</v>
      </c>
      <c r="P58" s="1560"/>
    </row>
    <row r="59" spans="1:29" s="116" customFormat="1" ht="15">
      <c r="A59" s="505"/>
      <c r="B59" s="506"/>
      <c r="C59" s="1563">
        <v>100</v>
      </c>
      <c r="D59" s="508">
        <v>100</v>
      </c>
      <c r="E59" s="508"/>
      <c r="F59" s="508"/>
      <c r="G59" s="508"/>
      <c r="H59" s="508"/>
      <c r="I59" s="508"/>
      <c r="J59" s="508"/>
      <c r="K59" s="508"/>
      <c r="L59" s="508"/>
      <c r="M59" s="509"/>
      <c r="N59" s="508"/>
      <c r="O59" s="509"/>
      <c r="P59" s="2615"/>
    </row>
    <row r="60" spans="1:29" s="116" customFormat="1" ht="15.75" thickBot="1">
      <c r="A60" s="511" t="s">
        <v>2582</v>
      </c>
      <c r="B60" s="512"/>
      <c r="C60" s="513"/>
      <c r="D60" s="514"/>
      <c r="E60" s="514"/>
      <c r="F60" s="514"/>
      <c r="G60" s="514"/>
      <c r="H60" s="514"/>
      <c r="I60" s="514"/>
      <c r="J60" s="514"/>
      <c r="K60" s="514"/>
      <c r="L60" s="514"/>
      <c r="M60" s="515"/>
      <c r="N60" s="514"/>
      <c r="O60" s="515"/>
      <c r="P60" s="2615"/>
      <c r="Q60" s="500"/>
    </row>
    <row r="61" spans="1:29" s="116" customFormat="1" ht="15">
      <c r="A61" s="517" t="s">
        <v>2547</v>
      </c>
      <c r="B61" s="506"/>
      <c r="C61" s="518" t="s">
        <v>2649</v>
      </c>
      <c r="D61" s="519"/>
      <c r="E61" s="519"/>
      <c r="F61" s="519"/>
      <c r="G61" s="519"/>
      <c r="H61" s="519"/>
      <c r="I61" s="519"/>
      <c r="J61" s="519"/>
      <c r="K61" s="519"/>
      <c r="L61" s="520"/>
      <c r="M61" s="521"/>
      <c r="N61" s="1147"/>
      <c r="O61" s="1147"/>
      <c r="P61" s="2616"/>
      <c r="Q61" s="500"/>
    </row>
    <row r="62" spans="1:29" s="116" customFormat="1" ht="15.75" thickBot="1">
      <c r="A62" s="517"/>
      <c r="B62" s="506"/>
      <c r="C62" s="507">
        <v>100</v>
      </c>
      <c r="D62" s="508"/>
      <c r="E62" s="508"/>
      <c r="F62" s="508"/>
      <c r="G62" s="508"/>
      <c r="H62" s="508"/>
      <c r="I62" s="508"/>
      <c r="J62" s="508"/>
      <c r="K62" s="508"/>
      <c r="L62" s="508"/>
      <c r="M62" s="510"/>
      <c r="N62" s="1147"/>
      <c r="O62" s="1147"/>
      <c r="P62" s="2615"/>
      <c r="Q62" s="500"/>
    </row>
    <row r="63" spans="1:29">
      <c r="A63" s="523" t="s">
        <v>2585</v>
      </c>
      <c r="B63" s="524" t="s">
        <v>2551</v>
      </c>
      <c r="C63" s="525" t="str">
        <f>C9</f>
        <v>商业</v>
      </c>
      <c r="D63" s="2927" t="s">
        <v>3077</v>
      </c>
      <c r="E63" s="526"/>
      <c r="F63" s="526"/>
      <c r="G63" s="526"/>
      <c r="H63" s="526"/>
      <c r="I63" s="526"/>
      <c r="J63" s="526"/>
      <c r="K63" s="527"/>
      <c r="L63" s="528"/>
      <c r="M63" s="529"/>
      <c r="N63" s="1148"/>
      <c r="O63" s="1148"/>
      <c r="P63" s="2617"/>
      <c r="Q63" s="500"/>
    </row>
    <row r="64" spans="1:29" ht="15.75" thickBot="1">
      <c r="A64" s="530"/>
      <c r="B64" s="531"/>
      <c r="C64" s="532">
        <v>100</v>
      </c>
      <c r="D64" s="532">
        <v>100</v>
      </c>
      <c r="E64" s="532"/>
      <c r="F64" s="532"/>
      <c r="G64" s="532"/>
      <c r="H64" s="532"/>
      <c r="I64" s="532"/>
      <c r="J64" s="532"/>
      <c r="K64" s="532"/>
      <c r="L64" s="532"/>
      <c r="M64" s="533"/>
      <c r="N64" s="1149"/>
      <c r="O64" s="1149"/>
      <c r="P64" s="2617"/>
      <c r="Q64" s="500"/>
    </row>
    <row r="65" spans="1:17" ht="27.75" thickTop="1">
      <c r="A65" s="530"/>
      <c r="B65" s="534" t="s">
        <v>2554</v>
      </c>
      <c r="C65" s="535" t="s">
        <v>2586</v>
      </c>
      <c r="D65" s="535" t="s">
        <v>2587</v>
      </c>
      <c r="E65" s="535" t="s">
        <v>2588</v>
      </c>
      <c r="F65" s="535" t="s">
        <v>2589</v>
      </c>
      <c r="G65" s="535" t="s">
        <v>2590</v>
      </c>
      <c r="H65" s="535" t="s">
        <v>2591</v>
      </c>
      <c r="I65" s="535" t="s">
        <v>2592</v>
      </c>
      <c r="J65" s="535"/>
      <c r="K65" s="536"/>
      <c r="L65" s="537"/>
      <c r="M65" s="538"/>
      <c r="N65" s="1148"/>
      <c r="O65" s="1148"/>
      <c r="P65" s="2617"/>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49"/>
      <c r="O66" s="1149"/>
      <c r="P66" s="2617"/>
      <c r="Q66" s="500"/>
    </row>
    <row r="67" spans="1:17" ht="15.75" thickTop="1">
      <c r="A67" s="530"/>
      <c r="B67" s="542" t="s">
        <v>2555</v>
      </c>
      <c r="C67" s="543" t="str">
        <f>C68&amp;"（含）"&amp;"-"&amp;D68</f>
        <v>0（含）-2</v>
      </c>
      <c r="D67" s="543" t="str">
        <f t="shared" ref="D67:L67" si="14">D68&amp;"（含）"&amp;"-"&amp;E68</f>
        <v>2（含）-4</v>
      </c>
      <c r="E67" s="543" t="str">
        <f t="shared" si="14"/>
        <v>4（含）-6</v>
      </c>
      <c r="F67" s="543" t="str">
        <f t="shared" si="14"/>
        <v>6（含）-8</v>
      </c>
      <c r="G67" s="543" t="str">
        <f t="shared" si="14"/>
        <v>8（含）-10</v>
      </c>
      <c r="H67" s="543" t="str">
        <f t="shared" si="14"/>
        <v>10（含）-</v>
      </c>
      <c r="I67" s="543" t="str">
        <f t="shared" si="14"/>
        <v>（含）-</v>
      </c>
      <c r="J67" s="543" t="str">
        <f t="shared" si="14"/>
        <v>（含）-</v>
      </c>
      <c r="K67" s="543" t="str">
        <f t="shared" si="14"/>
        <v>（含）-</v>
      </c>
      <c r="L67" s="543" t="str">
        <f t="shared" si="14"/>
        <v>（含）-</v>
      </c>
      <c r="M67" s="444" t="str">
        <f>M68&amp;"（含）"&amp;"-"&amp;P68</f>
        <v>（含）-</v>
      </c>
      <c r="N67" s="1149"/>
      <c r="O67" s="1149"/>
      <c r="P67" s="2617"/>
      <c r="Q67" s="500"/>
    </row>
    <row r="68" spans="1:17" ht="15">
      <c r="A68" s="530"/>
      <c r="B68" s="544"/>
      <c r="C68" s="545">
        <v>0</v>
      </c>
      <c r="D68" s="545">
        <v>2</v>
      </c>
      <c r="E68" s="545">
        <v>4</v>
      </c>
      <c r="F68" s="545">
        <v>6</v>
      </c>
      <c r="G68" s="545">
        <v>8</v>
      </c>
      <c r="H68" s="545">
        <v>10</v>
      </c>
      <c r="I68" s="545"/>
      <c r="J68" s="545"/>
      <c r="K68" s="546"/>
      <c r="L68" s="547"/>
      <c r="M68" s="548"/>
      <c r="N68" s="1148"/>
      <c r="O68" s="1148"/>
      <c r="P68" s="2617"/>
      <c r="Q68" s="500"/>
    </row>
    <row r="69" spans="1:17" ht="15.75" thickBot="1">
      <c r="A69" s="530"/>
      <c r="B69" s="531"/>
      <c r="C69" s="540">
        <v>100</v>
      </c>
      <c r="D69" s="540">
        <f t="shared" ref="D69:M69" si="15">C69-$K11</f>
        <v>100</v>
      </c>
      <c r="E69" s="540">
        <f t="shared" si="15"/>
        <v>100</v>
      </c>
      <c r="F69" s="540">
        <f t="shared" si="15"/>
        <v>100</v>
      </c>
      <c r="G69" s="540">
        <f t="shared" si="15"/>
        <v>100</v>
      </c>
      <c r="H69" s="540">
        <f t="shared" si="15"/>
        <v>100</v>
      </c>
      <c r="I69" s="540">
        <f t="shared" si="15"/>
        <v>100</v>
      </c>
      <c r="J69" s="540">
        <f t="shared" si="15"/>
        <v>100</v>
      </c>
      <c r="K69" s="540">
        <f t="shared" si="15"/>
        <v>100</v>
      </c>
      <c r="L69" s="540">
        <f t="shared" si="15"/>
        <v>100</v>
      </c>
      <c r="M69" s="541">
        <f t="shared" si="15"/>
        <v>100</v>
      </c>
      <c r="N69" s="1149"/>
      <c r="O69" s="1149"/>
      <c r="P69" s="2617"/>
      <c r="Q69" s="500"/>
    </row>
    <row r="70" spans="1:17" s="467" customFormat="1" ht="15.75" hidden="1" thickTop="1">
      <c r="A70" s="549"/>
      <c r="B70" s="534">
        <f>B12</f>
        <v>111</v>
      </c>
      <c r="C70" s="550"/>
      <c r="D70" s="550"/>
      <c r="E70" s="550"/>
      <c r="F70" s="550"/>
      <c r="G70" s="550"/>
      <c r="H70" s="551"/>
      <c r="I70" s="551"/>
      <c r="J70" s="551"/>
      <c r="K70" s="551"/>
      <c r="L70" s="552"/>
      <c r="M70" s="553"/>
      <c r="N70" s="1150"/>
      <c r="O70" s="1150"/>
      <c r="P70" s="2618"/>
      <c r="Q70" s="555"/>
    </row>
    <row r="71" spans="1:17" s="467" customFormat="1" ht="15.75" hidden="1" thickBot="1">
      <c r="A71" s="549"/>
      <c r="B71" s="539"/>
      <c r="C71" s="556"/>
      <c r="D71" s="532"/>
      <c r="E71" s="532"/>
      <c r="F71" s="532"/>
      <c r="G71" s="532"/>
      <c r="H71" s="532"/>
      <c r="I71" s="532"/>
      <c r="J71" s="532"/>
      <c r="K71" s="532"/>
      <c r="L71" s="532"/>
      <c r="M71" s="533"/>
      <c r="N71" s="1149"/>
      <c r="O71" s="1149"/>
      <c r="P71" s="2618"/>
      <c r="Q71" s="555"/>
    </row>
    <row r="72" spans="1:17" s="467" customFormat="1" ht="15.75" hidden="1" thickTop="1">
      <c r="A72" s="549"/>
      <c r="B72" s="534">
        <f>B13</f>
        <v>111</v>
      </c>
      <c r="C72" s="550"/>
      <c r="D72" s="550"/>
      <c r="E72" s="550"/>
      <c r="F72" s="550"/>
      <c r="G72" s="550"/>
      <c r="H72" s="551"/>
      <c r="I72" s="551"/>
      <c r="J72" s="551"/>
      <c r="K72" s="551"/>
      <c r="L72" s="552"/>
      <c r="M72" s="553"/>
      <c r="N72" s="1150"/>
      <c r="O72" s="1150"/>
      <c r="P72" s="2619"/>
      <c r="Q72" s="557"/>
    </row>
    <row r="73" spans="1:17" s="467" customFormat="1" ht="15.75" hidden="1" thickBot="1">
      <c r="A73" s="549"/>
      <c r="B73" s="539"/>
      <c r="C73" s="556"/>
      <c r="D73" s="532"/>
      <c r="E73" s="532"/>
      <c r="F73" s="532"/>
      <c r="G73" s="556"/>
      <c r="H73" s="558"/>
      <c r="I73" s="558"/>
      <c r="J73" s="558"/>
      <c r="K73" s="558"/>
      <c r="L73" s="558"/>
      <c r="M73" s="559"/>
      <c r="N73" s="1150"/>
      <c r="O73" s="1150"/>
      <c r="P73" s="2618"/>
      <c r="Q73" s="555"/>
    </row>
    <row r="74" spans="1:17" s="467" customFormat="1" ht="15.75" hidden="1" thickTop="1">
      <c r="A74" s="549"/>
      <c r="B74" s="542">
        <f>B14</f>
        <v>111</v>
      </c>
      <c r="C74" s="550"/>
      <c r="D74" s="550"/>
      <c r="E74" s="550"/>
      <c r="F74" s="550"/>
      <c r="G74" s="519"/>
      <c r="H74" s="560"/>
      <c r="I74" s="560"/>
      <c r="J74" s="560"/>
      <c r="K74" s="560"/>
      <c r="L74" s="561"/>
      <c r="M74" s="562"/>
      <c r="N74" s="1150"/>
      <c r="O74" s="1150"/>
      <c r="P74" s="2620"/>
      <c r="Q74" s="555"/>
    </row>
    <row r="75" spans="1:17" s="467" customFormat="1" ht="15.75" hidden="1" thickBot="1">
      <c r="A75" s="564"/>
      <c r="B75" s="565"/>
      <c r="C75" s="566"/>
      <c r="D75" s="566"/>
      <c r="E75" s="566"/>
      <c r="F75" s="566"/>
      <c r="G75" s="566"/>
      <c r="H75" s="567"/>
      <c r="I75" s="567"/>
      <c r="J75" s="567"/>
      <c r="K75" s="567"/>
      <c r="L75" s="567"/>
      <c r="M75" s="568"/>
      <c r="N75" s="1150"/>
      <c r="O75" s="1150"/>
      <c r="P75" s="2618"/>
      <c r="Q75" s="555"/>
    </row>
    <row r="76" spans="1:17" ht="15" thickTop="1">
      <c r="A76" s="523" t="s">
        <v>2556</v>
      </c>
      <c r="B76" s="524" t="s">
        <v>2593</v>
      </c>
      <c r="C76" s="569" t="s">
        <v>2594</v>
      </c>
      <c r="D76" s="569" t="s">
        <v>2595</v>
      </c>
      <c r="E76" s="569" t="s">
        <v>2596</v>
      </c>
      <c r="F76" s="569" t="s">
        <v>2597</v>
      </c>
      <c r="G76" s="569" t="s">
        <v>2598</v>
      </c>
      <c r="H76" s="525"/>
      <c r="I76" s="525"/>
      <c r="J76" s="525"/>
      <c r="K76" s="570"/>
      <c r="L76" s="571"/>
      <c r="M76" s="572"/>
      <c r="N76" s="1148"/>
      <c r="O76" s="1148"/>
      <c r="P76" s="2621"/>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9"/>
      <c r="O77" s="1149"/>
      <c r="P77" s="2617"/>
      <c r="Q77" s="500"/>
    </row>
    <row r="78" spans="1:17" ht="15.75" thickTop="1">
      <c r="A78" s="530"/>
      <c r="B78" s="534" t="s">
        <v>2599</v>
      </c>
      <c r="C78" s="574" t="s">
        <v>2594</v>
      </c>
      <c r="D78" s="574" t="s">
        <v>2595</v>
      </c>
      <c r="E78" s="574" t="s">
        <v>2596</v>
      </c>
      <c r="F78" s="574" t="s">
        <v>2597</v>
      </c>
      <c r="G78" s="574" t="s">
        <v>2598</v>
      </c>
      <c r="H78" s="535"/>
      <c r="I78" s="535"/>
      <c r="J78" s="535"/>
      <c r="K78" s="536"/>
      <c r="L78" s="537"/>
      <c r="M78" s="538"/>
      <c r="N78" s="1148"/>
      <c r="O78" s="1148"/>
      <c r="P78" s="2617"/>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9"/>
      <c r="O79" s="1149"/>
      <c r="P79" s="2617"/>
      <c r="Q79" s="500"/>
    </row>
    <row r="80" spans="1:17" ht="15.75" thickTop="1">
      <c r="A80" s="530"/>
      <c r="B80" s="534" t="s">
        <v>2600</v>
      </c>
      <c r="C80" s="574" t="s">
        <v>2594</v>
      </c>
      <c r="D80" s="574" t="s">
        <v>2595</v>
      </c>
      <c r="E80" s="574" t="s">
        <v>2596</v>
      </c>
      <c r="F80" s="574" t="s">
        <v>2597</v>
      </c>
      <c r="G80" s="574" t="s">
        <v>2598</v>
      </c>
      <c r="H80" s="535"/>
      <c r="I80" s="535"/>
      <c r="J80" s="535"/>
      <c r="K80" s="536"/>
      <c r="L80" s="537"/>
      <c r="M80" s="538"/>
      <c r="N80" s="1148"/>
      <c r="O80" s="1148"/>
      <c r="P80" s="2617"/>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9"/>
      <c r="O81" s="1149"/>
      <c r="P81" s="2617"/>
      <c r="Q81" s="500"/>
    </row>
    <row r="82" spans="1:17" ht="15.75" thickTop="1">
      <c r="A82" s="530"/>
      <c r="B82" s="542" t="s">
        <v>2652</v>
      </c>
      <c r="C82" s="655" t="s">
        <v>2672</v>
      </c>
      <c r="D82" s="655" t="s">
        <v>2673</v>
      </c>
      <c r="E82" s="655" t="s">
        <v>2674</v>
      </c>
      <c r="F82" s="655" t="s">
        <v>2675</v>
      </c>
      <c r="G82" s="655" t="s">
        <v>2676</v>
      </c>
      <c r="H82" s="535"/>
      <c r="I82" s="535"/>
      <c r="J82" s="535"/>
      <c r="K82" s="535"/>
      <c r="L82" s="535"/>
      <c r="M82" s="1371"/>
      <c r="N82" s="1149"/>
      <c r="O82" s="1149"/>
      <c r="P82" s="2617"/>
      <c r="Q82" s="500"/>
    </row>
    <row r="83" spans="1:17" ht="15.75" thickBot="1">
      <c r="A83" s="530"/>
      <c r="B83" s="542"/>
      <c r="C83" s="540">
        <v>100</v>
      </c>
      <c r="D83" s="540">
        <f>C83-$K21</f>
        <v>100</v>
      </c>
      <c r="E83" s="540">
        <f>D83-$K21</f>
        <v>100</v>
      </c>
      <c r="F83" s="540">
        <f>E83-$K21</f>
        <v>100</v>
      </c>
      <c r="G83" s="540">
        <f>F83-$K21</f>
        <v>100</v>
      </c>
      <c r="H83" s="655"/>
      <c r="I83" s="655"/>
      <c r="J83" s="655"/>
      <c r="K83" s="655"/>
      <c r="L83" s="655"/>
      <c r="M83" s="446"/>
      <c r="N83" s="1149"/>
      <c r="O83" s="1149"/>
      <c r="P83" s="2617"/>
      <c r="Q83" s="500"/>
    </row>
    <row r="84" spans="1:17" ht="15.75" thickTop="1">
      <c r="A84" s="530"/>
      <c r="B84" s="534" t="s">
        <v>2606</v>
      </c>
      <c r="C84" s="574" t="s">
        <v>2594</v>
      </c>
      <c r="D84" s="574" t="s">
        <v>2595</v>
      </c>
      <c r="E84" s="574" t="s">
        <v>2596</v>
      </c>
      <c r="F84" s="574" t="s">
        <v>2597</v>
      </c>
      <c r="G84" s="574" t="s">
        <v>2598</v>
      </c>
      <c r="H84" s="535"/>
      <c r="I84" s="535"/>
      <c r="J84" s="535"/>
      <c r="K84" s="536"/>
      <c r="L84" s="537"/>
      <c r="M84" s="538"/>
      <c r="N84" s="1148"/>
      <c r="O84" s="1148"/>
      <c r="P84" s="2617"/>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9"/>
      <c r="O85" s="1149"/>
      <c r="P85" s="2617"/>
      <c r="Q85" s="500"/>
    </row>
    <row r="86" spans="1:17" s="116" customFormat="1" ht="15.75" thickTop="1">
      <c r="A86" s="575"/>
      <c r="B86" s="534" t="s">
        <v>2677</v>
      </c>
      <c r="C86" s="2925" t="s">
        <v>3083</v>
      </c>
      <c r="D86" s="2925" t="s">
        <v>3084</v>
      </c>
      <c r="E86" s="2925" t="s">
        <v>3086</v>
      </c>
      <c r="F86" s="550"/>
      <c r="G86" s="550"/>
      <c r="H86" s="550"/>
      <c r="I86" s="550"/>
      <c r="J86" s="550"/>
      <c r="K86" s="550"/>
      <c r="L86" s="576"/>
      <c r="M86" s="577"/>
      <c r="N86" s="1147"/>
      <c r="O86" s="1147"/>
      <c r="P86" s="2617"/>
      <c r="Q86" s="500"/>
    </row>
    <row r="87" spans="1:17" s="116" customFormat="1" ht="15.75" thickBot="1">
      <c r="A87" s="575"/>
      <c r="B87" s="539"/>
      <c r="C87" s="578">
        <v>100</v>
      </c>
      <c r="D87" s="540">
        <f t="shared" ref="D87:M87" si="16">C87-$K25</f>
        <v>100</v>
      </c>
      <c r="E87" s="540">
        <f t="shared" si="16"/>
        <v>100</v>
      </c>
      <c r="F87" s="540">
        <f t="shared" si="16"/>
        <v>100</v>
      </c>
      <c r="G87" s="540">
        <f t="shared" si="16"/>
        <v>100</v>
      </c>
      <c r="H87" s="540">
        <f t="shared" si="16"/>
        <v>100</v>
      </c>
      <c r="I87" s="540">
        <f t="shared" si="16"/>
        <v>100</v>
      </c>
      <c r="J87" s="540">
        <f t="shared" si="16"/>
        <v>100</v>
      </c>
      <c r="K87" s="540">
        <f t="shared" si="16"/>
        <v>100</v>
      </c>
      <c r="L87" s="540">
        <f t="shared" si="16"/>
        <v>100</v>
      </c>
      <c r="M87" s="540">
        <f t="shared" si="16"/>
        <v>100</v>
      </c>
      <c r="N87" s="1149"/>
      <c r="O87" s="1149"/>
      <c r="P87" s="2617"/>
      <c r="Q87" s="500"/>
    </row>
    <row r="88" spans="1:17" s="116" customFormat="1" ht="15.75" thickTop="1">
      <c r="A88" s="575"/>
      <c r="B88" s="534" t="str">
        <f>B26</f>
        <v>平面位置/可视性</v>
      </c>
      <c r="C88" s="2926" t="s">
        <v>2594</v>
      </c>
      <c r="D88" s="2926" t="s">
        <v>2595</v>
      </c>
      <c r="E88" s="2926" t="s">
        <v>2596</v>
      </c>
      <c r="F88" s="2926" t="s">
        <v>2597</v>
      </c>
      <c r="G88" s="2926" t="s">
        <v>2598</v>
      </c>
      <c r="H88" s="550"/>
      <c r="I88" s="550"/>
      <c r="J88" s="550"/>
      <c r="K88" s="550"/>
      <c r="L88" s="550"/>
      <c r="M88" s="577"/>
      <c r="N88" s="1147"/>
      <c r="O88" s="1147"/>
      <c r="P88" s="2617"/>
      <c r="Q88" s="500"/>
    </row>
    <row r="89" spans="1:17" s="116" customFormat="1" ht="15.75" thickBot="1">
      <c r="A89" s="575"/>
      <c r="B89" s="539"/>
      <c r="C89" s="556">
        <v>100</v>
      </c>
      <c r="D89" s="532">
        <v>98</v>
      </c>
      <c r="E89" s="532">
        <v>96</v>
      </c>
      <c r="F89" s="532">
        <v>94</v>
      </c>
      <c r="G89" s="532">
        <v>92</v>
      </c>
      <c r="H89" s="532"/>
      <c r="I89" s="532"/>
      <c r="J89" s="532"/>
      <c r="K89" s="532"/>
      <c r="L89" s="532"/>
      <c r="M89" s="532"/>
      <c r="N89" s="1149"/>
      <c r="O89" s="1149"/>
      <c r="P89" s="2617"/>
      <c r="Q89" s="500"/>
    </row>
    <row r="90" spans="1:17" s="467" customFormat="1" ht="15.75" thickTop="1">
      <c r="A90" s="549"/>
      <c r="B90" s="534" t="str">
        <f>B27</f>
        <v>人流量</v>
      </c>
      <c r="C90" s="2926" t="s">
        <v>2594</v>
      </c>
      <c r="D90" s="2926" t="s">
        <v>2595</v>
      </c>
      <c r="E90" s="2926" t="s">
        <v>2596</v>
      </c>
      <c r="F90" s="2926" t="s">
        <v>2597</v>
      </c>
      <c r="G90" s="2926" t="s">
        <v>2598</v>
      </c>
      <c r="H90" s="551"/>
      <c r="I90" s="551"/>
      <c r="J90" s="551"/>
      <c r="K90" s="551"/>
      <c r="L90" s="552"/>
      <c r="M90" s="553"/>
      <c r="N90" s="1150"/>
      <c r="O90" s="1150"/>
      <c r="P90" s="2618"/>
      <c r="Q90" s="555"/>
    </row>
    <row r="91" spans="1:17" s="467" customFormat="1" ht="15.75" thickBot="1">
      <c r="A91" s="549"/>
      <c r="B91" s="539"/>
      <c r="C91" s="578">
        <v>100</v>
      </c>
      <c r="D91" s="540">
        <f>C91-$K27</f>
        <v>100</v>
      </c>
      <c r="E91" s="540">
        <f t="shared" ref="E91:M91" si="17">D91-$K27</f>
        <v>100</v>
      </c>
      <c r="F91" s="540">
        <f t="shared" si="17"/>
        <v>100</v>
      </c>
      <c r="G91" s="540">
        <f t="shared" si="17"/>
        <v>100</v>
      </c>
      <c r="H91" s="540">
        <f t="shared" si="17"/>
        <v>100</v>
      </c>
      <c r="I91" s="540">
        <f t="shared" si="17"/>
        <v>100</v>
      </c>
      <c r="J91" s="540">
        <f t="shared" si="17"/>
        <v>100</v>
      </c>
      <c r="K91" s="540">
        <f t="shared" si="17"/>
        <v>100</v>
      </c>
      <c r="L91" s="540">
        <f t="shared" si="17"/>
        <v>100</v>
      </c>
      <c r="M91" s="540">
        <f t="shared" si="17"/>
        <v>100</v>
      </c>
      <c r="N91" s="1150"/>
      <c r="O91" s="1150"/>
      <c r="P91" s="2618"/>
      <c r="Q91" s="555"/>
    </row>
    <row r="92" spans="1:17" ht="15.75" thickTop="1">
      <c r="A92" s="530"/>
      <c r="B92" s="534" t="str">
        <f>B28</f>
        <v>楼层</v>
      </c>
      <c r="C92" s="550">
        <v>1</v>
      </c>
      <c r="D92" s="550">
        <v>2</v>
      </c>
      <c r="E92" s="550">
        <v>3</v>
      </c>
      <c r="F92" s="550"/>
      <c r="G92" s="550"/>
      <c r="H92" s="550"/>
      <c r="I92" s="550"/>
      <c r="J92" s="550"/>
      <c r="K92" s="550"/>
      <c r="L92" s="576"/>
      <c r="M92" s="577"/>
      <c r="N92" s="1148"/>
      <c r="O92" s="1148"/>
      <c r="P92" s="2617"/>
      <c r="Q92" s="500"/>
    </row>
    <row r="93" spans="1:17" ht="15.75" thickBot="1">
      <c r="A93" s="530"/>
      <c r="B93" s="539"/>
      <c r="C93" s="532">
        <v>100</v>
      </c>
      <c r="D93" s="532">
        <v>60</v>
      </c>
      <c r="E93" s="532">
        <v>50</v>
      </c>
      <c r="F93" s="532"/>
      <c r="G93" s="532"/>
      <c r="H93" s="532"/>
      <c r="I93" s="532"/>
      <c r="J93" s="532"/>
      <c r="K93" s="532"/>
      <c r="L93" s="532"/>
      <c r="M93" s="533"/>
      <c r="N93" s="1149"/>
      <c r="O93" s="1149"/>
      <c r="P93" s="2617"/>
      <c r="Q93" s="500"/>
    </row>
    <row r="94" spans="1:17" ht="15.75" hidden="1" thickTop="1">
      <c r="A94" s="530"/>
      <c r="B94" s="534">
        <f>B29</f>
        <v>111</v>
      </c>
      <c r="C94" s="550"/>
      <c r="D94" s="550"/>
      <c r="E94" s="550"/>
      <c r="F94" s="550"/>
      <c r="G94" s="579"/>
      <c r="H94" s="579"/>
      <c r="I94" s="579"/>
      <c r="J94" s="579"/>
      <c r="K94" s="580"/>
      <c r="L94" s="581"/>
      <c r="M94" s="582"/>
      <c r="N94" s="1148"/>
      <c r="O94" s="1148"/>
      <c r="P94" s="2617"/>
      <c r="Q94" s="500"/>
    </row>
    <row r="95" spans="1:17" ht="15.75" hidden="1" thickBot="1">
      <c r="A95" s="530"/>
      <c r="B95" s="539"/>
      <c r="C95" s="556"/>
      <c r="D95" s="532"/>
      <c r="E95" s="532"/>
      <c r="F95" s="532"/>
      <c r="G95" s="532"/>
      <c r="H95" s="532"/>
      <c r="I95" s="532"/>
      <c r="J95" s="532"/>
      <c r="K95" s="532"/>
      <c r="L95" s="532"/>
      <c r="M95" s="533"/>
      <c r="N95" s="1149"/>
      <c r="O95" s="1149"/>
      <c r="P95" s="2617"/>
      <c r="Q95" s="500"/>
    </row>
    <row r="96" spans="1:17" ht="15.75" hidden="1" thickTop="1">
      <c r="A96" s="530"/>
      <c r="B96" s="534">
        <f>B30</f>
        <v>111</v>
      </c>
      <c r="C96" s="550"/>
      <c r="D96" s="550"/>
      <c r="E96" s="550"/>
      <c r="F96" s="550"/>
      <c r="G96" s="579"/>
      <c r="H96" s="579"/>
      <c r="I96" s="579"/>
      <c r="J96" s="579"/>
      <c r="K96" s="580"/>
      <c r="L96" s="581"/>
      <c r="M96" s="582"/>
      <c r="N96" s="1148"/>
      <c r="O96" s="1148"/>
      <c r="P96" s="2617"/>
      <c r="Q96" s="500"/>
    </row>
    <row r="97" spans="1:17" ht="15.75" hidden="1" thickBot="1">
      <c r="A97" s="530"/>
      <c r="B97" s="539"/>
      <c r="C97" s="556"/>
      <c r="D97" s="532"/>
      <c r="E97" s="532"/>
      <c r="F97" s="532"/>
      <c r="G97" s="532"/>
      <c r="H97" s="532"/>
      <c r="I97" s="532"/>
      <c r="J97" s="532"/>
      <c r="K97" s="532"/>
      <c r="L97" s="532"/>
      <c r="M97" s="533"/>
      <c r="N97" s="1149"/>
      <c r="O97" s="1149"/>
      <c r="P97" s="2617"/>
      <c r="Q97" s="500"/>
    </row>
    <row r="98" spans="1:17" ht="15.75" hidden="1" thickTop="1">
      <c r="A98" s="530"/>
      <c r="B98" s="542">
        <f>B31</f>
        <v>111</v>
      </c>
      <c r="C98" s="550"/>
      <c r="D98" s="550"/>
      <c r="E98" s="550"/>
      <c r="F98" s="550"/>
      <c r="G98" s="583"/>
      <c r="H98" s="583"/>
      <c r="I98" s="583"/>
      <c r="J98" s="583"/>
      <c r="K98" s="584"/>
      <c r="L98" s="585"/>
      <c r="M98" s="586"/>
      <c r="N98" s="1148"/>
      <c r="O98" s="1148"/>
      <c r="P98" s="2617"/>
      <c r="Q98" s="500"/>
    </row>
    <row r="99" spans="1:17" ht="15.75" hidden="1" thickBot="1">
      <c r="A99" s="2623"/>
      <c r="B99" s="565"/>
      <c r="C99" s="566"/>
      <c r="D99" s="566"/>
      <c r="E99" s="566"/>
      <c r="F99" s="566"/>
      <c r="G99" s="587"/>
      <c r="H99" s="587"/>
      <c r="I99" s="587"/>
      <c r="J99" s="587"/>
      <c r="K99" s="587"/>
      <c r="L99" s="587"/>
      <c r="M99" s="588"/>
      <c r="N99" s="1149"/>
      <c r="O99" s="1149"/>
      <c r="P99" s="2617"/>
      <c r="Q99" s="500"/>
    </row>
    <row r="100" spans="1:17" ht="15" thickTop="1">
      <c r="A100" s="523" t="s">
        <v>2560</v>
      </c>
      <c r="B100" s="524" t="s">
        <v>2678</v>
      </c>
      <c r="C100" s="2927" t="s">
        <v>3087</v>
      </c>
      <c r="D100" s="2927" t="s">
        <v>3088</v>
      </c>
      <c r="E100" s="2927" t="s">
        <v>3089</v>
      </c>
      <c r="F100" s="526"/>
      <c r="G100" s="526"/>
      <c r="H100" s="526"/>
      <c r="I100" s="526"/>
      <c r="J100" s="526"/>
      <c r="K100" s="527"/>
      <c r="L100" s="528"/>
      <c r="M100" s="529"/>
      <c r="N100" s="1148"/>
      <c r="O100" s="1148"/>
      <c r="P100" s="2617"/>
      <c r="Q100" s="500"/>
    </row>
    <row r="101" spans="1:17" ht="15.75" thickBot="1">
      <c r="A101" s="530"/>
      <c r="B101" s="539"/>
      <c r="C101" s="540">
        <v>100</v>
      </c>
      <c r="D101" s="540">
        <f t="shared" ref="D101:M101" si="18">C101-$K32</f>
        <v>100</v>
      </c>
      <c r="E101" s="540">
        <f t="shared" si="18"/>
        <v>100</v>
      </c>
      <c r="F101" s="540">
        <f t="shared" si="18"/>
        <v>100</v>
      </c>
      <c r="G101" s="540">
        <f t="shared" si="18"/>
        <v>100</v>
      </c>
      <c r="H101" s="540">
        <f t="shared" si="18"/>
        <v>100</v>
      </c>
      <c r="I101" s="540">
        <f t="shared" si="18"/>
        <v>100</v>
      </c>
      <c r="J101" s="540">
        <f t="shared" si="18"/>
        <v>100</v>
      </c>
      <c r="K101" s="540">
        <f t="shared" si="18"/>
        <v>100</v>
      </c>
      <c r="L101" s="540">
        <f t="shared" si="18"/>
        <v>100</v>
      </c>
      <c r="M101" s="541">
        <f t="shared" si="18"/>
        <v>100</v>
      </c>
      <c r="N101" s="1149"/>
      <c r="O101" s="1149"/>
      <c r="P101" s="2617"/>
      <c r="Q101" s="500"/>
    </row>
    <row r="102" spans="1:17" ht="29.25" thickTop="1">
      <c r="A102" s="530"/>
      <c r="B102" s="534" t="s">
        <v>2610</v>
      </c>
      <c r="C102" s="574" t="str">
        <f>C103&amp;"(含)"&amp;"-"&amp;D103</f>
        <v>0(含)-100000</v>
      </c>
      <c r="D102" s="574" t="str">
        <f t="shared" ref="D102:L102" si="19">D103&amp;"(含)"&amp;"-"&amp;E103</f>
        <v>100000(含)-200000</v>
      </c>
      <c r="E102" s="574" t="str">
        <f t="shared" si="19"/>
        <v>200000(含)-300000</v>
      </c>
      <c r="F102" s="574" t="str">
        <f t="shared" si="19"/>
        <v>300000(含)-400000</v>
      </c>
      <c r="G102" s="574" t="str">
        <f t="shared" si="19"/>
        <v>400000(含)-500000</v>
      </c>
      <c r="H102" s="574" t="str">
        <f t="shared" si="19"/>
        <v>500000(含)-</v>
      </c>
      <c r="I102" s="574" t="str">
        <f t="shared" si="19"/>
        <v>(含)-</v>
      </c>
      <c r="J102" s="574" t="str">
        <f t="shared" si="19"/>
        <v>(含)-</v>
      </c>
      <c r="K102" s="574" t="str">
        <f t="shared" si="19"/>
        <v>(含)-</v>
      </c>
      <c r="L102" s="574" t="str">
        <f t="shared" si="19"/>
        <v>(含)-</v>
      </c>
      <c r="M102" s="617" t="str">
        <f>M103&amp;"(含)"&amp;"-"&amp;P103</f>
        <v>(含)-</v>
      </c>
      <c r="N102" s="1147"/>
      <c r="O102" s="1147"/>
      <c r="P102" s="2617"/>
      <c r="Q102" s="500"/>
    </row>
    <row r="103" spans="1:17" s="467" customFormat="1">
      <c r="A103" s="589"/>
      <c r="B103" s="590"/>
      <c r="C103" s="591">
        <v>0</v>
      </c>
      <c r="D103" s="591">
        <v>100000</v>
      </c>
      <c r="E103" s="591">
        <v>200000</v>
      </c>
      <c r="F103" s="591">
        <v>300000</v>
      </c>
      <c r="G103" s="591">
        <v>400000</v>
      </c>
      <c r="H103" s="591">
        <v>500000</v>
      </c>
      <c r="I103" s="591"/>
      <c r="J103" s="592"/>
      <c r="K103" s="592"/>
      <c r="L103" s="593"/>
      <c r="M103" s="594"/>
      <c r="N103" s="1150"/>
      <c r="O103" s="1150"/>
      <c r="P103" s="2618"/>
      <c r="Q103" s="555"/>
    </row>
    <row r="104" spans="1:17" s="467" customFormat="1" ht="15.75" thickBot="1">
      <c r="A104" s="549"/>
      <c r="B104" s="539"/>
      <c r="C104" s="556">
        <v>100</v>
      </c>
      <c r="D104" s="532">
        <v>101</v>
      </c>
      <c r="E104" s="532">
        <v>102</v>
      </c>
      <c r="F104" s="532">
        <v>103</v>
      </c>
      <c r="G104" s="532">
        <v>104</v>
      </c>
      <c r="H104" s="532">
        <v>105</v>
      </c>
      <c r="I104" s="532"/>
      <c r="J104" s="532"/>
      <c r="K104" s="532"/>
      <c r="L104" s="532"/>
      <c r="M104" s="533"/>
      <c r="N104" s="1149"/>
      <c r="O104" s="1149"/>
      <c r="P104" s="2618"/>
      <c r="Q104" s="555"/>
    </row>
    <row r="105" spans="1:17" ht="15" thickTop="1">
      <c r="A105" s="595"/>
      <c r="B105" s="534" t="s">
        <v>2611</v>
      </c>
      <c r="C105" s="2925" t="s">
        <v>3090</v>
      </c>
      <c r="D105" s="2925" t="s">
        <v>3091</v>
      </c>
      <c r="E105" s="2928" t="s">
        <v>3092</v>
      </c>
      <c r="F105" s="579"/>
      <c r="G105" s="579"/>
      <c r="H105" s="579"/>
      <c r="I105" s="579"/>
      <c r="J105" s="579"/>
      <c r="K105" s="580"/>
      <c r="L105" s="581"/>
      <c r="M105" s="582"/>
      <c r="N105" s="1148"/>
      <c r="O105" s="1148"/>
      <c r="P105" s="2617"/>
      <c r="Q105" s="500"/>
    </row>
    <row r="106" spans="1:17" ht="15.75" thickBot="1">
      <c r="A106" s="530"/>
      <c r="B106" s="539"/>
      <c r="C106" s="540">
        <v>100</v>
      </c>
      <c r="D106" s="540">
        <f t="shared" ref="D106:M106" si="20">C106-$K34</f>
        <v>100</v>
      </c>
      <c r="E106" s="540">
        <f t="shared" si="20"/>
        <v>100</v>
      </c>
      <c r="F106" s="540">
        <f t="shared" si="20"/>
        <v>100</v>
      </c>
      <c r="G106" s="540">
        <f t="shared" si="20"/>
        <v>100</v>
      </c>
      <c r="H106" s="540">
        <f t="shared" si="20"/>
        <v>100</v>
      </c>
      <c r="I106" s="540">
        <f t="shared" si="20"/>
        <v>100</v>
      </c>
      <c r="J106" s="540">
        <f t="shared" si="20"/>
        <v>100</v>
      </c>
      <c r="K106" s="540">
        <f t="shared" si="20"/>
        <v>100</v>
      </c>
      <c r="L106" s="540">
        <f t="shared" si="20"/>
        <v>100</v>
      </c>
      <c r="M106" s="541">
        <f t="shared" si="20"/>
        <v>100</v>
      </c>
      <c r="N106" s="1149"/>
      <c r="O106" s="1149"/>
      <c r="P106" s="2617"/>
      <c r="Q106" s="500"/>
    </row>
    <row r="107" spans="1:17" ht="15" thickTop="1">
      <c r="A107" s="595"/>
      <c r="B107" s="534" t="s">
        <v>2613</v>
      </c>
      <c r="C107" s="2925" t="s">
        <v>3094</v>
      </c>
      <c r="D107" s="2925" t="s">
        <v>3095</v>
      </c>
      <c r="E107" s="2925" t="s">
        <v>3096</v>
      </c>
      <c r="F107" s="579"/>
      <c r="G107" s="579"/>
      <c r="H107" s="579"/>
      <c r="I107" s="579"/>
      <c r="J107" s="579"/>
      <c r="K107" s="580"/>
      <c r="L107" s="581"/>
      <c r="M107" s="582"/>
      <c r="N107" s="1148"/>
      <c r="O107" s="1148"/>
      <c r="P107" s="2617"/>
      <c r="Q107" s="500"/>
    </row>
    <row r="108" spans="1:17" ht="15.75" thickBot="1">
      <c r="A108" s="530"/>
      <c r="B108" s="539"/>
      <c r="C108" s="540">
        <v>100</v>
      </c>
      <c r="D108" s="540">
        <f t="shared" ref="D108:M108" si="21">C108-$K35</f>
        <v>100</v>
      </c>
      <c r="E108" s="540">
        <f t="shared" si="21"/>
        <v>100</v>
      </c>
      <c r="F108" s="540">
        <f t="shared" si="21"/>
        <v>100</v>
      </c>
      <c r="G108" s="540">
        <f t="shared" si="21"/>
        <v>100</v>
      </c>
      <c r="H108" s="540">
        <f t="shared" si="21"/>
        <v>100</v>
      </c>
      <c r="I108" s="540">
        <f t="shared" si="21"/>
        <v>100</v>
      </c>
      <c r="J108" s="540">
        <f t="shared" si="21"/>
        <v>100</v>
      </c>
      <c r="K108" s="540">
        <f t="shared" si="21"/>
        <v>100</v>
      </c>
      <c r="L108" s="540">
        <f t="shared" si="21"/>
        <v>100</v>
      </c>
      <c r="M108" s="541">
        <f t="shared" si="21"/>
        <v>100</v>
      </c>
      <c r="N108" s="1149"/>
      <c r="O108" s="1149"/>
      <c r="P108" s="2617"/>
      <c r="Q108" s="500"/>
    </row>
    <row r="109" spans="1:17" ht="15" thickTop="1">
      <c r="A109" s="595"/>
      <c r="B109" s="534" t="s">
        <v>1992</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8"/>
      <c r="O109" s="1148"/>
      <c r="P109" s="2617"/>
      <c r="Q109" s="500"/>
    </row>
    <row r="110" spans="1:17">
      <c r="A110" s="595"/>
      <c r="B110" s="542"/>
      <c r="C110" s="599">
        <v>0.5</v>
      </c>
      <c r="D110" s="599">
        <v>0.6</v>
      </c>
      <c r="E110" s="599">
        <v>0.7</v>
      </c>
      <c r="F110" s="599">
        <v>0.8</v>
      </c>
      <c r="G110" s="599">
        <v>0.9</v>
      </c>
      <c r="H110" s="599">
        <v>1.0001</v>
      </c>
      <c r="I110" s="618"/>
      <c r="J110" s="618"/>
      <c r="K110" s="619"/>
      <c r="L110" s="620"/>
      <c r="M110" s="621"/>
      <c r="N110" s="1148"/>
      <c r="O110" s="1148"/>
      <c r="P110" s="2617"/>
      <c r="Q110" s="500"/>
    </row>
    <row r="111" spans="1:17" ht="15.75" thickBot="1">
      <c r="A111" s="530"/>
      <c r="B111" s="539"/>
      <c r="C111" s="578">
        <v>100</v>
      </c>
      <c r="D111" s="540">
        <f>C111+$K36</f>
        <v>100</v>
      </c>
      <c r="E111" s="540">
        <f t="shared" ref="E111:M111" si="22">D111+$K36</f>
        <v>100</v>
      </c>
      <c r="F111" s="540">
        <f t="shared" si="22"/>
        <v>100</v>
      </c>
      <c r="G111" s="540">
        <f t="shared" si="22"/>
        <v>100</v>
      </c>
      <c r="H111" s="540">
        <f t="shared" si="22"/>
        <v>100</v>
      </c>
      <c r="I111" s="540">
        <f t="shared" si="22"/>
        <v>100</v>
      </c>
      <c r="J111" s="540">
        <f t="shared" si="22"/>
        <v>100</v>
      </c>
      <c r="K111" s="540">
        <f t="shared" si="22"/>
        <v>100</v>
      </c>
      <c r="L111" s="540">
        <f t="shared" si="22"/>
        <v>100</v>
      </c>
      <c r="M111" s="540">
        <f t="shared" si="22"/>
        <v>100</v>
      </c>
      <c r="N111" s="1149"/>
      <c r="O111" s="1149"/>
      <c r="P111" s="2617"/>
      <c r="Q111" s="500"/>
    </row>
    <row r="112" spans="1:17" s="467" customFormat="1" ht="15" thickTop="1">
      <c r="A112" s="589"/>
      <c r="B112" s="534" t="s">
        <v>2615</v>
      </c>
      <c r="C112" s="2925" t="s">
        <v>3097</v>
      </c>
      <c r="D112" s="2925" t="s">
        <v>3098</v>
      </c>
      <c r="E112" s="2925" t="s">
        <v>3099</v>
      </c>
      <c r="F112" s="2925" t="s">
        <v>3100</v>
      </c>
      <c r="G112" s="2925" t="s">
        <v>3101</v>
      </c>
      <c r="H112" s="579"/>
      <c r="I112" s="579"/>
      <c r="J112" s="579"/>
      <c r="K112" s="580"/>
      <c r="L112" s="581"/>
      <c r="M112" s="582"/>
      <c r="N112" s="1150"/>
      <c r="O112" s="1150"/>
      <c r="P112" s="2618"/>
      <c r="Q112" s="555"/>
    </row>
    <row r="113" spans="1:17" s="467" customFormat="1" ht="15.75" thickBot="1">
      <c r="A113" s="549"/>
      <c r="B113" s="539"/>
      <c r="C113" s="540">
        <v>100</v>
      </c>
      <c r="D113" s="540">
        <f>C113-$K37</f>
        <v>100</v>
      </c>
      <c r="E113" s="540">
        <f t="shared" ref="E113:M113" si="23">D113-$K37</f>
        <v>100</v>
      </c>
      <c r="F113" s="540">
        <f t="shared" si="23"/>
        <v>100</v>
      </c>
      <c r="G113" s="540">
        <f t="shared" si="23"/>
        <v>100</v>
      </c>
      <c r="H113" s="540">
        <f t="shared" si="23"/>
        <v>100</v>
      </c>
      <c r="I113" s="540">
        <f t="shared" si="23"/>
        <v>100</v>
      </c>
      <c r="J113" s="540">
        <f t="shared" si="23"/>
        <v>100</v>
      </c>
      <c r="K113" s="540">
        <f t="shared" si="23"/>
        <v>100</v>
      </c>
      <c r="L113" s="540">
        <f t="shared" si="23"/>
        <v>100</v>
      </c>
      <c r="M113" s="540">
        <f t="shared" si="23"/>
        <v>100</v>
      </c>
      <c r="N113" s="1150"/>
      <c r="O113" s="1150"/>
      <c r="P113" s="2618"/>
      <c r="Q113" s="555"/>
    </row>
    <row r="114" spans="1:17" ht="15" hidden="1" thickTop="1">
      <c r="A114" s="595"/>
      <c r="B114" s="534" t="s">
        <v>2679</v>
      </c>
      <c r="C114" s="550"/>
      <c r="D114" s="550"/>
      <c r="E114" s="579"/>
      <c r="F114" s="579"/>
      <c r="G114" s="579"/>
      <c r="H114" s="579"/>
      <c r="I114" s="579"/>
      <c r="J114" s="579"/>
      <c r="K114" s="580"/>
      <c r="L114" s="581"/>
      <c r="M114" s="582"/>
      <c r="N114" s="1148"/>
      <c r="O114" s="1148"/>
      <c r="P114" s="2617"/>
      <c r="Q114" s="500"/>
    </row>
    <row r="115" spans="1:17" ht="15.75" hidden="1" thickBot="1">
      <c r="A115" s="530"/>
      <c r="B115" s="539"/>
      <c r="C115" s="540">
        <v>100</v>
      </c>
      <c r="D115" s="540">
        <f t="shared" ref="D115:M115" si="24">C115-$K38</f>
        <v>100</v>
      </c>
      <c r="E115" s="540">
        <f t="shared" si="24"/>
        <v>100</v>
      </c>
      <c r="F115" s="540">
        <f t="shared" si="24"/>
        <v>100</v>
      </c>
      <c r="G115" s="540">
        <f t="shared" si="24"/>
        <v>100</v>
      </c>
      <c r="H115" s="540">
        <f t="shared" si="24"/>
        <v>100</v>
      </c>
      <c r="I115" s="540">
        <f t="shared" si="24"/>
        <v>100</v>
      </c>
      <c r="J115" s="540">
        <f t="shared" si="24"/>
        <v>100</v>
      </c>
      <c r="K115" s="540">
        <f t="shared" si="24"/>
        <v>100</v>
      </c>
      <c r="L115" s="540">
        <f t="shared" si="24"/>
        <v>100</v>
      </c>
      <c r="M115" s="541">
        <f t="shared" si="24"/>
        <v>100</v>
      </c>
      <c r="N115" s="1149"/>
      <c r="O115" s="1149"/>
      <c r="P115" s="2617"/>
      <c r="Q115" s="500"/>
    </row>
    <row r="116" spans="1:17" ht="15" thickTop="1">
      <c r="A116" s="595"/>
      <c r="B116" s="534" t="s">
        <v>2680</v>
      </c>
      <c r="C116" s="2925" t="s">
        <v>3102</v>
      </c>
      <c r="D116" s="2925" t="s">
        <v>3104</v>
      </c>
      <c r="E116" s="550"/>
      <c r="F116" s="550"/>
      <c r="G116" s="550"/>
      <c r="H116" s="579"/>
      <c r="I116" s="579"/>
      <c r="J116" s="579"/>
      <c r="K116" s="580"/>
      <c r="L116" s="581"/>
      <c r="M116" s="582"/>
      <c r="N116" s="1148"/>
      <c r="O116" s="1148"/>
      <c r="P116" s="2617"/>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9"/>
      <c r="O117" s="1149"/>
      <c r="P117" s="2617"/>
      <c r="Q117" s="500"/>
    </row>
    <row r="118" spans="1:17" ht="15" thickTop="1">
      <c r="A118" s="595"/>
      <c r="B118" s="534" t="s">
        <v>2681</v>
      </c>
      <c r="C118" s="622">
        <v>73.400000000000006</v>
      </c>
      <c r="D118" s="622"/>
      <c r="E118" s="622"/>
      <c r="F118" s="622"/>
      <c r="G118" s="622"/>
      <c r="H118" s="551"/>
      <c r="I118" s="551"/>
      <c r="J118" s="551"/>
      <c r="K118" s="551"/>
      <c r="L118" s="552"/>
      <c r="M118" s="553"/>
      <c r="N118" s="1148"/>
      <c r="O118" s="1148"/>
      <c r="P118" s="2617"/>
      <c r="Q118" s="500"/>
    </row>
    <row r="119" spans="1:17" ht="15.75" thickBot="1">
      <c r="A119" s="530"/>
      <c r="B119" s="539"/>
      <c r="C119" s="556"/>
      <c r="D119" s="532"/>
      <c r="E119" s="532"/>
      <c r="F119" s="532"/>
      <c r="G119" s="532"/>
      <c r="H119" s="532"/>
      <c r="I119" s="532"/>
      <c r="J119" s="532"/>
      <c r="K119" s="532"/>
      <c r="L119" s="532"/>
      <c r="M119" s="533"/>
      <c r="N119" s="1149"/>
      <c r="O119" s="1149"/>
      <c r="P119" s="2617"/>
      <c r="Q119" s="500"/>
    </row>
    <row r="120" spans="1:17" s="467" customFormat="1" ht="15" thickTop="1">
      <c r="A120" s="589"/>
      <c r="B120" s="534" t="s">
        <v>2682</v>
      </c>
      <c r="C120" s="2926" t="s">
        <v>2594</v>
      </c>
      <c r="D120" s="2926" t="s">
        <v>2595</v>
      </c>
      <c r="E120" s="2926" t="s">
        <v>2596</v>
      </c>
      <c r="F120" s="2926" t="s">
        <v>2597</v>
      </c>
      <c r="G120" s="2926" t="s">
        <v>2598</v>
      </c>
      <c r="H120" s="551"/>
      <c r="I120" s="551"/>
      <c r="J120" s="551"/>
      <c r="K120" s="551"/>
      <c r="L120" s="552"/>
      <c r="M120" s="553"/>
      <c r="N120" s="1150"/>
      <c r="O120" s="1150"/>
      <c r="P120" s="2618"/>
      <c r="Q120" s="555"/>
    </row>
    <row r="121" spans="1:17" s="467" customFormat="1" ht="15.75" thickBot="1">
      <c r="A121" s="549"/>
      <c r="B121" s="531"/>
      <c r="C121" s="578">
        <v>100</v>
      </c>
      <c r="D121" s="540">
        <f>C121-$K41</f>
        <v>100</v>
      </c>
      <c r="E121" s="540">
        <f t="shared" ref="E121:M121" si="25">D121-$K41</f>
        <v>100</v>
      </c>
      <c r="F121" s="540">
        <f t="shared" si="25"/>
        <v>100</v>
      </c>
      <c r="G121" s="540">
        <f t="shared" si="25"/>
        <v>100</v>
      </c>
      <c r="H121" s="540">
        <f t="shared" si="25"/>
        <v>100</v>
      </c>
      <c r="I121" s="540">
        <f t="shared" si="25"/>
        <v>100</v>
      </c>
      <c r="J121" s="540">
        <f t="shared" si="25"/>
        <v>100</v>
      </c>
      <c r="K121" s="540">
        <f t="shared" si="25"/>
        <v>100</v>
      </c>
      <c r="L121" s="540">
        <f t="shared" si="25"/>
        <v>100</v>
      </c>
      <c r="M121" s="541">
        <f t="shared" si="25"/>
        <v>100</v>
      </c>
      <c r="N121" s="1150"/>
      <c r="O121" s="1150"/>
      <c r="P121" s="2618"/>
      <c r="Q121" s="555"/>
    </row>
    <row r="122" spans="1:17" ht="15" thickTop="1">
      <c r="A122" s="595"/>
      <c r="B122" s="534" t="s">
        <v>2617</v>
      </c>
      <c r="C122" s="2925" t="s">
        <v>3094</v>
      </c>
      <c r="D122" s="2925" t="s">
        <v>3095</v>
      </c>
      <c r="E122" s="2925" t="s">
        <v>3096</v>
      </c>
      <c r="F122" s="579"/>
      <c r="G122" s="579"/>
      <c r="H122" s="579"/>
      <c r="I122" s="579"/>
      <c r="J122" s="579"/>
      <c r="K122" s="580"/>
      <c r="L122" s="581"/>
      <c r="M122" s="582"/>
      <c r="N122" s="1148"/>
      <c r="O122" s="1148"/>
      <c r="P122" s="2617"/>
      <c r="Q122" s="500"/>
    </row>
    <row r="123" spans="1:17" ht="15.75" thickBot="1">
      <c r="A123" s="530"/>
      <c r="B123" s="539"/>
      <c r="C123" s="540">
        <v>100</v>
      </c>
      <c r="D123" s="540">
        <f t="shared" ref="D123:M123" si="26">C123-$K42</f>
        <v>100</v>
      </c>
      <c r="E123" s="540">
        <f t="shared" si="26"/>
        <v>100</v>
      </c>
      <c r="F123" s="540">
        <f t="shared" si="26"/>
        <v>100</v>
      </c>
      <c r="G123" s="540">
        <f t="shared" si="26"/>
        <v>100</v>
      </c>
      <c r="H123" s="540">
        <f t="shared" si="26"/>
        <v>100</v>
      </c>
      <c r="I123" s="540">
        <f t="shared" si="26"/>
        <v>100</v>
      </c>
      <c r="J123" s="540">
        <f t="shared" si="26"/>
        <v>100</v>
      </c>
      <c r="K123" s="540">
        <f t="shared" si="26"/>
        <v>100</v>
      </c>
      <c r="L123" s="540">
        <f t="shared" si="26"/>
        <v>100</v>
      </c>
      <c r="M123" s="541">
        <f t="shared" si="26"/>
        <v>100</v>
      </c>
      <c r="N123" s="1149"/>
      <c r="O123" s="1149"/>
      <c r="P123" s="2617"/>
      <c r="Q123" s="500"/>
    </row>
    <row r="124" spans="1:17" ht="15" thickTop="1">
      <c r="A124" s="595"/>
      <c r="B124" s="534" t="s">
        <v>2618</v>
      </c>
      <c r="C124" s="574" t="s">
        <v>2594</v>
      </c>
      <c r="D124" s="574" t="s">
        <v>2595</v>
      </c>
      <c r="E124" s="574" t="s">
        <v>2596</v>
      </c>
      <c r="F124" s="574" t="s">
        <v>2597</v>
      </c>
      <c r="G124" s="574" t="s">
        <v>2598</v>
      </c>
      <c r="H124" s="535"/>
      <c r="I124" s="535"/>
      <c r="J124" s="535"/>
      <c r="K124" s="536"/>
      <c r="L124" s="537"/>
      <c r="M124" s="538"/>
      <c r="N124" s="1148"/>
      <c r="O124" s="1148"/>
      <c r="P124" s="2618"/>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9"/>
      <c r="O125" s="1149"/>
      <c r="P125" s="2617"/>
      <c r="Q125" s="500"/>
    </row>
    <row r="126" spans="1:17" s="467" customFormat="1" ht="15" hidden="1" thickTop="1">
      <c r="A126" s="589"/>
      <c r="B126" s="534">
        <f>B44</f>
        <v>111</v>
      </c>
      <c r="C126" s="550"/>
      <c r="D126" s="550"/>
      <c r="E126" s="550"/>
      <c r="F126" s="550"/>
      <c r="G126" s="550"/>
      <c r="H126" s="551"/>
      <c r="I126" s="551"/>
      <c r="J126" s="551"/>
      <c r="K126" s="551"/>
      <c r="L126" s="552"/>
      <c r="M126" s="553"/>
      <c r="N126" s="1150"/>
      <c r="O126" s="1150"/>
      <c r="P126" s="2618"/>
      <c r="Q126" s="555"/>
    </row>
    <row r="127" spans="1:17" s="467" customFormat="1" ht="15.75" hidden="1" thickBot="1">
      <c r="A127" s="549"/>
      <c r="B127" s="539"/>
      <c r="C127" s="556"/>
      <c r="D127" s="532"/>
      <c r="E127" s="532"/>
      <c r="F127" s="532"/>
      <c r="G127" s="556"/>
      <c r="H127" s="558"/>
      <c r="I127" s="558"/>
      <c r="J127" s="558"/>
      <c r="K127" s="558"/>
      <c r="L127" s="558"/>
      <c r="M127" s="559"/>
      <c r="N127" s="1150"/>
      <c r="O127" s="1150"/>
      <c r="P127" s="2618"/>
      <c r="Q127" s="555"/>
    </row>
    <row r="128" spans="1:17" ht="15" hidden="1" thickTop="1">
      <c r="A128" s="595"/>
      <c r="B128" s="534">
        <f>B45</f>
        <v>111</v>
      </c>
      <c r="C128" s="550"/>
      <c r="D128" s="550"/>
      <c r="E128" s="550"/>
      <c r="F128" s="550"/>
      <c r="G128" s="579"/>
      <c r="H128" s="579"/>
      <c r="I128" s="579"/>
      <c r="J128" s="579"/>
      <c r="K128" s="580"/>
      <c r="L128" s="581"/>
      <c r="M128" s="582"/>
      <c r="N128" s="1148"/>
      <c r="O128" s="1148"/>
      <c r="P128" s="2617"/>
      <c r="Q128" s="500"/>
    </row>
    <row r="129" spans="1:17" ht="15.75" hidden="1" thickBot="1">
      <c r="A129" s="530"/>
      <c r="B129" s="539"/>
      <c r="C129" s="556"/>
      <c r="D129" s="532"/>
      <c r="E129" s="532"/>
      <c r="F129" s="532"/>
      <c r="G129" s="532"/>
      <c r="H129" s="532"/>
      <c r="I129" s="532"/>
      <c r="J129" s="532"/>
      <c r="K129" s="532"/>
      <c r="L129" s="532"/>
      <c r="M129" s="533"/>
      <c r="N129" s="1149"/>
      <c r="O129" s="1149"/>
      <c r="P129" s="2617"/>
      <c r="Q129" s="500"/>
    </row>
    <row r="130" spans="1:17" ht="15" hidden="1" thickTop="1">
      <c r="A130" s="595"/>
      <c r="B130" s="542">
        <f>B46</f>
        <v>111</v>
      </c>
      <c r="C130" s="550"/>
      <c r="D130" s="550"/>
      <c r="E130" s="550"/>
      <c r="F130" s="550"/>
      <c r="G130" s="583"/>
      <c r="H130" s="583"/>
      <c r="I130" s="583"/>
      <c r="J130" s="583"/>
      <c r="K130" s="519"/>
      <c r="L130" s="520"/>
      <c r="M130" s="586"/>
      <c r="N130" s="1148"/>
      <c r="O130" s="1148"/>
      <c r="P130" s="2617"/>
      <c r="Q130" s="500"/>
    </row>
    <row r="131" spans="1:17" ht="15.75" hidden="1" thickBot="1">
      <c r="A131" s="2623"/>
      <c r="B131" s="565"/>
      <c r="C131" s="566"/>
      <c r="D131" s="566"/>
      <c r="E131" s="566"/>
      <c r="F131" s="566"/>
      <c r="G131" s="587"/>
      <c r="H131" s="587"/>
      <c r="I131" s="587"/>
      <c r="J131" s="587"/>
      <c r="K131" s="587"/>
      <c r="L131" s="587"/>
      <c r="M131" s="588"/>
      <c r="N131" s="1149"/>
      <c r="O131" s="1149"/>
      <c r="P131" s="2617"/>
      <c r="Q131" s="500"/>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6" priority="17" stopIfTrue="1" operator="containsText" text="超过">
      <formula>NOT(ISERROR(SEARCH("超过",F52)))</formula>
    </cfRule>
  </conditionalFormatting>
  <conditionalFormatting sqref="H54">
    <cfRule type="containsText" dxfId="125" priority="15" stopIfTrue="1" operator="containsText" text="超过">
      <formula>NOT(ISERROR(SEARCH("超过",H54)))</formula>
    </cfRule>
  </conditionalFormatting>
  <conditionalFormatting sqref="F54">
    <cfRule type="containsText" dxfId="124" priority="14" stopIfTrue="1" operator="containsText" text="超过">
      <formula>NOT(ISERROR(SEARCH("超过",F54)))</formula>
    </cfRule>
  </conditionalFormatting>
  <conditionalFormatting sqref="F53 H53">
    <cfRule type="containsText" dxfId="123" priority="13" stopIfTrue="1" operator="containsText" text="超过">
      <formula>NOT(ISERROR(SEARCH("超过",F53)))</formula>
    </cfRule>
  </conditionalFormatting>
  <conditionalFormatting sqref="E52">
    <cfRule type="expression" dxfId="122" priority="12"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4">
    <cfRule type="expression" dxfId="119" priority="9" stopIfTrue="1">
      <formula>$H$54="超过30%"</formula>
    </cfRule>
  </conditionalFormatting>
  <conditionalFormatting sqref="G52">
    <cfRule type="expression" dxfId="118" priority="8" stopIfTrue="1">
      <formula>$H$52="超过30%"</formula>
    </cfRule>
  </conditionalFormatting>
  <conditionalFormatting sqref="G53">
    <cfRule type="expression" dxfId="117" priority="7" stopIfTrue="1">
      <formula>$H$53="超过20%"</formula>
    </cfRule>
  </conditionalFormatting>
  <conditionalFormatting sqref="J52">
    <cfRule type="containsText" dxfId="116" priority="6" stopIfTrue="1" operator="containsText" text="超过">
      <formula>NOT(ISERROR(SEARCH("超过",J52)))</formula>
    </cfRule>
  </conditionalFormatting>
  <conditionalFormatting sqref="J54">
    <cfRule type="containsText" dxfId="115" priority="5" stopIfTrue="1" operator="containsText" text="超过">
      <formula>NOT(ISERROR(SEARCH("超过",J54)))</formula>
    </cfRule>
  </conditionalFormatting>
  <conditionalFormatting sqref="J53">
    <cfRule type="containsText" dxfId="114" priority="4" stopIfTrue="1" operator="containsText" text="超过">
      <formula>NOT(ISERROR(SEARCH("超过",J53)))</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24">
    <tabColor rgb="FF92D050"/>
    <pageSetUpPr fitToPage="1"/>
  </sheetPr>
  <dimension ref="A1:AC133"/>
  <sheetViews>
    <sheetView topLeftCell="A5" zoomScale="90" zoomScaleNormal="90" workbookViewId="0">
      <selection activeCell="N17" sqref="N17"/>
    </sheetView>
  </sheetViews>
  <sheetFormatPr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1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9" customFormat="1" ht="28.5" customHeight="1" thickBot="1">
      <c r="A1" s="1608" t="s">
        <v>2525</v>
      </c>
      <c r="B1" s="2656" t="s">
        <v>2683</v>
      </c>
      <c r="C1" s="1610" t="s">
        <v>2527</v>
      </c>
      <c r="D1" s="1611" t="s">
        <v>4670</v>
      </c>
      <c r="E1" s="1620"/>
      <c r="F1" s="2571" t="s">
        <v>3078</v>
      </c>
      <c r="G1" s="1621" t="s">
        <v>2640</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4" customFormat="1" ht="28.5" customHeight="1" thickTop="1">
      <c r="A2" s="1607" t="s">
        <v>2324</v>
      </c>
      <c r="B2" s="1407">
        <f>IF(C2="——",ROUND(C50*D3/10000,0),ROUND(C50*D3/10000,0)-D2)</f>
        <v>94</v>
      </c>
      <c r="C2" s="2573" t="s">
        <v>70</v>
      </c>
      <c r="D2" s="1354" t="e">
        <f ca="1">SUMIF(INDIRECT("'"&amp;F2&amp;"'"&amp;"!A:A"),"承租人权益价值",INDIRECT("'"&amp;F2&amp;"'"&amp;"!c:c"))</f>
        <v>#REF!</v>
      </c>
      <c r="E2" s="2574" t="s">
        <v>2325</v>
      </c>
      <c r="F2" s="2575"/>
      <c r="G2" s="1121"/>
      <c r="H2" s="1121"/>
      <c r="I2" s="1121"/>
      <c r="J2" s="1121"/>
      <c r="K2" s="1121"/>
      <c r="L2" s="1124"/>
      <c r="M2" s="1125"/>
      <c r="N2" s="1125"/>
      <c r="O2" s="1125"/>
      <c r="P2" s="761"/>
      <c r="Q2" s="761"/>
      <c r="R2" s="761"/>
      <c r="S2" s="761"/>
      <c r="T2" s="761"/>
      <c r="U2" s="761"/>
      <c r="V2" s="761"/>
      <c r="W2" s="761"/>
      <c r="X2" s="761"/>
      <c r="Y2" s="761"/>
      <c r="Z2" s="761"/>
      <c r="AA2" s="761"/>
      <c r="AB2" s="761"/>
      <c r="AC2" s="762"/>
    </row>
    <row r="3" spans="1:29" s="394" customFormat="1" ht="28.5" customHeight="1" thickBot="1">
      <c r="A3" s="247" t="s">
        <v>2326</v>
      </c>
      <c r="B3" s="605">
        <f>IF(C2="——",C50,ROUND(B2*10000/D3,0))</f>
        <v>18883</v>
      </c>
      <c r="C3" s="396" t="s">
        <v>2641</v>
      </c>
      <c r="D3" s="395">
        <f>IF(D1="",'数据-汇总表'!E3,SUMIF('数据-汇总表'!$C19:$C33,D1,'数据-汇总表'!$E19:$E33))</f>
        <v>49.61</v>
      </c>
      <c r="E3" s="2650"/>
      <c r="F3" s="1122"/>
      <c r="G3" s="1121"/>
      <c r="H3" s="1121"/>
      <c r="I3" s="1121"/>
      <c r="J3" s="1121"/>
      <c r="K3" s="1123"/>
      <c r="L3" s="1124"/>
      <c r="M3" s="1125"/>
      <c r="N3" s="1125"/>
      <c r="O3" s="1125"/>
      <c r="P3" s="761"/>
      <c r="Q3" s="761"/>
      <c r="R3" s="761"/>
      <c r="S3" s="761"/>
      <c r="T3" s="761"/>
      <c r="U3" s="761"/>
      <c r="V3" s="761"/>
      <c r="W3" s="761"/>
      <c r="X3" s="761"/>
      <c r="Y3" s="761"/>
      <c r="Z3" s="761"/>
      <c r="AA3" s="761"/>
      <c r="AB3" s="761"/>
      <c r="AC3" s="762"/>
    </row>
    <row r="4" spans="1:29" ht="15">
      <c r="A4" s="397" t="s">
        <v>2642</v>
      </c>
      <c r="B4" s="398"/>
      <c r="C4" s="3215" t="s">
        <v>2643</v>
      </c>
      <c r="D4" s="3216"/>
      <c r="E4" s="3217" t="s">
        <v>2644</v>
      </c>
      <c r="F4" s="3218"/>
      <c r="G4" s="3215" t="s">
        <v>2645</v>
      </c>
      <c r="H4" s="3216"/>
      <c r="I4" s="3215" t="s">
        <v>2646</v>
      </c>
      <c r="J4" s="3216"/>
      <c r="K4" s="606" t="s">
        <v>2647</v>
      </c>
      <c r="L4" s="1126"/>
      <c r="M4" s="1127"/>
      <c r="N4" s="1127"/>
      <c r="O4" s="1127"/>
      <c r="P4" s="3251" t="s">
        <v>2648</v>
      </c>
      <c r="Q4" s="3252"/>
      <c r="R4" s="3244" t="s">
        <v>2644</v>
      </c>
      <c r="S4" s="3245"/>
      <c r="T4" s="3244" t="s">
        <v>2645</v>
      </c>
      <c r="U4" s="3245"/>
      <c r="V4" s="3255" t="s">
        <v>2646</v>
      </c>
      <c r="W4" s="3255"/>
      <c r="X4" s="2657"/>
      <c r="Y4" s="3244" t="s">
        <v>2648</v>
      </c>
      <c r="Z4" s="3245"/>
      <c r="AA4" s="3243" t="s">
        <v>2644</v>
      </c>
      <c r="AB4" s="3243" t="s">
        <v>2645</v>
      </c>
      <c r="AC4" s="3248" t="s">
        <v>2646</v>
      </c>
    </row>
    <row r="5" spans="1:29" ht="15">
      <c r="A5" s="400"/>
      <c r="B5" s="401"/>
      <c r="C5" s="3207" t="s">
        <v>2539</v>
      </c>
      <c r="D5" s="3208"/>
      <c r="E5" s="3246" t="s">
        <v>4709</v>
      </c>
      <c r="F5" s="3206"/>
      <c r="G5" s="3211" t="s">
        <v>4708</v>
      </c>
      <c r="H5" s="3208"/>
      <c r="I5" s="3211" t="s">
        <v>4679</v>
      </c>
      <c r="J5" s="3208"/>
      <c r="K5" s="606"/>
      <c r="L5" s="1126"/>
      <c r="M5" s="1127"/>
      <c r="N5" s="1127"/>
      <c r="O5" s="1127"/>
      <c r="P5" s="3253"/>
      <c r="Q5" s="3222"/>
      <c r="R5" s="3203"/>
      <c r="S5" s="3204"/>
      <c r="T5" s="3203"/>
      <c r="U5" s="3204"/>
      <c r="V5" s="3198"/>
      <c r="W5" s="3198"/>
      <c r="X5" s="1803"/>
      <c r="Y5" s="3203"/>
      <c r="Z5" s="3204"/>
      <c r="AA5" s="3196"/>
      <c r="AB5" s="3196"/>
      <c r="AC5" s="3249"/>
    </row>
    <row r="6" spans="1:29" ht="15.75" thickBot="1">
      <c r="A6" s="402"/>
      <c r="B6" s="403"/>
      <c r="C6" s="3209" t="s">
        <v>2543</v>
      </c>
      <c r="D6" s="3210"/>
      <c r="E6" s="3247" t="s">
        <v>4710</v>
      </c>
      <c r="F6" s="3213"/>
      <c r="G6" s="3227" t="s">
        <v>4707</v>
      </c>
      <c r="H6" s="3210"/>
      <c r="I6" s="3227" t="s">
        <v>4680</v>
      </c>
      <c r="J6" s="3210"/>
      <c r="K6" s="606" t="s">
        <v>2544</v>
      </c>
      <c r="L6" s="1126"/>
      <c r="M6" s="1127"/>
      <c r="N6" s="1127"/>
      <c r="O6" s="1127"/>
      <c r="P6" s="3254"/>
      <c r="Q6" s="3224"/>
      <c r="R6" s="3203"/>
      <c r="S6" s="3204"/>
      <c r="T6" s="3225"/>
      <c r="U6" s="3226"/>
      <c r="V6" s="3198"/>
      <c r="W6" s="3198"/>
      <c r="X6" s="1803"/>
      <c r="Y6" s="3225"/>
      <c r="Z6" s="3226"/>
      <c r="AA6" s="3197"/>
      <c r="AB6" s="3197"/>
      <c r="AC6" s="3250"/>
    </row>
    <row r="7" spans="1:29" s="116" customFormat="1" ht="15.75" thickBot="1">
      <c r="A7" s="404" t="s">
        <v>2545</v>
      </c>
      <c r="B7" s="405"/>
      <c r="C7" s="406">
        <f>'数据-取费表'!B2</f>
        <v>43028</v>
      </c>
      <c r="D7" s="407">
        <v>100</v>
      </c>
      <c r="E7" s="408">
        <f>C7</f>
        <v>43028</v>
      </c>
      <c r="F7" s="409">
        <f>SUMIF(59:59,YEAR(E7)&amp;"-"&amp;MONTH(E7),60:60)</f>
        <v>100</v>
      </c>
      <c r="G7" s="408">
        <f>C7</f>
        <v>43028</v>
      </c>
      <c r="H7" s="407">
        <f>SUMIF(59:59,YEAR(G7)&amp;"-"&amp;MONTH(G7),60:60)</f>
        <v>100</v>
      </c>
      <c r="I7" s="408">
        <f>C7</f>
        <v>43028</v>
      </c>
      <c r="J7" s="407">
        <f>SUMIF(59:59,YEAR(I7)&amp;"-"&amp;MONTH(I7),60:60)</f>
        <v>100</v>
      </c>
      <c r="K7" s="607"/>
      <c r="L7" s="1128"/>
      <c r="M7" s="1129"/>
      <c r="N7" s="1129"/>
      <c r="O7" s="1129"/>
      <c r="P7" s="3256" t="s">
        <v>2546</v>
      </c>
      <c r="Q7" s="3228"/>
      <c r="R7" s="763" t="s">
        <v>17</v>
      </c>
      <c r="S7" s="764">
        <f t="shared" ref="S7:S15" si="0">F7</f>
        <v>100</v>
      </c>
      <c r="T7" s="763" t="s">
        <v>17</v>
      </c>
      <c r="U7" s="764">
        <f t="shared" ref="U7:U15" si="1">H7</f>
        <v>100</v>
      </c>
      <c r="V7" s="763" t="s">
        <v>17</v>
      </c>
      <c r="W7" s="764">
        <f t="shared" ref="W7:W15" si="2">J7</f>
        <v>100</v>
      </c>
      <c r="X7" s="765"/>
      <c r="Y7" s="3199" t="s">
        <v>2546</v>
      </c>
      <c r="Z7" s="3200"/>
      <c r="AA7" s="766">
        <f>D7/F7</f>
        <v>1</v>
      </c>
      <c r="AB7" s="766">
        <f>D7/H7</f>
        <v>1</v>
      </c>
      <c r="AC7" s="2658">
        <f>D7/J7</f>
        <v>1</v>
      </c>
    </row>
    <row r="8" spans="1:29" s="116" customFormat="1" ht="15.75" thickBot="1">
      <c r="A8" s="404" t="s">
        <v>2547</v>
      </c>
      <c r="B8" s="405"/>
      <c r="C8" s="410" t="s">
        <v>2649</v>
      </c>
      <c r="D8" s="407">
        <v>100</v>
      </c>
      <c r="E8" s="410" t="s">
        <v>3076</v>
      </c>
      <c r="F8" s="409">
        <f>SUMIF(62:62,E8,63:63)-SUMIF(62:62,C8,63:63)+100</f>
        <v>100</v>
      </c>
      <c r="G8" s="410" t="s">
        <v>3076</v>
      </c>
      <c r="H8" s="407">
        <f>SUMIF(62:62,G8,63:63)-SUMIF(62:62,C8,63:63)+100</f>
        <v>100</v>
      </c>
      <c r="I8" s="410" t="s">
        <v>3076</v>
      </c>
      <c r="J8" s="407">
        <f>SUMIF(62:62,I8,63:63)-SUMIF(62:62,C8,63:63)+100</f>
        <v>100</v>
      </c>
      <c r="K8" s="607"/>
      <c r="L8" s="1128"/>
      <c r="M8" s="1129"/>
      <c r="N8" s="1129"/>
      <c r="O8" s="1129"/>
      <c r="P8" s="3256" t="s">
        <v>2549</v>
      </c>
      <c r="Q8" s="3200"/>
      <c r="R8" s="763" t="s">
        <v>17</v>
      </c>
      <c r="S8" s="764">
        <f t="shared" si="0"/>
        <v>100</v>
      </c>
      <c r="T8" s="763" t="s">
        <v>17</v>
      </c>
      <c r="U8" s="764">
        <f t="shared" si="1"/>
        <v>100</v>
      </c>
      <c r="V8" s="763" t="s">
        <v>17</v>
      </c>
      <c r="W8" s="764">
        <f t="shared" si="2"/>
        <v>100</v>
      </c>
      <c r="X8" s="765"/>
      <c r="Y8" s="3199" t="s">
        <v>2549</v>
      </c>
      <c r="Z8" s="3200"/>
      <c r="AA8" s="766">
        <f t="shared" ref="AA8:AA47" si="3">D8/F8</f>
        <v>1</v>
      </c>
      <c r="AB8" s="766">
        <f t="shared" ref="AB8:AB47" si="4">D8/H8</f>
        <v>1</v>
      </c>
      <c r="AC8" s="2658">
        <f t="shared" ref="AC8:AC47" si="5">D8/J8</f>
        <v>1</v>
      </c>
    </row>
    <row r="9" spans="1:29" s="116" customFormat="1">
      <c r="A9" s="411" t="s">
        <v>2550</v>
      </c>
      <c r="B9" s="70" t="s">
        <v>2551</v>
      </c>
      <c r="C9" s="2924" t="s">
        <v>4681</v>
      </c>
      <c r="D9" s="134">
        <v>100</v>
      </c>
      <c r="E9" s="415" t="s">
        <v>27</v>
      </c>
      <c r="F9" s="134">
        <f>SUMIF(64:64,E9,65:65)-SUMIF(64:64,C9,65:65)+100</f>
        <v>100</v>
      </c>
      <c r="G9" s="413" t="s">
        <v>27</v>
      </c>
      <c r="H9" s="134">
        <f>SUMIF(64:64,G9,65:65)-SUMIF(64:64,C9,65:65)+100</f>
        <v>100</v>
      </c>
      <c r="I9" s="413" t="s">
        <v>27</v>
      </c>
      <c r="J9" s="134">
        <f>SUMIF(64:64,I9,65:65)-SUMIF(64:64,C9,65:65)+100</f>
        <v>100</v>
      </c>
      <c r="K9" s="607"/>
      <c r="L9" s="1128"/>
      <c r="M9" s="1129"/>
      <c r="N9" s="1129"/>
      <c r="O9" s="1129"/>
      <c r="P9" s="3214" t="s">
        <v>2552</v>
      </c>
      <c r="Q9" s="1785" t="str">
        <f t="shared" ref="Q9:Q15" si="6">B9</f>
        <v>用途</v>
      </c>
      <c r="R9" s="763" t="s">
        <v>17</v>
      </c>
      <c r="S9" s="764">
        <f t="shared" si="0"/>
        <v>100</v>
      </c>
      <c r="T9" s="763" t="s">
        <v>17</v>
      </c>
      <c r="U9" s="764">
        <f t="shared" si="1"/>
        <v>100</v>
      </c>
      <c r="V9" s="763" t="s">
        <v>17</v>
      </c>
      <c r="W9" s="764">
        <f t="shared" si="2"/>
        <v>100</v>
      </c>
      <c r="X9" s="765"/>
      <c r="Y9" s="3072" t="s">
        <v>2553</v>
      </c>
      <c r="Z9" s="55" t="str">
        <f t="shared" ref="Z9:Z15" si="7">Q9</f>
        <v>用途</v>
      </c>
      <c r="AA9" s="766">
        <f t="shared" si="3"/>
        <v>1</v>
      </c>
      <c r="AB9" s="766">
        <f t="shared" si="4"/>
        <v>1</v>
      </c>
      <c r="AC9" s="2658">
        <f t="shared" si="5"/>
        <v>1</v>
      </c>
    </row>
    <row r="10" spans="1:29" s="423" customFormat="1" ht="27">
      <c r="A10" s="417"/>
      <c r="B10" s="418" t="s">
        <v>2554</v>
      </c>
      <c r="C10" s="419" t="s">
        <v>3080</v>
      </c>
      <c r="D10" s="135">
        <v>100</v>
      </c>
      <c r="E10" s="419" t="s">
        <v>3080</v>
      </c>
      <c r="F10" s="135">
        <f>SUMIF(66:66,E10,67:67)-SUMIF(66:66,C10,67:67)+100</f>
        <v>100</v>
      </c>
      <c r="G10" s="420" t="s">
        <v>3080</v>
      </c>
      <c r="H10" s="135">
        <f>SUMIF(66:66,G10,67:67)-SUMIF(66:66,C10,67:67)+100</f>
        <v>100</v>
      </c>
      <c r="I10" s="419" t="s">
        <v>3080</v>
      </c>
      <c r="J10" s="135">
        <f>SUMIF(66:66,I10,67:67)-SUMIF(66:66,C10,67:67)+100</f>
        <v>100</v>
      </c>
      <c r="K10" s="608"/>
      <c r="L10" s="1131"/>
      <c r="M10" s="1132"/>
      <c r="N10" s="1132"/>
      <c r="O10" s="1132"/>
      <c r="P10" s="3214"/>
      <c r="Q10" s="1785" t="str">
        <f t="shared" si="6"/>
        <v>土地使用年限（年）</v>
      </c>
      <c r="R10" s="763" t="s">
        <v>17</v>
      </c>
      <c r="S10" s="764">
        <f t="shared" si="0"/>
        <v>100</v>
      </c>
      <c r="T10" s="763" t="s">
        <v>17</v>
      </c>
      <c r="U10" s="764">
        <f t="shared" si="1"/>
        <v>100</v>
      </c>
      <c r="V10" s="763" t="s">
        <v>17</v>
      </c>
      <c r="W10" s="764">
        <f t="shared" si="2"/>
        <v>100</v>
      </c>
      <c r="X10" s="765"/>
      <c r="Y10" s="3072"/>
      <c r="Z10" s="55" t="str">
        <f t="shared" si="7"/>
        <v>土地使用年限（年）</v>
      </c>
      <c r="AA10" s="766">
        <f t="shared" si="3"/>
        <v>1</v>
      </c>
      <c r="AB10" s="766">
        <f t="shared" si="4"/>
        <v>1</v>
      </c>
      <c r="AC10" s="2658">
        <f t="shared" si="5"/>
        <v>1</v>
      </c>
    </row>
    <row r="11" spans="1:29" ht="15.75" thickBot="1">
      <c r="A11" s="424"/>
      <c r="B11" s="418" t="s">
        <v>2555</v>
      </c>
      <c r="C11" s="425">
        <v>4.4000000000000004</v>
      </c>
      <c r="D11" s="135">
        <v>100</v>
      </c>
      <c r="E11" s="425">
        <v>5</v>
      </c>
      <c r="F11" s="135">
        <f>LOOKUP(E11,69:69,70:70)-LOOKUP(C11,69:69,70:70)+100</f>
        <v>100</v>
      </c>
      <c r="G11" s="426">
        <v>4.5</v>
      </c>
      <c r="H11" s="135">
        <f>LOOKUP(G11,69:69,70:70)-LOOKUP(C11,69:69,70:70)+100</f>
        <v>100</v>
      </c>
      <c r="I11" s="425">
        <v>4.2</v>
      </c>
      <c r="J11" s="135">
        <f>LOOKUP(I11,69:69,70:70)-LOOKUP(C11,69:69,70:70)+100</f>
        <v>100</v>
      </c>
      <c r="K11" s="608">
        <v>1</v>
      </c>
      <c r="L11" s="1134"/>
      <c r="M11" s="1127"/>
      <c r="N11" s="1127"/>
      <c r="O11" s="1127"/>
      <c r="P11" s="3214"/>
      <c r="Q11" s="1785" t="str">
        <f t="shared" si="6"/>
        <v>容积率</v>
      </c>
      <c r="R11" s="763" t="s">
        <v>17</v>
      </c>
      <c r="S11" s="764">
        <f t="shared" si="0"/>
        <v>100</v>
      </c>
      <c r="T11" s="763" t="s">
        <v>17</v>
      </c>
      <c r="U11" s="764">
        <f t="shared" si="1"/>
        <v>100</v>
      </c>
      <c r="V11" s="763" t="s">
        <v>17</v>
      </c>
      <c r="W11" s="764">
        <f t="shared" si="2"/>
        <v>100</v>
      </c>
      <c r="X11" s="765"/>
      <c r="Y11" s="3072"/>
      <c r="Z11" s="55" t="str">
        <f t="shared" si="7"/>
        <v>容积率</v>
      </c>
      <c r="AA11" s="766">
        <f t="shared" si="3"/>
        <v>1</v>
      </c>
      <c r="AB11" s="766">
        <f t="shared" si="4"/>
        <v>1</v>
      </c>
      <c r="AC11" s="2658">
        <f t="shared" si="5"/>
        <v>1</v>
      </c>
    </row>
    <row r="12" spans="1:29" s="116" customFormat="1" ht="15" hidden="1">
      <c r="A12" s="427"/>
      <c r="B12" s="2587">
        <v>111</v>
      </c>
      <c r="C12" s="428"/>
      <c r="D12" s="429">
        <v>100</v>
      </c>
      <c r="E12" s="428"/>
      <c r="F12" s="135">
        <f>SUMIF(71:71,E12,72:72)-SUMIF(71:71,C12,72:72)+100</f>
        <v>100</v>
      </c>
      <c r="G12" s="2659"/>
      <c r="H12" s="135">
        <f>SUMIF(71:71,G12,72:72)-SUMIF(71:71,C12,72:72)+100</f>
        <v>100</v>
      </c>
      <c r="I12" s="428"/>
      <c r="J12" s="135">
        <f>SUMIF(71:71,I12,72:72)-SUMIF(71:71,C12,72:72)+100</f>
        <v>100</v>
      </c>
      <c r="K12" s="609"/>
      <c r="L12" s="1128"/>
      <c r="M12" s="1129"/>
      <c r="N12" s="1129"/>
      <c r="O12" s="1129"/>
      <c r="P12" s="3214"/>
      <c r="Q12" s="1785">
        <f t="shared" si="6"/>
        <v>111</v>
      </c>
      <c r="R12" s="763" t="s">
        <v>17</v>
      </c>
      <c r="S12" s="764">
        <f t="shared" si="0"/>
        <v>100</v>
      </c>
      <c r="T12" s="763" t="s">
        <v>17</v>
      </c>
      <c r="U12" s="764">
        <f t="shared" si="1"/>
        <v>100</v>
      </c>
      <c r="V12" s="763" t="s">
        <v>17</v>
      </c>
      <c r="W12" s="764">
        <f t="shared" si="2"/>
        <v>100</v>
      </c>
      <c r="X12" s="765"/>
      <c r="Y12" s="3072"/>
      <c r="Z12" s="55">
        <f t="shared" si="7"/>
        <v>111</v>
      </c>
      <c r="AA12" s="766">
        <f>D12/F12</f>
        <v>1</v>
      </c>
      <c r="AB12" s="766">
        <f>D12/H12</f>
        <v>1</v>
      </c>
      <c r="AC12" s="2658">
        <f>D12/J12</f>
        <v>1</v>
      </c>
    </row>
    <row r="13" spans="1:29" ht="15" hidden="1">
      <c r="A13" s="424"/>
      <c r="B13" s="2587">
        <v>111</v>
      </c>
      <c r="C13" s="430"/>
      <c r="D13" s="431">
        <v>100</v>
      </c>
      <c r="E13" s="428"/>
      <c r="F13" s="135">
        <f>SUMIF(73:73,E13,74:74)-SUMIF(73:73,C13,74:74)+100</f>
        <v>100</v>
      </c>
      <c r="G13" s="2659"/>
      <c r="H13" s="431">
        <f>SUMIF(73:73,G13,74:74)-SUMIF(73:73,C13,74:74)+100</f>
        <v>100</v>
      </c>
      <c r="I13" s="428"/>
      <c r="J13" s="431">
        <f>SUMIF(73:73,I13,74:74)-SUMIF(73:73,C13,74:74)+100</f>
        <v>100</v>
      </c>
      <c r="K13" s="609"/>
      <c r="L13" s="1136"/>
      <c r="M13" s="1127"/>
      <c r="N13" s="1127"/>
      <c r="O13" s="1127"/>
      <c r="P13" s="3214"/>
      <c r="Q13" s="1785">
        <f t="shared" si="6"/>
        <v>111</v>
      </c>
      <c r="R13" s="763" t="s">
        <v>17</v>
      </c>
      <c r="S13" s="764">
        <f t="shared" si="0"/>
        <v>100</v>
      </c>
      <c r="T13" s="763" t="s">
        <v>17</v>
      </c>
      <c r="U13" s="764">
        <f t="shared" si="1"/>
        <v>100</v>
      </c>
      <c r="V13" s="763" t="s">
        <v>17</v>
      </c>
      <c r="W13" s="764">
        <f t="shared" si="2"/>
        <v>100</v>
      </c>
      <c r="X13" s="765"/>
      <c r="Y13" s="3072"/>
      <c r="Z13" s="55">
        <f t="shared" si="7"/>
        <v>111</v>
      </c>
      <c r="AA13" s="766">
        <f t="shared" si="3"/>
        <v>1</v>
      </c>
      <c r="AB13" s="766">
        <f t="shared" si="4"/>
        <v>1</v>
      </c>
      <c r="AC13" s="2658">
        <f t="shared" si="5"/>
        <v>1</v>
      </c>
    </row>
    <row r="14" spans="1:29" ht="15.75" hidden="1" thickBot="1">
      <c r="A14" s="432"/>
      <c r="B14" s="2589">
        <v>111</v>
      </c>
      <c r="C14" s="433"/>
      <c r="D14" s="434">
        <v>100</v>
      </c>
      <c r="E14" s="623"/>
      <c r="F14" s="434">
        <f>SUMIF(75:75,E14,76:76)-SUMIF(75:75,C14,76:76)+100</f>
        <v>100</v>
      </c>
      <c r="G14" s="2659"/>
      <c r="H14" s="434">
        <f>SUMIF(75:75,G14,76:76)-SUMIF(75:75,C14,76:76)+100</f>
        <v>100</v>
      </c>
      <c r="I14" s="428"/>
      <c r="J14" s="434">
        <f>SUMIF(75:75,I14,76:76)-SUMIF(75:75,C14,76:76)+100</f>
        <v>100</v>
      </c>
      <c r="K14" s="609"/>
      <c r="L14" s="1136"/>
      <c r="M14" s="1127"/>
      <c r="N14" s="1127"/>
      <c r="O14" s="1127"/>
      <c r="P14" s="3214"/>
      <c r="Q14" s="1785">
        <f t="shared" si="6"/>
        <v>111</v>
      </c>
      <c r="R14" s="763" t="s">
        <v>17</v>
      </c>
      <c r="S14" s="764">
        <f t="shared" si="0"/>
        <v>100</v>
      </c>
      <c r="T14" s="763" t="s">
        <v>17</v>
      </c>
      <c r="U14" s="764">
        <f t="shared" si="1"/>
        <v>100</v>
      </c>
      <c r="V14" s="763" t="s">
        <v>17</v>
      </c>
      <c r="W14" s="764">
        <f t="shared" si="2"/>
        <v>100</v>
      </c>
      <c r="X14" s="765"/>
      <c r="Y14" s="3072"/>
      <c r="Z14" s="55">
        <f t="shared" si="7"/>
        <v>111</v>
      </c>
      <c r="AA14" s="766">
        <f t="shared" si="3"/>
        <v>1</v>
      </c>
      <c r="AB14" s="766">
        <f t="shared" si="4"/>
        <v>1</v>
      </c>
      <c r="AC14" s="2658">
        <f t="shared" si="5"/>
        <v>1</v>
      </c>
    </row>
    <row r="15" spans="1:29" ht="71.25">
      <c r="A15" s="436" t="s">
        <v>2556</v>
      </c>
      <c r="B15" s="624" t="s">
        <v>2684</v>
      </c>
      <c r="C15" s="2660" t="str">
        <f>估价对象房地状况!C5</f>
        <v>估价对象位于XX商圈，周边办公楼项目较多，入驻率高，办公集聚程度较好</v>
      </c>
      <c r="D15" s="437">
        <v>100</v>
      </c>
      <c r="E15" s="440"/>
      <c r="F15" s="437">
        <f>SUMIF(77:77,E16,78:78)-SUMIF(77:77,C16,78:78)+100</f>
        <v>100</v>
      </c>
      <c r="G15" s="438"/>
      <c r="H15" s="437">
        <f>SUMIF(77:77,G16,78:78)-SUMIF(77:77,C16,78:78)+100</f>
        <v>100</v>
      </c>
      <c r="I15" s="438"/>
      <c r="J15" s="437">
        <f>SUMIF(77:77,I16,78:78)-SUMIF(77:77,C16,78:78)+100</f>
        <v>100</v>
      </c>
      <c r="K15" s="610"/>
      <c r="L15" s="1136"/>
      <c r="M15" s="1127"/>
      <c r="N15" s="1127"/>
      <c r="O15" s="1127"/>
      <c r="P15" s="3229" t="s">
        <v>2557</v>
      </c>
      <c r="Q15" s="1800" t="str">
        <f t="shared" si="6"/>
        <v>办公集聚程度</v>
      </c>
      <c r="R15" s="767" t="s">
        <v>17</v>
      </c>
      <c r="S15" s="768">
        <f t="shared" si="0"/>
        <v>100</v>
      </c>
      <c r="T15" s="767" t="s">
        <v>17</v>
      </c>
      <c r="U15" s="768">
        <f t="shared" si="1"/>
        <v>100</v>
      </c>
      <c r="V15" s="767" t="s">
        <v>17</v>
      </c>
      <c r="W15" s="768">
        <f t="shared" si="2"/>
        <v>100</v>
      </c>
      <c r="X15" s="1803"/>
      <c r="Y15" s="3231" t="s">
        <v>2557</v>
      </c>
      <c r="Z15" s="1804" t="str">
        <f t="shared" si="7"/>
        <v>办公集聚程度</v>
      </c>
      <c r="AA15" s="1801">
        <f t="shared" si="3"/>
        <v>1</v>
      </c>
      <c r="AB15" s="1801">
        <f t="shared" si="4"/>
        <v>1</v>
      </c>
      <c r="AC15" s="2661">
        <f t="shared" si="5"/>
        <v>1</v>
      </c>
    </row>
    <row r="16" spans="1:29" ht="15">
      <c r="A16" s="424"/>
      <c r="B16" s="625"/>
      <c r="C16" s="2598" t="s">
        <v>3081</v>
      </c>
      <c r="D16" s="444"/>
      <c r="E16" s="443" t="s">
        <v>3081</v>
      </c>
      <c r="F16" s="444"/>
      <c r="G16" s="2598" t="s">
        <v>3081</v>
      </c>
      <c r="H16" s="446"/>
      <c r="I16" s="443" t="s">
        <v>3081</v>
      </c>
      <c r="J16" s="444"/>
      <c r="K16" s="611"/>
      <c r="L16" s="1136"/>
      <c r="M16" s="1127"/>
      <c r="N16" s="1127"/>
      <c r="O16" s="1127"/>
      <c r="P16" s="3230"/>
      <c r="Q16" s="1800"/>
      <c r="R16" s="767"/>
      <c r="S16" s="768"/>
      <c r="T16" s="767"/>
      <c r="U16" s="768"/>
      <c r="V16" s="767"/>
      <c r="W16" s="768"/>
      <c r="X16" s="1803"/>
      <c r="Y16" s="3232"/>
      <c r="Z16" s="1804"/>
      <c r="AA16" s="1801">
        <v>1</v>
      </c>
      <c r="AB16" s="1801">
        <v>1</v>
      </c>
      <c r="AC16" s="2661">
        <v>1</v>
      </c>
    </row>
    <row r="17" spans="1:29" ht="71.25">
      <c r="A17" s="424"/>
      <c r="B17" s="626" t="s">
        <v>2093</v>
      </c>
      <c r="C17" s="2662" t="str">
        <f>估价对象房地状况!C6</f>
        <v>估价对象周边道路状况、公共交通通达情况、停车便捷程度，综合评价交通便捷度较好</v>
      </c>
      <c r="D17" s="446">
        <v>100</v>
      </c>
      <c r="E17" s="450"/>
      <c r="F17" s="446">
        <f>SUMIF(79:79,E18,80:80)-SUMIF(79:79,C18,80:80)+100</f>
        <v>100</v>
      </c>
      <c r="G17" s="448"/>
      <c r="H17" s="451">
        <f>SUMIF(79:79,G18,80:80)-SUMIF(79:79,C18,80:80)+100</f>
        <v>100</v>
      </c>
      <c r="I17" s="448"/>
      <c r="J17" s="451">
        <f>SUMIF(79:79,I18,80:80)-SUMIF(79:79,C18,80:80)+100</f>
        <v>100</v>
      </c>
      <c r="K17" s="610"/>
      <c r="L17" s="1136"/>
      <c r="M17" s="1127"/>
      <c r="N17" s="1127"/>
      <c r="O17" s="1127"/>
      <c r="P17" s="3230"/>
      <c r="Q17" s="1800" t="str">
        <f>B17</f>
        <v>交通便捷度</v>
      </c>
      <c r="R17" s="767" t="s">
        <v>17</v>
      </c>
      <c r="S17" s="768">
        <f>F17</f>
        <v>100</v>
      </c>
      <c r="T17" s="767" t="s">
        <v>17</v>
      </c>
      <c r="U17" s="768">
        <f>H17</f>
        <v>100</v>
      </c>
      <c r="V17" s="767" t="s">
        <v>17</v>
      </c>
      <c r="W17" s="768">
        <f>J17</f>
        <v>100</v>
      </c>
      <c r="X17" s="1803"/>
      <c r="Y17" s="3232"/>
      <c r="Z17" s="1804" t="str">
        <f>Q17</f>
        <v>交通便捷度</v>
      </c>
      <c r="AA17" s="1801">
        <f t="shared" si="3"/>
        <v>1</v>
      </c>
      <c r="AB17" s="1801">
        <f t="shared" si="4"/>
        <v>1</v>
      </c>
      <c r="AC17" s="2661">
        <f t="shared" si="5"/>
        <v>1</v>
      </c>
    </row>
    <row r="18" spans="1:29" ht="15">
      <c r="A18" s="424"/>
      <c r="B18" s="627"/>
      <c r="C18" s="2663" t="s">
        <v>3081</v>
      </c>
      <c r="D18" s="446"/>
      <c r="E18" s="2596" t="s">
        <v>3081</v>
      </c>
      <c r="F18" s="446"/>
      <c r="G18" s="2597" t="s">
        <v>3081</v>
      </c>
      <c r="H18" s="444"/>
      <c r="I18" s="2597" t="s">
        <v>3081</v>
      </c>
      <c r="J18" s="444"/>
      <c r="K18" s="611"/>
      <c r="L18" s="1136"/>
      <c r="M18" s="1127"/>
      <c r="N18" s="1127"/>
      <c r="O18" s="1127"/>
      <c r="P18" s="3230"/>
      <c r="Q18" s="1800"/>
      <c r="R18" s="767"/>
      <c r="S18" s="768"/>
      <c r="T18" s="767"/>
      <c r="U18" s="768"/>
      <c r="V18" s="767"/>
      <c r="W18" s="768"/>
      <c r="X18" s="1803"/>
      <c r="Y18" s="3232"/>
      <c r="Z18" s="1804"/>
      <c r="AA18" s="1801">
        <v>1</v>
      </c>
      <c r="AB18" s="1801">
        <v>1</v>
      </c>
      <c r="AC18" s="2661">
        <v>1</v>
      </c>
    </row>
    <row r="19" spans="1:29" ht="42.75">
      <c r="A19" s="424"/>
      <c r="B19" s="626" t="s">
        <v>2685</v>
      </c>
      <c r="C19" s="2662" t="str">
        <f>估价对象房地状况!C7</f>
        <v>估价对象所在区域公共配套设施齐备情况</v>
      </c>
      <c r="D19" s="451">
        <v>100</v>
      </c>
      <c r="E19" s="455"/>
      <c r="F19" s="451">
        <f>SUMIF(81:81,E20,82:82)-SUMIF(81:81,C20,82:82)+100</f>
        <v>100</v>
      </c>
      <c r="G19" s="453"/>
      <c r="H19" s="446">
        <f>SUMIF(81:81,G20,82:82)-SUMIF(81:81,C20,82:82)+100</f>
        <v>100</v>
      </c>
      <c r="I19" s="453"/>
      <c r="J19" s="446">
        <f>SUMIF(81:81,I20,82:82)-SUMIF(81:81,C20,82:82)+100</f>
        <v>100</v>
      </c>
      <c r="K19" s="610"/>
      <c r="L19" s="1136"/>
      <c r="M19" s="1127"/>
      <c r="N19" s="1127"/>
      <c r="O19" s="1127"/>
      <c r="P19" s="3230"/>
      <c r="Q19" s="1800" t="str">
        <f>B19</f>
        <v>公共配套设施</v>
      </c>
      <c r="R19" s="767" t="s">
        <v>17</v>
      </c>
      <c r="S19" s="768">
        <f>F19</f>
        <v>100</v>
      </c>
      <c r="T19" s="767" t="s">
        <v>17</v>
      </c>
      <c r="U19" s="768">
        <f>H19</f>
        <v>100</v>
      </c>
      <c r="V19" s="767" t="s">
        <v>17</v>
      </c>
      <c r="W19" s="768">
        <f>J19</f>
        <v>100</v>
      </c>
      <c r="X19" s="1803"/>
      <c r="Y19" s="3232"/>
      <c r="Z19" s="1804" t="str">
        <f>Q19</f>
        <v>公共配套设施</v>
      </c>
      <c r="AA19" s="1801">
        <f t="shared" si="3"/>
        <v>1</v>
      </c>
      <c r="AB19" s="1801">
        <f t="shared" si="4"/>
        <v>1</v>
      </c>
      <c r="AC19" s="2661">
        <f t="shared" si="5"/>
        <v>1</v>
      </c>
    </row>
    <row r="20" spans="1:29" ht="15">
      <c r="A20" s="424"/>
      <c r="B20" s="627"/>
      <c r="C20" s="2598" t="s">
        <v>3081</v>
      </c>
      <c r="D20" s="444"/>
      <c r="E20" s="2591" t="s">
        <v>3081</v>
      </c>
      <c r="F20" s="444"/>
      <c r="G20" s="2592" t="s">
        <v>3081</v>
      </c>
      <c r="H20" s="444"/>
      <c r="I20" s="2592" t="s">
        <v>3081</v>
      </c>
      <c r="J20" s="444"/>
      <c r="K20" s="611"/>
      <c r="L20" s="1136"/>
      <c r="M20" s="1127"/>
      <c r="N20" s="1127"/>
      <c r="O20" s="1127"/>
      <c r="P20" s="3230"/>
      <c r="Q20" s="1800"/>
      <c r="R20" s="767"/>
      <c r="S20" s="768"/>
      <c r="T20" s="767"/>
      <c r="U20" s="768"/>
      <c r="V20" s="767"/>
      <c r="W20" s="768"/>
      <c r="X20" s="1803"/>
      <c r="Y20" s="3232"/>
      <c r="Z20" s="1804"/>
      <c r="AA20" s="1801">
        <v>1</v>
      </c>
      <c r="AB20" s="1801">
        <v>1</v>
      </c>
      <c r="AC20" s="2661">
        <v>1</v>
      </c>
    </row>
    <row r="21" spans="1:29" ht="28.5">
      <c r="A21" s="424"/>
      <c r="B21" s="628" t="s">
        <v>2686</v>
      </c>
      <c r="C21" s="2662" t="str">
        <f>估价对象房地状况!C8</f>
        <v>估价对象所在区域基础设施水平</v>
      </c>
      <c r="D21" s="446">
        <v>100</v>
      </c>
      <c r="E21" s="455"/>
      <c r="F21" s="451">
        <f>SUMIF(83:83,E22,84:84)-SUMIF(83:83,C22,84:84)+100</f>
        <v>100</v>
      </c>
      <c r="G21" s="453"/>
      <c r="H21" s="446">
        <f>SUMIF(83:83,G22,84:84)-SUMIF(83:83,C22,84:84)+100</f>
        <v>100</v>
      </c>
      <c r="I21" s="453"/>
      <c r="J21" s="446">
        <f>SUMIF(83:83,I22,84:84)-SUMIF(83:83,C22,84:84)+100</f>
        <v>100</v>
      </c>
      <c r="K21" s="610"/>
      <c r="L21" s="1136"/>
      <c r="M21" s="1127"/>
      <c r="N21" s="1127"/>
      <c r="O21" s="1127"/>
      <c r="P21" s="3230"/>
      <c r="Q21" s="1800" t="str">
        <f>B21</f>
        <v>基础设施水平</v>
      </c>
      <c r="R21" s="767" t="s">
        <v>17</v>
      </c>
      <c r="S21" s="768">
        <f>F21</f>
        <v>100</v>
      </c>
      <c r="T21" s="767" t="s">
        <v>17</v>
      </c>
      <c r="U21" s="768">
        <f>H21</f>
        <v>100</v>
      </c>
      <c r="V21" s="767" t="s">
        <v>17</v>
      </c>
      <c r="W21" s="768">
        <f>J21</f>
        <v>100</v>
      </c>
      <c r="X21" s="1803"/>
      <c r="Y21" s="3232"/>
      <c r="Z21" s="1804" t="str">
        <f>Q21</f>
        <v>基础设施水平</v>
      </c>
      <c r="AA21" s="1801">
        <f>D21/F21</f>
        <v>1</v>
      </c>
      <c r="AB21" s="1801">
        <f>D21/H21</f>
        <v>1</v>
      </c>
      <c r="AC21" s="2661">
        <f>D21/J21</f>
        <v>1</v>
      </c>
    </row>
    <row r="22" spans="1:29" ht="15">
      <c r="A22" s="424"/>
      <c r="B22" s="628"/>
      <c r="C22" s="2663" t="s">
        <v>3082</v>
      </c>
      <c r="D22" s="444"/>
      <c r="E22" s="443" t="s">
        <v>3082</v>
      </c>
      <c r="F22" s="444"/>
      <c r="G22" s="2598" t="s">
        <v>3082</v>
      </c>
      <c r="H22" s="444"/>
      <c r="I22" s="2598" t="s">
        <v>3082</v>
      </c>
      <c r="J22" s="444"/>
      <c r="K22" s="1372"/>
      <c r="L22" s="1136"/>
      <c r="M22" s="1127"/>
      <c r="N22" s="1127"/>
      <c r="O22" s="1127"/>
      <c r="P22" s="3230"/>
      <c r="Q22" s="1800"/>
      <c r="R22" s="767"/>
      <c r="S22" s="768"/>
      <c r="T22" s="767"/>
      <c r="U22" s="768"/>
      <c r="V22" s="767"/>
      <c r="W22" s="768"/>
      <c r="X22" s="1803"/>
      <c r="Y22" s="3232"/>
      <c r="Z22" s="1804"/>
      <c r="AA22" s="1801">
        <v>1</v>
      </c>
      <c r="AB22" s="1801">
        <v>1</v>
      </c>
      <c r="AC22" s="2661">
        <v>1</v>
      </c>
    </row>
    <row r="23" spans="1:29" ht="42.75">
      <c r="A23" s="424"/>
      <c r="B23" s="626" t="s">
        <v>2687</v>
      </c>
      <c r="C23" s="2662" t="str">
        <f>估价对象房地状况!C9</f>
        <v>区域自然环境：；人文环境；综合评价环境状况一般</v>
      </c>
      <c r="D23" s="446">
        <v>100</v>
      </c>
      <c r="E23" s="450"/>
      <c r="F23" s="446">
        <f>SUMIF(85:85,E24,86:86)-SUMIF(85:85,C24,86:86)+100</f>
        <v>100</v>
      </c>
      <c r="G23" s="448"/>
      <c r="H23" s="446">
        <f>SUMIF(85:85,G24,86:86)-SUMIF(85:85,C24,86:86)+100</f>
        <v>100</v>
      </c>
      <c r="I23" s="448"/>
      <c r="J23" s="446">
        <f>SUMIF(85:85,I24,86:86)-SUMIF(85:85,C24,86:86)+100</f>
        <v>100</v>
      </c>
      <c r="K23" s="610"/>
      <c r="L23" s="1136"/>
      <c r="M23" s="1127"/>
      <c r="N23" s="1127"/>
      <c r="O23" s="1127"/>
      <c r="P23" s="3230"/>
      <c r="Q23" s="1800" t="str">
        <f>B23</f>
        <v>环境质量</v>
      </c>
      <c r="R23" s="767" t="s">
        <v>17</v>
      </c>
      <c r="S23" s="768">
        <f>F23</f>
        <v>100</v>
      </c>
      <c r="T23" s="767" t="s">
        <v>17</v>
      </c>
      <c r="U23" s="768">
        <f>H23</f>
        <v>100</v>
      </c>
      <c r="V23" s="767" t="s">
        <v>17</v>
      </c>
      <c r="W23" s="768">
        <f>J23</f>
        <v>100</v>
      </c>
      <c r="X23" s="1803"/>
      <c r="Y23" s="3232"/>
      <c r="Z23" s="1804" t="str">
        <f>Q23</f>
        <v>环境质量</v>
      </c>
      <c r="AA23" s="1801">
        <f t="shared" si="3"/>
        <v>1</v>
      </c>
      <c r="AB23" s="1801">
        <f t="shared" si="4"/>
        <v>1</v>
      </c>
      <c r="AC23" s="2661">
        <f t="shared" si="5"/>
        <v>1</v>
      </c>
    </row>
    <row r="24" spans="1:29" ht="15.75" thickBot="1">
      <c r="A24" s="424"/>
      <c r="B24" s="628"/>
      <c r="C24" s="2598" t="s">
        <v>3081</v>
      </c>
      <c r="D24" s="444"/>
      <c r="E24" s="2591" t="s">
        <v>3081</v>
      </c>
      <c r="F24" s="444"/>
      <c r="G24" s="2592" t="s">
        <v>3081</v>
      </c>
      <c r="H24" s="444"/>
      <c r="I24" s="2592" t="s">
        <v>3081</v>
      </c>
      <c r="J24" s="444"/>
      <c r="K24" s="611"/>
      <c r="L24" s="1136"/>
      <c r="M24" s="1127"/>
      <c r="N24" s="1127"/>
      <c r="O24" s="1127"/>
      <c r="P24" s="3230"/>
      <c r="Q24" s="1800"/>
      <c r="R24" s="767"/>
      <c r="S24" s="768"/>
      <c r="T24" s="767"/>
      <c r="U24" s="768"/>
      <c r="V24" s="767"/>
      <c r="W24" s="768"/>
      <c r="X24" s="1803"/>
      <c r="Y24" s="3232"/>
      <c r="Z24" s="1804"/>
      <c r="AA24" s="1801">
        <v>1</v>
      </c>
      <c r="AB24" s="1801">
        <v>1</v>
      </c>
      <c r="AC24" s="2661">
        <v>1</v>
      </c>
    </row>
    <row r="25" spans="1:29" ht="27" hidden="1">
      <c r="A25" s="400"/>
      <c r="B25" s="626" t="s">
        <v>2688</v>
      </c>
      <c r="C25" s="2602"/>
      <c r="D25" s="431">
        <v>100</v>
      </c>
      <c r="E25" s="430"/>
      <c r="F25" s="431">
        <f>SUMIF(87:87,E26,88:88)-SUMIF(87:87,C26,88:88)+100</f>
        <v>100</v>
      </c>
      <c r="G25" s="2602"/>
      <c r="H25" s="431">
        <f>SUMIF(87:87,G26,88:88)-SUMIF(87:87,C26,88:88)+100</f>
        <v>100</v>
      </c>
      <c r="I25" s="430"/>
      <c r="J25" s="431">
        <f>SUMIF(87:87,I26,88:88)-SUMIF(87:87,C26,88:88)+100</f>
        <v>100</v>
      </c>
      <c r="K25" s="610"/>
      <c r="L25" s="1136"/>
      <c r="M25" s="1127"/>
      <c r="N25" s="1127"/>
      <c r="O25" s="1127"/>
      <c r="P25" s="3230"/>
      <c r="Q25" s="1800" t="str">
        <f>B25</f>
        <v>毗邻道路的类型与等级</v>
      </c>
      <c r="R25" s="767" t="s">
        <v>17</v>
      </c>
      <c r="S25" s="768">
        <f>F25</f>
        <v>100</v>
      </c>
      <c r="T25" s="767" t="s">
        <v>17</v>
      </c>
      <c r="U25" s="768">
        <f>H25</f>
        <v>100</v>
      </c>
      <c r="V25" s="767" t="s">
        <v>17</v>
      </c>
      <c r="W25" s="768">
        <f>J25</f>
        <v>100</v>
      </c>
      <c r="X25" s="1803"/>
      <c r="Y25" s="3232"/>
      <c r="Z25" s="1804" t="str">
        <f>Q25</f>
        <v>毗邻道路的类型与等级</v>
      </c>
      <c r="AA25" s="1801">
        <f t="shared" si="3"/>
        <v>1</v>
      </c>
      <c r="AB25" s="1801">
        <f t="shared" si="4"/>
        <v>1</v>
      </c>
      <c r="AC25" s="2661">
        <f t="shared" si="5"/>
        <v>1</v>
      </c>
    </row>
    <row r="26" spans="1:29" ht="15" hidden="1">
      <c r="A26" s="400"/>
      <c r="B26" s="627"/>
      <c r="C26" s="629"/>
      <c r="D26" s="431"/>
      <c r="E26" s="612"/>
      <c r="F26" s="431"/>
      <c r="G26" s="629"/>
      <c r="H26" s="431"/>
      <c r="I26" s="612"/>
      <c r="J26" s="431"/>
      <c r="K26" s="611"/>
      <c r="L26" s="1136"/>
      <c r="M26" s="1127"/>
      <c r="N26" s="1127"/>
      <c r="O26" s="1127"/>
      <c r="P26" s="3230"/>
      <c r="Q26" s="1800"/>
      <c r="R26" s="767"/>
      <c r="S26" s="768"/>
      <c r="T26" s="767"/>
      <c r="U26" s="768"/>
      <c r="V26" s="767"/>
      <c r="W26" s="768"/>
      <c r="X26" s="1803"/>
      <c r="Y26" s="3232"/>
      <c r="Z26" s="1804"/>
      <c r="AA26" s="1801">
        <v>1</v>
      </c>
      <c r="AB26" s="1801">
        <v>1</v>
      </c>
      <c r="AC26" s="2661">
        <v>1</v>
      </c>
    </row>
    <row r="27" spans="1:29" ht="15" hidden="1">
      <c r="A27" s="424"/>
      <c r="B27" s="627" t="s">
        <v>2656</v>
      </c>
      <c r="C27" s="629"/>
      <c r="D27" s="431">
        <v>100</v>
      </c>
      <c r="E27" s="612"/>
      <c r="F27" s="431">
        <f>SUMIF(89:89,E27,90:90)-SUMIF(89:89,C27,90:90)+100</f>
        <v>100</v>
      </c>
      <c r="G27" s="629"/>
      <c r="H27" s="431">
        <f>SUMIF(89:89,G27,90:90)-SUMIF(89:89,C27,90:90)+100</f>
        <v>100</v>
      </c>
      <c r="I27" s="612"/>
      <c r="J27" s="431">
        <f>SUMIF(89:89,I27,90:90)-SUMIF(89:89,C27,90:90)+100</f>
        <v>100</v>
      </c>
      <c r="K27" s="608"/>
      <c r="L27" s="1136"/>
      <c r="M27" s="1127"/>
      <c r="N27" s="1127"/>
      <c r="O27" s="1127"/>
      <c r="P27" s="3230"/>
      <c r="Q27" s="1800" t="str">
        <f t="shared" ref="Q27:Q47" si="8">B27</f>
        <v>楼层</v>
      </c>
      <c r="R27" s="767" t="s">
        <v>17</v>
      </c>
      <c r="S27" s="768">
        <f>F27</f>
        <v>100</v>
      </c>
      <c r="T27" s="767" t="s">
        <v>17</v>
      </c>
      <c r="U27" s="768">
        <f>H27</f>
        <v>100</v>
      </c>
      <c r="V27" s="767" t="s">
        <v>17</v>
      </c>
      <c r="W27" s="768">
        <f>J27</f>
        <v>100</v>
      </c>
      <c r="X27" s="1803"/>
      <c r="Y27" s="3232"/>
      <c r="Z27" s="1804" t="str">
        <f>Q27</f>
        <v>楼层</v>
      </c>
      <c r="AA27" s="1801">
        <f t="shared" si="3"/>
        <v>1</v>
      </c>
      <c r="AB27" s="1801">
        <f t="shared" si="4"/>
        <v>1</v>
      </c>
      <c r="AC27" s="2661">
        <f t="shared" si="5"/>
        <v>1</v>
      </c>
    </row>
    <row r="28" spans="1:29" s="116" customFormat="1" ht="15.75" hidden="1" thickBot="1">
      <c r="A28" s="427"/>
      <c r="B28" s="626" t="s">
        <v>2689</v>
      </c>
      <c r="C28" s="2664"/>
      <c r="D28" s="458">
        <v>100</v>
      </c>
      <c r="E28" s="2652"/>
      <c r="F28" s="458">
        <f>SUMIF(91:91,E28,92:92)-SUMIF(91:91,C28,92:92)+100</f>
        <v>100</v>
      </c>
      <c r="G28" s="2664"/>
      <c r="H28" s="458">
        <f>SUMIF(91:91,G28,92:92)-SUMIF(91:91,C28,92:92)+100</f>
        <v>100</v>
      </c>
      <c r="I28" s="2652"/>
      <c r="J28" s="458">
        <f>SUMIF(91:91,I28,92:92)-SUMIF(91:91,C28,92:92)+100</f>
        <v>100</v>
      </c>
      <c r="K28" s="608"/>
      <c r="L28" s="1128"/>
      <c r="M28" s="1129"/>
      <c r="N28" s="1129"/>
      <c r="O28" s="1129"/>
      <c r="P28" s="3230"/>
      <c r="Q28" s="1785" t="str">
        <f t="shared" si="8"/>
        <v>朝向</v>
      </c>
      <c r="R28" s="763" t="s">
        <v>17</v>
      </c>
      <c r="S28" s="764">
        <f>F28</f>
        <v>100</v>
      </c>
      <c r="T28" s="763" t="s">
        <v>17</v>
      </c>
      <c r="U28" s="764">
        <f>H28</f>
        <v>100</v>
      </c>
      <c r="V28" s="763" t="s">
        <v>17</v>
      </c>
      <c r="W28" s="764">
        <f>J28</f>
        <v>100</v>
      </c>
      <c r="X28" s="765"/>
      <c r="Y28" s="3232"/>
      <c r="Z28" s="55" t="str">
        <f>Q28</f>
        <v>朝向</v>
      </c>
      <c r="AA28" s="1801">
        <f>D28/F28</f>
        <v>1</v>
      </c>
      <c r="AB28" s="1801">
        <f>D28/H28</f>
        <v>1</v>
      </c>
      <c r="AC28" s="2661">
        <f>D28/J28</f>
        <v>1</v>
      </c>
    </row>
    <row r="29" spans="1:29" ht="15" hidden="1">
      <c r="A29" s="424"/>
      <c r="B29" s="2665">
        <v>111</v>
      </c>
      <c r="C29" s="2602"/>
      <c r="D29" s="431">
        <v>100</v>
      </c>
      <c r="E29" s="428"/>
      <c r="F29" s="431">
        <f>SUMIF(93:93,E29,94:94)-SUMIF(93:93,C29,94:94)+100</f>
        <v>100</v>
      </c>
      <c r="G29" s="2659"/>
      <c r="H29" s="431">
        <f>SUMIF(93:93,G29,94:94)-SUMIF(93:93,C29,94:94)+100</f>
        <v>100</v>
      </c>
      <c r="I29" s="428"/>
      <c r="J29" s="431">
        <f>SUMIF(93:93,I29,94:94)-SUMIF(93:93,C29,94:94)+100</f>
        <v>100</v>
      </c>
      <c r="K29" s="609"/>
      <c r="L29" s="1136"/>
      <c r="M29" s="1127"/>
      <c r="N29" s="1127"/>
      <c r="O29" s="1127"/>
      <c r="P29" s="3230"/>
      <c r="Q29" s="1800">
        <f t="shared" si="8"/>
        <v>111</v>
      </c>
      <c r="R29" s="767" t="s">
        <v>17</v>
      </c>
      <c r="S29" s="768">
        <f t="shared" ref="S29:S47" si="9">F29</f>
        <v>100</v>
      </c>
      <c r="T29" s="767" t="s">
        <v>17</v>
      </c>
      <c r="U29" s="768">
        <f t="shared" ref="U29:U47" si="10">H29</f>
        <v>100</v>
      </c>
      <c r="V29" s="767" t="s">
        <v>17</v>
      </c>
      <c r="W29" s="768">
        <f t="shared" ref="W29:W47" si="11">J29</f>
        <v>100</v>
      </c>
      <c r="X29" s="1803"/>
      <c r="Y29" s="3232"/>
      <c r="Z29" s="1804">
        <f t="shared" ref="Z29:Z47" si="12">Q29</f>
        <v>111</v>
      </c>
      <c r="AA29" s="1801">
        <f t="shared" si="3"/>
        <v>1</v>
      </c>
      <c r="AB29" s="1801">
        <f t="shared" si="4"/>
        <v>1</v>
      </c>
      <c r="AC29" s="2661">
        <f t="shared" si="5"/>
        <v>1</v>
      </c>
    </row>
    <row r="30" spans="1:29" ht="15" hidden="1">
      <c r="A30" s="424"/>
      <c r="B30" s="2665">
        <v>111</v>
      </c>
      <c r="C30" s="2602"/>
      <c r="D30" s="431">
        <v>100</v>
      </c>
      <c r="E30" s="428"/>
      <c r="F30" s="431">
        <f>SUMIF(95:95,E30,96:96)-SUMIF(95:95,C30,96:96)+100</f>
        <v>100</v>
      </c>
      <c r="G30" s="2659"/>
      <c r="H30" s="431">
        <f>SUMIF(95:95,G30,96:96)-SUMIF(95:95,C30,96:96)+100</f>
        <v>100</v>
      </c>
      <c r="I30" s="428"/>
      <c r="J30" s="431">
        <f>SUMIF(95:95,I30,96:96)-SUMIF(95:95,C30,96:96)+100</f>
        <v>100</v>
      </c>
      <c r="K30" s="609"/>
      <c r="L30" s="1136"/>
      <c r="M30" s="1127"/>
      <c r="N30" s="1127"/>
      <c r="O30" s="1127"/>
      <c r="P30" s="3230"/>
      <c r="Q30" s="1800">
        <f t="shared" si="8"/>
        <v>111</v>
      </c>
      <c r="R30" s="767" t="s">
        <v>17</v>
      </c>
      <c r="S30" s="768">
        <f t="shared" si="9"/>
        <v>100</v>
      </c>
      <c r="T30" s="767" t="s">
        <v>17</v>
      </c>
      <c r="U30" s="768">
        <f t="shared" si="10"/>
        <v>100</v>
      </c>
      <c r="V30" s="767" t="s">
        <v>17</v>
      </c>
      <c r="W30" s="768">
        <f t="shared" si="11"/>
        <v>100</v>
      </c>
      <c r="X30" s="1803"/>
      <c r="Y30" s="3232"/>
      <c r="Z30" s="1804">
        <f t="shared" si="12"/>
        <v>111</v>
      </c>
      <c r="AA30" s="1801">
        <f t="shared" si="3"/>
        <v>1</v>
      </c>
      <c r="AB30" s="1801">
        <f t="shared" si="4"/>
        <v>1</v>
      </c>
      <c r="AC30" s="2661">
        <f t="shared" si="5"/>
        <v>1</v>
      </c>
    </row>
    <row r="31" spans="1:29" ht="15" hidden="1">
      <c r="A31" s="424"/>
      <c r="B31" s="2665">
        <v>111</v>
      </c>
      <c r="C31" s="2602"/>
      <c r="D31" s="431">
        <v>100</v>
      </c>
      <c r="E31" s="428"/>
      <c r="F31" s="431">
        <f>SUMIF(97:97,E31,98:98)-SUMIF(97:97,C31,98:98)+100</f>
        <v>100</v>
      </c>
      <c r="G31" s="2659"/>
      <c r="H31" s="431">
        <f>SUMIF(97:97,G31,98:98)-SUMIF(97:97,C31,98:98)+100</f>
        <v>100</v>
      </c>
      <c r="I31" s="428"/>
      <c r="J31" s="431">
        <f>SUMIF(97:97,I31,98:98)-SUMIF(97:97,C31,98:98)+100</f>
        <v>100</v>
      </c>
      <c r="K31" s="609"/>
      <c r="L31" s="1136"/>
      <c r="M31" s="1127"/>
      <c r="N31" s="1127"/>
      <c r="O31" s="1127"/>
      <c r="P31" s="3230"/>
      <c r="Q31" s="1800">
        <f t="shared" si="8"/>
        <v>111</v>
      </c>
      <c r="R31" s="767" t="s">
        <v>17</v>
      </c>
      <c r="S31" s="768">
        <f t="shared" si="9"/>
        <v>100</v>
      </c>
      <c r="T31" s="767" t="s">
        <v>17</v>
      </c>
      <c r="U31" s="768">
        <f t="shared" si="10"/>
        <v>100</v>
      </c>
      <c r="V31" s="767" t="s">
        <v>17</v>
      </c>
      <c r="W31" s="768">
        <f t="shared" si="11"/>
        <v>100</v>
      </c>
      <c r="X31" s="1803"/>
      <c r="Y31" s="3232"/>
      <c r="Z31" s="1804">
        <f t="shared" si="12"/>
        <v>111</v>
      </c>
      <c r="AA31" s="1801">
        <f t="shared" si="3"/>
        <v>1</v>
      </c>
      <c r="AB31" s="1801">
        <f t="shared" si="4"/>
        <v>1</v>
      </c>
      <c r="AC31" s="2661">
        <f t="shared" si="5"/>
        <v>1</v>
      </c>
    </row>
    <row r="32" spans="1:29" ht="15.75" hidden="1" thickBot="1">
      <c r="A32" s="432"/>
      <c r="B32" s="630">
        <v>111</v>
      </c>
      <c r="C32" s="2603"/>
      <c r="D32" s="434">
        <v>100</v>
      </c>
      <c r="E32" s="623"/>
      <c r="F32" s="434">
        <f>SUMIF(99:99,E32,100:100)-SUMIF(99:99,C32,100:100)+100</f>
        <v>100</v>
      </c>
      <c r="G32" s="2659"/>
      <c r="H32" s="434">
        <f>SUMIF(99:99,G32,100:100)-SUMIF(99:99,C32,100:100)+100</f>
        <v>100</v>
      </c>
      <c r="I32" s="428"/>
      <c r="J32" s="434">
        <f>SUMIF(99:99,I32,100:100)-SUMIF(99:99,C32,100:100)+100</f>
        <v>100</v>
      </c>
      <c r="K32" s="609"/>
      <c r="L32" s="1136"/>
      <c r="M32" s="1127"/>
      <c r="N32" s="1127"/>
      <c r="O32" s="1127"/>
      <c r="P32" s="3230"/>
      <c r="Q32" s="1800">
        <f t="shared" si="8"/>
        <v>111</v>
      </c>
      <c r="R32" s="767" t="s">
        <v>17</v>
      </c>
      <c r="S32" s="768">
        <f t="shared" si="9"/>
        <v>100</v>
      </c>
      <c r="T32" s="767" t="s">
        <v>17</v>
      </c>
      <c r="U32" s="768">
        <f t="shared" si="10"/>
        <v>100</v>
      </c>
      <c r="V32" s="767" t="s">
        <v>17</v>
      </c>
      <c r="W32" s="768">
        <f t="shared" si="11"/>
        <v>100</v>
      </c>
      <c r="X32" s="1803"/>
      <c r="Y32" s="3232"/>
      <c r="Z32" s="1804">
        <f t="shared" si="12"/>
        <v>111</v>
      </c>
      <c r="AA32" s="1801">
        <f t="shared" si="3"/>
        <v>1</v>
      </c>
      <c r="AB32" s="1801">
        <f t="shared" si="4"/>
        <v>1</v>
      </c>
      <c r="AC32" s="2661">
        <f t="shared" si="5"/>
        <v>1</v>
      </c>
    </row>
    <row r="33" spans="1:29" ht="15">
      <c r="A33" s="436" t="s">
        <v>2560</v>
      </c>
      <c r="B33" s="70" t="s">
        <v>2690</v>
      </c>
      <c r="C33" s="2666" t="s">
        <v>4682</v>
      </c>
      <c r="D33" s="463">
        <v>100</v>
      </c>
      <c r="E33" s="2666" t="s">
        <v>4682</v>
      </c>
      <c r="F33" s="457">
        <f>SUMIF(101:101,E33,102:102)-SUMIF(101:101,C33,102:102)+100</f>
        <v>100</v>
      </c>
      <c r="G33" s="2666" t="s">
        <v>4682</v>
      </c>
      <c r="H33" s="431">
        <f>SUMIF(101:101,G33,102:102)-SUMIF(101:101,C33,102:102)+100</f>
        <v>100</v>
      </c>
      <c r="I33" s="2666" t="s">
        <v>4682</v>
      </c>
      <c r="J33" s="463">
        <f>SUMIF(101:101,I33,102:102)-SUMIF(101:101,C33,102:102)+100</f>
        <v>100</v>
      </c>
      <c r="K33" s="608"/>
      <c r="L33" s="1136"/>
      <c r="M33" s="1127"/>
      <c r="N33" s="1127"/>
      <c r="O33" s="1127"/>
      <c r="P33" s="3233" t="s">
        <v>2562</v>
      </c>
      <c r="Q33" s="1800" t="str">
        <f t="shared" si="8"/>
        <v>建筑类型</v>
      </c>
      <c r="R33" s="767" t="s">
        <v>17</v>
      </c>
      <c r="S33" s="768">
        <f t="shared" si="9"/>
        <v>100</v>
      </c>
      <c r="T33" s="767" t="s">
        <v>17</v>
      </c>
      <c r="U33" s="768">
        <f t="shared" si="10"/>
        <v>100</v>
      </c>
      <c r="V33" s="767" t="s">
        <v>17</v>
      </c>
      <c r="W33" s="768">
        <f t="shared" si="11"/>
        <v>100</v>
      </c>
      <c r="X33" s="1803"/>
      <c r="Y33" s="3236" t="s">
        <v>2562</v>
      </c>
      <c r="Z33" s="1804" t="str">
        <f t="shared" si="12"/>
        <v>建筑类型</v>
      </c>
      <c r="AA33" s="1801">
        <f t="shared" si="3"/>
        <v>1</v>
      </c>
      <c r="AB33" s="1801">
        <f t="shared" si="4"/>
        <v>1</v>
      </c>
      <c r="AC33" s="2661">
        <f t="shared" si="5"/>
        <v>1</v>
      </c>
    </row>
    <row r="34" spans="1:29" s="467" customFormat="1" ht="15" hidden="1">
      <c r="A34" s="464"/>
      <c r="B34" s="418" t="s">
        <v>2563</v>
      </c>
      <c r="C34" s="465">
        <v>100</v>
      </c>
      <c r="D34" s="135">
        <v>100</v>
      </c>
      <c r="E34" s="426">
        <v>100</v>
      </c>
      <c r="F34" s="421">
        <f>LOOKUP(E34,104:104,105:105)-LOOKUP(C34,104:104,105:105)+100</f>
        <v>100</v>
      </c>
      <c r="G34" s="425">
        <v>100</v>
      </c>
      <c r="H34" s="135">
        <f>LOOKUP(G34,104:104,105:105)-LOOKUP(C34,104:104,105:105)+100</f>
        <v>100</v>
      </c>
      <c r="I34" s="425">
        <v>100</v>
      </c>
      <c r="J34" s="135">
        <f>LOOKUP(I34,104:104,105:105)-LOOKUP(C34,104:104,105:105)+100</f>
        <v>100</v>
      </c>
      <c r="K34" s="609"/>
      <c r="L34" s="1134"/>
      <c r="M34" s="1137"/>
      <c r="N34" s="1137"/>
      <c r="O34" s="1137"/>
      <c r="P34" s="3234"/>
      <c r="Q34" s="769" t="str">
        <f t="shared" si="8"/>
        <v>项目建筑规模</v>
      </c>
      <c r="R34" s="770" t="s">
        <v>17</v>
      </c>
      <c r="S34" s="771">
        <f t="shared" si="9"/>
        <v>100</v>
      </c>
      <c r="T34" s="770" t="s">
        <v>17</v>
      </c>
      <c r="U34" s="771">
        <f t="shared" si="10"/>
        <v>100</v>
      </c>
      <c r="V34" s="770" t="s">
        <v>17</v>
      </c>
      <c r="W34" s="771">
        <f t="shared" si="11"/>
        <v>100</v>
      </c>
      <c r="X34" s="772"/>
      <c r="Y34" s="3236"/>
      <c r="Z34" s="773" t="str">
        <f t="shared" si="12"/>
        <v>项目建筑规模</v>
      </c>
      <c r="AA34" s="1801">
        <f t="shared" si="3"/>
        <v>1</v>
      </c>
      <c r="AB34" s="1801">
        <f t="shared" si="4"/>
        <v>1</v>
      </c>
      <c r="AC34" s="2661">
        <f t="shared" si="5"/>
        <v>1</v>
      </c>
    </row>
    <row r="35" spans="1:29" ht="15">
      <c r="A35" s="468"/>
      <c r="B35" s="418" t="s">
        <v>2564</v>
      </c>
      <c r="C35" s="456" t="s">
        <v>3073</v>
      </c>
      <c r="D35" s="431">
        <v>100</v>
      </c>
      <c r="E35" s="456" t="s">
        <v>3073</v>
      </c>
      <c r="F35" s="457">
        <f>SUMIF(106:106,E35,107:107)-SUMIF(106:106,C35,107:107)+100</f>
        <v>100</v>
      </c>
      <c r="G35" s="456" t="s">
        <v>3073</v>
      </c>
      <c r="H35" s="431">
        <f>SUMIF(106:106,G35,107:107)-SUMIF(106:106,C35,107:107)+100</f>
        <v>100</v>
      </c>
      <c r="I35" s="456" t="s">
        <v>3073</v>
      </c>
      <c r="J35" s="431">
        <f>SUMIF(106:106,I35,107:107)-SUMIF(106:106,C35,107:107)+100</f>
        <v>100</v>
      </c>
      <c r="K35" s="608"/>
      <c r="L35" s="1136"/>
      <c r="M35" s="1127"/>
      <c r="N35" s="1127"/>
      <c r="O35" s="1127"/>
      <c r="P35" s="3234"/>
      <c r="Q35" s="1800" t="str">
        <f t="shared" si="8"/>
        <v>建筑结构</v>
      </c>
      <c r="R35" s="767" t="s">
        <v>17</v>
      </c>
      <c r="S35" s="768">
        <f t="shared" si="9"/>
        <v>100</v>
      </c>
      <c r="T35" s="767" t="s">
        <v>17</v>
      </c>
      <c r="U35" s="768">
        <f t="shared" si="10"/>
        <v>100</v>
      </c>
      <c r="V35" s="767" t="s">
        <v>17</v>
      </c>
      <c r="W35" s="768">
        <f t="shared" si="11"/>
        <v>100</v>
      </c>
      <c r="X35" s="1803"/>
      <c r="Y35" s="3236"/>
      <c r="Z35" s="1804" t="str">
        <f t="shared" si="12"/>
        <v>建筑结构</v>
      </c>
      <c r="AA35" s="1801">
        <f t="shared" si="3"/>
        <v>1</v>
      </c>
      <c r="AB35" s="1801">
        <f t="shared" si="4"/>
        <v>1</v>
      </c>
      <c r="AC35" s="2661">
        <f t="shared" si="5"/>
        <v>1</v>
      </c>
    </row>
    <row r="36" spans="1:29" ht="15">
      <c r="A36" s="468"/>
      <c r="B36" s="418" t="s">
        <v>2658</v>
      </c>
      <c r="C36" s="456" t="s">
        <v>3093</v>
      </c>
      <c r="D36" s="431">
        <v>100</v>
      </c>
      <c r="E36" s="456" t="s">
        <v>3093</v>
      </c>
      <c r="F36" s="457">
        <f>SUMIF(108:108,E36,109:109)-SUMIF(108:108,C36,109:109)+100</f>
        <v>100</v>
      </c>
      <c r="G36" s="456" t="s">
        <v>3093</v>
      </c>
      <c r="H36" s="431">
        <f>SUMIF(108:108,G36,109:109)-SUMIF(108:108,C36,109:109)+100</f>
        <v>100</v>
      </c>
      <c r="I36" s="456" t="s">
        <v>3093</v>
      </c>
      <c r="J36" s="431">
        <f>SUMIF(108:108,I36,109:109)-SUMIF(108:108,C36,109:109)+100</f>
        <v>100</v>
      </c>
      <c r="K36" s="608"/>
      <c r="L36" s="1136"/>
      <c r="M36" s="1127"/>
      <c r="N36" s="1127"/>
      <c r="O36" s="1127"/>
      <c r="P36" s="3234"/>
      <c r="Q36" s="1800" t="str">
        <f t="shared" si="8"/>
        <v>公共部分装修</v>
      </c>
      <c r="R36" s="767" t="s">
        <v>17</v>
      </c>
      <c r="S36" s="768">
        <f t="shared" si="9"/>
        <v>100</v>
      </c>
      <c r="T36" s="767" t="s">
        <v>17</v>
      </c>
      <c r="U36" s="768">
        <f t="shared" si="10"/>
        <v>100</v>
      </c>
      <c r="V36" s="767" t="s">
        <v>17</v>
      </c>
      <c r="W36" s="768">
        <f t="shared" si="11"/>
        <v>100</v>
      </c>
      <c r="X36" s="1803"/>
      <c r="Y36" s="3236"/>
      <c r="Z36" s="1804" t="str">
        <f t="shared" si="12"/>
        <v>公共部分装修</v>
      </c>
      <c r="AA36" s="1801">
        <f t="shared" si="3"/>
        <v>1</v>
      </c>
      <c r="AB36" s="1801">
        <f t="shared" si="4"/>
        <v>1</v>
      </c>
      <c r="AC36" s="2661">
        <f t="shared" si="5"/>
        <v>1</v>
      </c>
    </row>
    <row r="37" spans="1:29" ht="15">
      <c r="A37" s="468"/>
      <c r="B37" s="418" t="s">
        <v>2659</v>
      </c>
      <c r="C37" s="470">
        <v>0.97</v>
      </c>
      <c r="D37" s="431">
        <v>100</v>
      </c>
      <c r="E37" s="470">
        <v>0.95</v>
      </c>
      <c r="F37" s="457">
        <f>LOOKUP(E37,111:111,112:112)-LOOKUP(C37,111:111,112:112)+100</f>
        <v>100</v>
      </c>
      <c r="G37" s="470">
        <v>0.95</v>
      </c>
      <c r="H37" s="457">
        <f>LOOKUP(G37,111:111,112:112)-LOOKUP(C37,111:111,112:112)+100</f>
        <v>100</v>
      </c>
      <c r="I37" s="470">
        <v>0.95</v>
      </c>
      <c r="J37" s="431">
        <f>LOOKUP(I37,111:111,112:112)-LOOKUP(C37,111:111,112:112)+100</f>
        <v>100</v>
      </c>
      <c r="K37" s="608"/>
      <c r="L37" s="1136"/>
      <c r="M37" s="1127"/>
      <c r="N37" s="1127"/>
      <c r="O37" s="1127"/>
      <c r="P37" s="3234"/>
      <c r="Q37" s="1800" t="str">
        <f t="shared" si="8"/>
        <v>成新度</v>
      </c>
      <c r="R37" s="767" t="s">
        <v>17</v>
      </c>
      <c r="S37" s="768">
        <f t="shared" si="9"/>
        <v>100</v>
      </c>
      <c r="T37" s="767" t="s">
        <v>17</v>
      </c>
      <c r="U37" s="768">
        <f t="shared" si="10"/>
        <v>100</v>
      </c>
      <c r="V37" s="767" t="s">
        <v>17</v>
      </c>
      <c r="W37" s="768">
        <f t="shared" si="11"/>
        <v>100</v>
      </c>
      <c r="X37" s="1803"/>
      <c r="Y37" s="3236"/>
      <c r="Z37" s="1804" t="str">
        <f t="shared" si="12"/>
        <v>成新度</v>
      </c>
      <c r="AA37" s="1801">
        <f t="shared" si="3"/>
        <v>1</v>
      </c>
      <c r="AB37" s="1801">
        <f t="shared" si="4"/>
        <v>1</v>
      </c>
      <c r="AC37" s="2661">
        <f t="shared" si="5"/>
        <v>1</v>
      </c>
    </row>
    <row r="38" spans="1:29" s="116" customFormat="1" ht="15">
      <c r="A38" s="469"/>
      <c r="B38" s="418" t="s">
        <v>2691</v>
      </c>
      <c r="C38" s="456" t="s">
        <v>4692</v>
      </c>
      <c r="D38" s="135">
        <v>100</v>
      </c>
      <c r="E38" s="456" t="s">
        <v>4692</v>
      </c>
      <c r="F38" s="457">
        <f>SUMIF(113:113,E38,114:114)-SUMIF(113:113,C38,114:114)+100</f>
        <v>100</v>
      </c>
      <c r="G38" s="456" t="s">
        <v>4692</v>
      </c>
      <c r="H38" s="431">
        <f>SUMIF(113:113,G38,114:114)-SUMIF(113:113,C38,114:114)+100</f>
        <v>100</v>
      </c>
      <c r="I38" s="456" t="s">
        <v>4692</v>
      </c>
      <c r="J38" s="431">
        <f>SUMIF(113:113,I38,114:114)-SUMIF(113:113,C38,114:114)+100</f>
        <v>100</v>
      </c>
      <c r="K38" s="608"/>
      <c r="L38" s="1128"/>
      <c r="M38" s="1129"/>
      <c r="N38" s="1129"/>
      <c r="O38" s="1129"/>
      <c r="P38" s="3234"/>
      <c r="Q38" s="1785" t="str">
        <f t="shared" si="8"/>
        <v>写字楼等级</v>
      </c>
      <c r="R38" s="763" t="s">
        <v>17</v>
      </c>
      <c r="S38" s="764">
        <f t="shared" si="9"/>
        <v>100</v>
      </c>
      <c r="T38" s="763" t="s">
        <v>17</v>
      </c>
      <c r="U38" s="764">
        <f t="shared" si="10"/>
        <v>100</v>
      </c>
      <c r="V38" s="763" t="s">
        <v>17</v>
      </c>
      <c r="W38" s="764">
        <f t="shared" si="11"/>
        <v>100</v>
      </c>
      <c r="X38" s="765"/>
      <c r="Y38" s="3236"/>
      <c r="Z38" s="55" t="str">
        <f t="shared" si="12"/>
        <v>写字楼等级</v>
      </c>
      <c r="AA38" s="766">
        <f t="shared" si="3"/>
        <v>1</v>
      </c>
      <c r="AB38" s="766">
        <f t="shared" si="4"/>
        <v>1</v>
      </c>
      <c r="AC38" s="2658">
        <f t="shared" si="5"/>
        <v>1</v>
      </c>
    </row>
    <row r="39" spans="1:29" ht="15">
      <c r="A39" s="468"/>
      <c r="B39" s="418" t="s">
        <v>2692</v>
      </c>
      <c r="C39" s="456" t="s">
        <v>4696</v>
      </c>
      <c r="D39" s="431">
        <v>100</v>
      </c>
      <c r="E39" s="456" t="s">
        <v>4696</v>
      </c>
      <c r="F39" s="457">
        <f>SUMIF(115:115,E39,116:116)-SUMIF(115:115,C39,116:116)+100</f>
        <v>100</v>
      </c>
      <c r="G39" s="456" t="s">
        <v>4696</v>
      </c>
      <c r="H39" s="431">
        <f>SUMIF(115:115,G39,116:116)-SUMIF(115:115,C39,116:116)+100</f>
        <v>100</v>
      </c>
      <c r="I39" s="456" t="s">
        <v>4696</v>
      </c>
      <c r="J39" s="431">
        <f>SUMIF(115:115,I39,116:116)-SUMIF(115:115,C39,116:116)+100</f>
        <v>100</v>
      </c>
      <c r="K39" s="608"/>
      <c r="L39" s="1136"/>
      <c r="M39" s="1127"/>
      <c r="N39" s="1127"/>
      <c r="O39" s="1127"/>
      <c r="P39" s="3234" t="s">
        <v>2562</v>
      </c>
      <c r="Q39" s="1800" t="str">
        <f t="shared" si="8"/>
        <v>物业管理</v>
      </c>
      <c r="R39" s="767" t="s">
        <v>17</v>
      </c>
      <c r="S39" s="768">
        <f t="shared" si="9"/>
        <v>100</v>
      </c>
      <c r="T39" s="767" t="s">
        <v>17</v>
      </c>
      <c r="U39" s="768">
        <f t="shared" si="10"/>
        <v>100</v>
      </c>
      <c r="V39" s="767" t="s">
        <v>17</v>
      </c>
      <c r="W39" s="768">
        <f t="shared" si="11"/>
        <v>100</v>
      </c>
      <c r="X39" s="1803"/>
      <c r="Y39" s="3236" t="s">
        <v>2562</v>
      </c>
      <c r="Z39" s="1804" t="str">
        <f t="shared" si="12"/>
        <v>物业管理</v>
      </c>
      <c r="AA39" s="1801">
        <f t="shared" si="3"/>
        <v>1</v>
      </c>
      <c r="AB39" s="1801">
        <f t="shared" si="4"/>
        <v>1</v>
      </c>
      <c r="AC39" s="2661">
        <f t="shared" si="5"/>
        <v>1</v>
      </c>
    </row>
    <row r="40" spans="1:29" ht="15">
      <c r="A40" s="468"/>
      <c r="B40" s="418" t="s">
        <v>2660</v>
      </c>
      <c r="C40" s="456" t="s">
        <v>3082</v>
      </c>
      <c r="D40" s="431">
        <v>100</v>
      </c>
      <c r="E40" s="456" t="s">
        <v>3082</v>
      </c>
      <c r="F40" s="457">
        <f>SUMIF(117:117,E40,118:118)-SUMIF(117:117,C40,118:118)+100</f>
        <v>100</v>
      </c>
      <c r="G40" s="456" t="s">
        <v>3082</v>
      </c>
      <c r="H40" s="431">
        <f>SUMIF(117:117,G40,118:118)-SUMIF(117:117,C40,118:118)+100</f>
        <v>100</v>
      </c>
      <c r="I40" s="456" t="s">
        <v>3082</v>
      </c>
      <c r="J40" s="431">
        <f>SUMIF(117:117,I40,118:118)-SUMIF(117:117,C40,118:118)+100</f>
        <v>100</v>
      </c>
      <c r="K40" s="608"/>
      <c r="L40" s="1136"/>
      <c r="M40" s="1127"/>
      <c r="N40" s="1127"/>
      <c r="O40" s="1127"/>
      <c r="P40" s="3234"/>
      <c r="Q40" s="1800" t="str">
        <f t="shared" si="8"/>
        <v>市政基础设施</v>
      </c>
      <c r="R40" s="767" t="s">
        <v>17</v>
      </c>
      <c r="S40" s="768">
        <f t="shared" si="9"/>
        <v>100</v>
      </c>
      <c r="T40" s="767" t="s">
        <v>17</v>
      </c>
      <c r="U40" s="768">
        <f t="shared" si="10"/>
        <v>100</v>
      </c>
      <c r="V40" s="767" t="s">
        <v>17</v>
      </c>
      <c r="W40" s="768">
        <f t="shared" si="11"/>
        <v>100</v>
      </c>
      <c r="X40" s="1803"/>
      <c r="Y40" s="3236"/>
      <c r="Z40" s="1804" t="str">
        <f t="shared" si="12"/>
        <v>市政基础设施</v>
      </c>
      <c r="AA40" s="1801">
        <f t="shared" si="3"/>
        <v>1</v>
      </c>
      <c r="AB40" s="1801">
        <f t="shared" si="4"/>
        <v>1</v>
      </c>
      <c r="AC40" s="2661">
        <f t="shared" si="5"/>
        <v>1</v>
      </c>
    </row>
    <row r="41" spans="1:29" ht="15">
      <c r="A41" s="468"/>
      <c r="B41" s="418" t="s">
        <v>2662</v>
      </c>
      <c r="C41" s="612" t="s">
        <v>3103</v>
      </c>
      <c r="D41" s="431">
        <v>100</v>
      </c>
      <c r="E41" s="612" t="s">
        <v>3103</v>
      </c>
      <c r="F41" s="457">
        <f>SUMIF(119:119,E41,120:120)-SUMIF(119:119,C41,120:120)+100</f>
        <v>100</v>
      </c>
      <c r="G41" s="612" t="s">
        <v>3103</v>
      </c>
      <c r="H41" s="431">
        <f>SUMIF(119:119,G41,120:120)-SUMIF(119:119,C41,120:120)+100</f>
        <v>100</v>
      </c>
      <c r="I41" s="612" t="s">
        <v>3103</v>
      </c>
      <c r="J41" s="431">
        <f>SUMIF(119:119,I41,120:120)-SUMIF(119:119,C41,120:120)+100</f>
        <v>100</v>
      </c>
      <c r="K41" s="608"/>
      <c r="L41" s="1136"/>
      <c r="M41" s="1127"/>
      <c r="N41" s="1127"/>
      <c r="O41" s="1127"/>
      <c r="P41" s="3234"/>
      <c r="Q41" s="1800" t="str">
        <f t="shared" si="8"/>
        <v>层高</v>
      </c>
      <c r="R41" s="767" t="s">
        <v>17</v>
      </c>
      <c r="S41" s="768">
        <f t="shared" si="9"/>
        <v>100</v>
      </c>
      <c r="T41" s="767" t="s">
        <v>17</v>
      </c>
      <c r="U41" s="768">
        <f t="shared" si="10"/>
        <v>100</v>
      </c>
      <c r="V41" s="767" t="s">
        <v>17</v>
      </c>
      <c r="W41" s="768">
        <f t="shared" si="11"/>
        <v>100</v>
      </c>
      <c r="X41" s="1803"/>
      <c r="Y41" s="3236"/>
      <c r="Z41" s="1804" t="str">
        <f t="shared" si="12"/>
        <v>层高</v>
      </c>
      <c r="AA41" s="1801">
        <f t="shared" si="3"/>
        <v>1</v>
      </c>
      <c r="AB41" s="1801">
        <f t="shared" si="4"/>
        <v>1</v>
      </c>
      <c r="AC41" s="2661">
        <f t="shared" si="5"/>
        <v>1</v>
      </c>
    </row>
    <row r="42" spans="1:29" s="467" customFormat="1" ht="15">
      <c r="A42" s="464"/>
      <c r="B42" s="1802" t="s">
        <v>2693</v>
      </c>
      <c r="C42" s="430" t="s">
        <v>4705</v>
      </c>
      <c r="D42" s="431">
        <v>100</v>
      </c>
      <c r="E42" s="430" t="s">
        <v>4705</v>
      </c>
      <c r="F42" s="457">
        <f>SUMIF(121:121,E42,122:122)-SUMIF(121:121,C42,122:122)+100</f>
        <v>100</v>
      </c>
      <c r="G42" s="430" t="s">
        <v>4705</v>
      </c>
      <c r="H42" s="431">
        <f>SUMIF(121:121,G42,122:122)-SUMIF(121:121,C42,122:122)+100</f>
        <v>100</v>
      </c>
      <c r="I42" s="430" t="s">
        <v>4706</v>
      </c>
      <c r="J42" s="431">
        <f>SUMIF(121:121,I42,122:122)-SUMIF(121:121,C42,122:122)+100</f>
        <v>100</v>
      </c>
      <c r="K42" s="609"/>
      <c r="L42" s="1134"/>
      <c r="M42" s="1137"/>
      <c r="N42" s="1137"/>
      <c r="O42" s="1137"/>
      <c r="P42" s="3234"/>
      <c r="Q42" s="769" t="str">
        <f t="shared" si="8"/>
        <v>单套建筑面积</v>
      </c>
      <c r="R42" s="770" t="s">
        <v>17</v>
      </c>
      <c r="S42" s="771">
        <f t="shared" si="9"/>
        <v>100</v>
      </c>
      <c r="T42" s="770" t="s">
        <v>17</v>
      </c>
      <c r="U42" s="771">
        <f t="shared" si="10"/>
        <v>100</v>
      </c>
      <c r="V42" s="770" t="s">
        <v>17</v>
      </c>
      <c r="W42" s="771">
        <f t="shared" si="11"/>
        <v>100</v>
      </c>
      <c r="X42" s="772"/>
      <c r="Y42" s="3236"/>
      <c r="Z42" s="773" t="str">
        <f t="shared" si="12"/>
        <v>单套建筑面积</v>
      </c>
      <c r="AA42" s="1801">
        <f t="shared" si="3"/>
        <v>1</v>
      </c>
      <c r="AB42" s="1801">
        <f t="shared" si="4"/>
        <v>1</v>
      </c>
      <c r="AC42" s="2661">
        <f t="shared" si="5"/>
        <v>1</v>
      </c>
    </row>
    <row r="43" spans="1:29" ht="15">
      <c r="A43" s="468"/>
      <c r="B43" s="418" t="s">
        <v>2665</v>
      </c>
      <c r="C43" s="456" t="s">
        <v>4689</v>
      </c>
      <c r="D43" s="431">
        <v>100</v>
      </c>
      <c r="E43" s="456" t="s">
        <v>4689</v>
      </c>
      <c r="F43" s="457">
        <f>SUMIF(123:123,E43,124:124)-SUMIF(123:123,C43,124:124)+100</f>
        <v>100</v>
      </c>
      <c r="G43" s="456" t="s">
        <v>4689</v>
      </c>
      <c r="H43" s="431">
        <f>SUMIF(123:123,G43,124:124)-SUMIF(123:123,C43,124:124)+100</f>
        <v>100</v>
      </c>
      <c r="I43" s="456" t="s">
        <v>4689</v>
      </c>
      <c r="J43" s="431">
        <f>SUMIF(123:123,I43,124:124)-SUMIF(123:123,C43,124:124)+100</f>
        <v>100</v>
      </c>
      <c r="K43" s="608"/>
      <c r="L43" s="1136"/>
      <c r="M43" s="1127"/>
      <c r="N43" s="1127"/>
      <c r="O43" s="1127"/>
      <c r="P43" s="3234"/>
      <c r="Q43" s="1800" t="str">
        <f t="shared" si="8"/>
        <v>内部装修</v>
      </c>
      <c r="R43" s="767" t="s">
        <v>17</v>
      </c>
      <c r="S43" s="768">
        <f t="shared" si="9"/>
        <v>100</v>
      </c>
      <c r="T43" s="767" t="s">
        <v>17</v>
      </c>
      <c r="U43" s="768">
        <f t="shared" si="10"/>
        <v>100</v>
      </c>
      <c r="V43" s="767" t="s">
        <v>17</v>
      </c>
      <c r="W43" s="768">
        <f t="shared" si="11"/>
        <v>100</v>
      </c>
      <c r="X43" s="1803"/>
      <c r="Y43" s="3236"/>
      <c r="Z43" s="1804" t="str">
        <f t="shared" si="12"/>
        <v>内部装修</v>
      </c>
      <c r="AA43" s="1801">
        <f t="shared" si="3"/>
        <v>1</v>
      </c>
      <c r="AB43" s="1801">
        <f t="shared" si="4"/>
        <v>1</v>
      </c>
      <c r="AC43" s="2661">
        <f t="shared" si="5"/>
        <v>1</v>
      </c>
    </row>
    <row r="44" spans="1:29" ht="15.75" thickBot="1">
      <c r="A44" s="468"/>
      <c r="B44" s="418" t="s">
        <v>2573</v>
      </c>
      <c r="C44" s="456" t="s">
        <v>3081</v>
      </c>
      <c r="D44" s="431">
        <v>100</v>
      </c>
      <c r="E44" s="2600" t="s">
        <v>3081</v>
      </c>
      <c r="F44" s="457">
        <f>SUMIF(125:125,E44,126:126)-SUMIF(125:125,C44,126:126)+100</f>
        <v>100</v>
      </c>
      <c r="G44" s="2600" t="s">
        <v>3081</v>
      </c>
      <c r="H44" s="431">
        <f>SUMIF(125:125,G44,126:126)-SUMIF(125:125,C44,126:126)+100</f>
        <v>100</v>
      </c>
      <c r="I44" s="2600" t="s">
        <v>3081</v>
      </c>
      <c r="J44" s="431">
        <f>SUMIF(125:125,I44,126:126)-SUMIF(125:125,C44,126:126)+100</f>
        <v>100</v>
      </c>
      <c r="K44" s="608"/>
      <c r="L44" s="1136"/>
      <c r="M44" s="1127"/>
      <c r="N44" s="1127"/>
      <c r="O44" s="1127"/>
      <c r="P44" s="3234"/>
      <c r="Q44" s="1800" t="str">
        <f t="shared" si="8"/>
        <v>内部装修维护情况</v>
      </c>
      <c r="R44" s="767" t="s">
        <v>17</v>
      </c>
      <c r="S44" s="768">
        <f t="shared" si="9"/>
        <v>100</v>
      </c>
      <c r="T44" s="767" t="s">
        <v>17</v>
      </c>
      <c r="U44" s="768">
        <f t="shared" si="10"/>
        <v>100</v>
      </c>
      <c r="V44" s="767" t="s">
        <v>17</v>
      </c>
      <c r="W44" s="768">
        <f t="shared" si="11"/>
        <v>100</v>
      </c>
      <c r="X44" s="1803"/>
      <c r="Y44" s="3236"/>
      <c r="Z44" s="1804" t="str">
        <f t="shared" si="12"/>
        <v>内部装修维护情况</v>
      </c>
      <c r="AA44" s="1801">
        <f t="shared" si="3"/>
        <v>1</v>
      </c>
      <c r="AB44" s="1801">
        <f t="shared" si="4"/>
        <v>1</v>
      </c>
      <c r="AC44" s="2661">
        <f t="shared" si="5"/>
        <v>1</v>
      </c>
    </row>
    <row r="45" spans="1:29" s="116" customFormat="1" ht="15" hidden="1">
      <c r="A45" s="469"/>
      <c r="B45" s="1375">
        <v>111</v>
      </c>
      <c r="C45" s="465"/>
      <c r="D45" s="135">
        <v>100</v>
      </c>
      <c r="E45" s="428"/>
      <c r="F45" s="421">
        <f>SUMIF(127:127,E45,128:128)-SUMIF(127:127,C45,128:128)+100</f>
        <v>100</v>
      </c>
      <c r="G45" s="428"/>
      <c r="H45" s="135">
        <f>SUMIF(127:127,G45,128:128)-SUMIF(127:127,C45,128:128)+100</f>
        <v>100</v>
      </c>
      <c r="I45" s="428"/>
      <c r="J45" s="135">
        <f>SUMIF(127:127,I45,128:128)-SUMIF(127:127,C45,128:128)+100</f>
        <v>100</v>
      </c>
      <c r="K45" s="609"/>
      <c r="L45" s="1128"/>
      <c r="M45" s="1129"/>
      <c r="N45" s="1129"/>
      <c r="O45" s="1129"/>
      <c r="P45" s="3234"/>
      <c r="Q45" s="1785">
        <f t="shared" si="8"/>
        <v>111</v>
      </c>
      <c r="R45" s="763" t="s">
        <v>17</v>
      </c>
      <c r="S45" s="764">
        <f t="shared" si="9"/>
        <v>100</v>
      </c>
      <c r="T45" s="763" t="s">
        <v>17</v>
      </c>
      <c r="U45" s="764">
        <f t="shared" si="10"/>
        <v>100</v>
      </c>
      <c r="V45" s="763" t="s">
        <v>17</v>
      </c>
      <c r="W45" s="764">
        <f t="shared" si="11"/>
        <v>100</v>
      </c>
      <c r="X45" s="765"/>
      <c r="Y45" s="3236"/>
      <c r="Z45" s="55">
        <f t="shared" si="12"/>
        <v>111</v>
      </c>
      <c r="AA45" s="766">
        <f t="shared" si="3"/>
        <v>1</v>
      </c>
      <c r="AB45" s="766">
        <f t="shared" si="4"/>
        <v>1</v>
      </c>
      <c r="AC45" s="2658">
        <f t="shared" si="5"/>
        <v>1</v>
      </c>
    </row>
    <row r="46" spans="1:29" ht="15" hidden="1">
      <c r="A46" s="468"/>
      <c r="B46" s="1375">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6"/>
      <c r="M46" s="1127"/>
      <c r="N46" s="1127"/>
      <c r="O46" s="1127"/>
      <c r="P46" s="3234"/>
      <c r="Q46" s="1800">
        <f t="shared" si="8"/>
        <v>111</v>
      </c>
      <c r="R46" s="767" t="s">
        <v>17</v>
      </c>
      <c r="S46" s="768">
        <f t="shared" si="9"/>
        <v>100</v>
      </c>
      <c r="T46" s="767" t="s">
        <v>17</v>
      </c>
      <c r="U46" s="768">
        <f t="shared" si="10"/>
        <v>100</v>
      </c>
      <c r="V46" s="767" t="s">
        <v>17</v>
      </c>
      <c r="W46" s="768">
        <f t="shared" si="11"/>
        <v>100</v>
      </c>
      <c r="X46" s="1803"/>
      <c r="Y46" s="3236"/>
      <c r="Z46" s="1804">
        <f t="shared" si="12"/>
        <v>111</v>
      </c>
      <c r="AA46" s="1801">
        <f t="shared" si="3"/>
        <v>1</v>
      </c>
      <c r="AB46" s="1801">
        <f t="shared" si="4"/>
        <v>1</v>
      </c>
      <c r="AC46" s="2661">
        <f t="shared" si="5"/>
        <v>1</v>
      </c>
    </row>
    <row r="47" spans="1:29" ht="15.75" hidden="1" thickBot="1">
      <c r="A47" s="474"/>
      <c r="B47" s="2589">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6"/>
      <c r="M47" s="1127"/>
      <c r="N47" s="1127"/>
      <c r="O47" s="1127"/>
      <c r="P47" s="3235"/>
      <c r="Q47" s="1800">
        <f t="shared" si="8"/>
        <v>111</v>
      </c>
      <c r="R47" s="767" t="s">
        <v>17</v>
      </c>
      <c r="S47" s="768">
        <f t="shared" si="9"/>
        <v>100</v>
      </c>
      <c r="T47" s="767" t="s">
        <v>17</v>
      </c>
      <c r="U47" s="768">
        <f t="shared" si="10"/>
        <v>100</v>
      </c>
      <c r="V47" s="767" t="s">
        <v>17</v>
      </c>
      <c r="W47" s="768">
        <f t="shared" si="11"/>
        <v>100</v>
      </c>
      <c r="X47" s="1803"/>
      <c r="Y47" s="3237"/>
      <c r="Z47" s="1804">
        <f t="shared" si="12"/>
        <v>111</v>
      </c>
      <c r="AA47" s="1801">
        <f t="shared" si="3"/>
        <v>1</v>
      </c>
      <c r="AB47" s="1801">
        <f t="shared" si="4"/>
        <v>1</v>
      </c>
      <c r="AC47" s="2661">
        <f t="shared" si="5"/>
        <v>1</v>
      </c>
    </row>
    <row r="48" spans="1:29" ht="15">
      <c r="A48" s="475" t="s">
        <v>2574</v>
      </c>
      <c r="B48" s="476"/>
      <c r="C48" s="1396" t="s">
        <v>1</v>
      </c>
      <c r="D48" s="1397"/>
      <c r="E48" s="1398">
        <f>ROUND(20000*0.98,0)</f>
        <v>19600</v>
      </c>
      <c r="F48" s="1399"/>
      <c r="G48" s="1400">
        <f>ROUND(19000*0.97,0)</f>
        <v>18430</v>
      </c>
      <c r="H48" s="1401"/>
      <c r="I48" s="1398">
        <f>ROUND(19000*0.98,0)</f>
        <v>18620</v>
      </c>
      <c r="J48" s="481"/>
      <c r="K48" s="776"/>
      <c r="L48" s="1139"/>
      <c r="M48" s="1127"/>
      <c r="N48" s="1127"/>
      <c r="O48" s="1127"/>
      <c r="P48" s="3214" t="str">
        <f>A48</f>
        <v>成交单价（元/平方米）</v>
      </c>
      <c r="Q48" s="3238"/>
      <c r="R48" s="3239">
        <f>E48</f>
        <v>19600</v>
      </c>
      <c r="S48" s="3239"/>
      <c r="T48" s="3239">
        <f>G48</f>
        <v>18430</v>
      </c>
      <c r="U48" s="3239"/>
      <c r="V48" s="3239">
        <f>I48</f>
        <v>18620</v>
      </c>
      <c r="W48" s="3239"/>
      <c r="X48" s="442"/>
      <c r="Y48" s="774"/>
      <c r="Z48" s="442"/>
      <c r="AA48" s="442"/>
      <c r="AB48" s="442"/>
      <c r="AC48" s="625"/>
    </row>
    <row r="49" spans="1:29" ht="15.75" thickBot="1">
      <c r="A49" s="482" t="s">
        <v>2666</v>
      </c>
      <c r="B49" s="483"/>
      <c r="C49" s="1402">
        <f>R50</f>
        <v>18883</v>
      </c>
      <c r="D49" s="1403"/>
      <c r="E49" s="1404">
        <f>R49</f>
        <v>19600</v>
      </c>
      <c r="F49" s="1404"/>
      <c r="G49" s="1402">
        <f>T49</f>
        <v>18430</v>
      </c>
      <c r="H49" s="1403"/>
      <c r="I49" s="1404">
        <f>V49</f>
        <v>18620</v>
      </c>
      <c r="J49" s="485"/>
      <c r="K49" s="777"/>
      <c r="L49" s="1139"/>
      <c r="M49" s="1127"/>
      <c r="N49" s="1127"/>
      <c r="O49" s="1127"/>
      <c r="P49" s="3214" t="str">
        <f>A49</f>
        <v>比较价值（元/平方米）</v>
      </c>
      <c r="Q49" s="3238"/>
      <c r="R49" s="3239">
        <f>IF(F1="售价",ROUND(PRODUCT(R48,AA7:AA47),0),ROUND(PRODUCT(R48,AA7:AA47),1))</f>
        <v>19600</v>
      </c>
      <c r="S49" s="3239"/>
      <c r="T49" s="3239">
        <f>IF(F1="售价",ROUND(PRODUCT(T48,AB7:AB47),0),ROUND(PRODUCT(T48,AB7:AB47),1))</f>
        <v>18430</v>
      </c>
      <c r="U49" s="3239"/>
      <c r="V49" s="3239">
        <f>IF(F1="售价",ROUND(PRODUCT(V48,AC7:AC47),0),ROUND(PRODUCT(V48,AC7:AC47),1))</f>
        <v>18620</v>
      </c>
      <c r="W49" s="3239"/>
      <c r="X49" s="442"/>
      <c r="Y49" s="442"/>
      <c r="Z49" s="442"/>
      <c r="AA49" s="442"/>
      <c r="AB49" s="442"/>
      <c r="AC49" s="625"/>
    </row>
    <row r="50" spans="1:29" ht="15.75" thickBot="1">
      <c r="A50" s="488" t="s">
        <v>2667</v>
      </c>
      <c r="B50" s="489"/>
      <c r="C50" s="1406">
        <f>R50</f>
        <v>18883</v>
      </c>
      <c r="D50" s="1406"/>
      <c r="E50" s="1406"/>
      <c r="F50" s="1406"/>
      <c r="G50" s="1406"/>
      <c r="H50" s="1406"/>
      <c r="I50" s="1406"/>
      <c r="J50" s="490"/>
      <c r="K50" s="778"/>
      <c r="L50" s="1139"/>
      <c r="M50" s="1127"/>
      <c r="N50" s="1127"/>
      <c r="O50" s="1127"/>
      <c r="P50" s="3257" t="str">
        <f>A50</f>
        <v>估价对象XX用房的比较价值（楼面单价，元/平方米）</v>
      </c>
      <c r="Q50" s="3258"/>
      <c r="R50" s="3259">
        <f>IF(F1="售价",ROUND(AVERAGE(R49:V49),0),ROUND(AVERAGE(R49:V49),1))</f>
        <v>18883</v>
      </c>
      <c r="S50" s="3259"/>
      <c r="T50" s="3259"/>
      <c r="U50" s="3259"/>
      <c r="V50" s="3259"/>
      <c r="W50" s="3259"/>
      <c r="X50" s="2641"/>
      <c r="Y50" s="2641"/>
      <c r="Z50" s="2641"/>
      <c r="AA50" s="2641"/>
      <c r="AB50" s="2641"/>
      <c r="AC50" s="2642"/>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3" t="s">
        <v>2668</v>
      </c>
      <c r="D53" s="494"/>
      <c r="E53" s="495">
        <f>IF(E48&lt;E49,E49/E48-1,E48/E49-1)</f>
        <v>0</v>
      </c>
      <c r="F53" s="496" t="str">
        <f>IF(OR(E53&gt;=0.3,E53&lt;=-0.3),"超过30%","")</f>
        <v/>
      </c>
      <c r="G53" s="495">
        <f>IF(G48&lt;G49,G49/G48-1,G48/G49-1)</f>
        <v>0</v>
      </c>
      <c r="H53" s="496" t="str">
        <f>IF(OR(G53&gt;=0.3,G53&lt;=-0.3),"超过30%","")</f>
        <v/>
      </c>
      <c r="I53" s="495">
        <f>IF(I48&lt;I49,I49/I48-1,I48/I49-1)</f>
        <v>0</v>
      </c>
      <c r="J53" s="496" t="str">
        <f>IF(OR(I53&gt;=0.3,I53&lt;=-0.3),"超过30%","")</f>
        <v/>
      </c>
      <c r="K53" s="1101"/>
      <c r="L53" s="1102"/>
      <c r="M53" s="1140"/>
      <c r="N53" s="1140"/>
      <c r="O53" s="1140"/>
    </row>
    <row r="54" spans="1:29" ht="13.5" customHeight="1">
      <c r="A54" s="1140"/>
      <c r="B54" s="1140"/>
      <c r="C54" s="493" t="s">
        <v>2669</v>
      </c>
      <c r="D54" s="497"/>
      <c r="E54" s="495">
        <f>IF(E49&lt;G49,G49/E49-1,E49/G49-1)</f>
        <v>6.3483450895279514E-2</v>
      </c>
      <c r="F54" s="496" t="str">
        <f>IF(OR(E54&gt;=0.2,E54&lt;=-0.2),"超过20%","")</f>
        <v/>
      </c>
      <c r="G54" s="495">
        <f>IF(G49&lt;I49,I49/G49-1,G49/I49-1)</f>
        <v>1.0309278350515427E-2</v>
      </c>
      <c r="H54" s="496" t="str">
        <f>IF(OR(G54&gt;=0.2,G54&lt;=-0.2),"超过20%","")</f>
        <v/>
      </c>
      <c r="I54" s="495">
        <f>IF(I49&lt;E49,E49/I49-1,I49/E49-1)</f>
        <v>5.2631578947368363E-2</v>
      </c>
      <c r="J54" s="496" t="str">
        <f>IF(OR(I54&gt;=0.2,I54&lt;=-0.2),"超过20%","")</f>
        <v/>
      </c>
      <c r="K54" s="1101"/>
      <c r="L54" s="1102"/>
      <c r="M54" s="1140"/>
      <c r="N54" s="1140"/>
      <c r="O54" s="1140"/>
    </row>
    <row r="55" spans="1:29" s="498" customFormat="1" ht="13.5" customHeight="1">
      <c r="A55" s="1141"/>
      <c r="B55" s="1141"/>
      <c r="C55" s="493" t="s">
        <v>2670</v>
      </c>
      <c r="D55" s="497"/>
      <c r="E55" s="495">
        <f>IF(E48&lt;G48,G48/E48-1,E48/G48-1)</f>
        <v>6.3483450895279514E-2</v>
      </c>
      <c r="F55" s="496" t="str">
        <f>IF(OR(E55&gt;=0.3,E55&lt;=-0.3),"超过30%","")</f>
        <v/>
      </c>
      <c r="G55" s="495">
        <f>IF(G48&lt;I48,I48/G48-1,G48/I48-1)</f>
        <v>1.0309278350515427E-2</v>
      </c>
      <c r="H55" s="496" t="str">
        <f>IF(OR(G55&gt;=0.3,G55&lt;=-0.3),"超过30%","")</f>
        <v/>
      </c>
      <c r="I55" s="495">
        <f>IF(I48&lt;E48,E48/I48-1,I48/E48-1)</f>
        <v>5.2631578947368363E-2</v>
      </c>
      <c r="J55" s="496" t="str">
        <f>IF(OR(I55&gt;=0.3,I55&lt;=-0.3),"超过30%","")</f>
        <v/>
      </c>
      <c r="K55" s="1144"/>
      <c r="L55" s="1145"/>
      <c r="M55" s="1141"/>
      <c r="N55" s="1141"/>
      <c r="O55" s="1141"/>
      <c r="P55" s="2667"/>
    </row>
    <row r="56" spans="1:29" s="498" customFormat="1">
      <c r="A56" s="1141"/>
      <c r="B56" s="1142"/>
      <c r="C56" s="1146"/>
      <c r="D56" s="1141"/>
      <c r="E56" s="1141"/>
      <c r="F56" s="1141"/>
      <c r="G56" s="1141"/>
      <c r="H56" s="1141"/>
      <c r="I56" s="1141"/>
      <c r="J56" s="1141"/>
      <c r="K56" s="1144"/>
      <c r="L56" s="1145"/>
      <c r="M56" s="1141"/>
      <c r="N56" s="1141"/>
      <c r="O56" s="1141"/>
      <c r="P56" s="2667"/>
    </row>
    <row r="57" spans="1:29">
      <c r="A57" s="1140"/>
      <c r="B57" s="1142"/>
      <c r="C57" s="1146"/>
      <c r="D57" s="1140"/>
      <c r="E57" s="1140"/>
      <c r="F57" s="1140"/>
      <c r="G57" s="1140"/>
      <c r="H57" s="1140"/>
      <c r="I57" s="1140"/>
      <c r="J57" s="1140"/>
      <c r="K57" s="1101"/>
      <c r="L57" s="1102"/>
      <c r="M57" s="1140"/>
      <c r="N57" s="1140"/>
      <c r="O57" s="1140"/>
    </row>
    <row r="58" spans="1:29" ht="21.75" thickBot="1">
      <c r="A58" s="756" t="s">
        <v>2671</v>
      </c>
      <c r="B58" s="752"/>
      <c r="C58" s="757"/>
      <c r="D58" s="757"/>
      <c r="E58" s="757"/>
      <c r="F58" s="758"/>
      <c r="G58" s="758"/>
      <c r="H58" s="757"/>
      <c r="I58" s="757"/>
      <c r="J58" s="757"/>
      <c r="K58" s="759"/>
      <c r="L58" s="1157"/>
      <c r="M58" s="1155"/>
      <c r="N58" s="1155"/>
      <c r="O58" s="1155"/>
      <c r="P58" s="2668"/>
      <c r="Q58" s="500"/>
    </row>
    <row r="59" spans="1:29" s="504" customFormat="1" ht="15">
      <c r="A59" s="501" t="s">
        <v>2545</v>
      </c>
      <c r="B59" s="502"/>
      <c r="C59" s="1564" t="str">
        <f>YEAR(C7)&amp;"-"&amp;MONTH(C7)</f>
        <v>2017-10</v>
      </c>
      <c r="D59" s="1565">
        <f>EDATE(C59,-1)</f>
        <v>42979</v>
      </c>
      <c r="E59" s="1565">
        <f>EDATE(D59,-1)</f>
        <v>42948</v>
      </c>
      <c r="F59" s="1565">
        <f t="shared" ref="F59:O59" si="13">EDATE(E59,-1)</f>
        <v>42917</v>
      </c>
      <c r="G59" s="1565">
        <f t="shared" si="13"/>
        <v>42887</v>
      </c>
      <c r="H59" s="1565">
        <f t="shared" si="13"/>
        <v>42856</v>
      </c>
      <c r="I59" s="1565">
        <f t="shared" si="13"/>
        <v>42826</v>
      </c>
      <c r="J59" s="1565">
        <f t="shared" si="13"/>
        <v>42795</v>
      </c>
      <c r="K59" s="1565">
        <f t="shared" si="13"/>
        <v>42767</v>
      </c>
      <c r="L59" s="1565">
        <f t="shared" si="13"/>
        <v>42736</v>
      </c>
      <c r="M59" s="1565">
        <f t="shared" si="13"/>
        <v>42705</v>
      </c>
      <c r="N59" s="1565">
        <f t="shared" si="13"/>
        <v>42675</v>
      </c>
      <c r="O59" s="1565">
        <f t="shared" si="13"/>
        <v>42644</v>
      </c>
      <c r="P59" s="1561"/>
    </row>
    <row r="60" spans="1:29" s="116" customFormat="1" ht="15">
      <c r="A60" s="505"/>
      <c r="B60" s="506"/>
      <c r="C60" s="1563">
        <v>100</v>
      </c>
      <c r="D60" s="508"/>
      <c r="E60" s="508"/>
      <c r="F60" s="508"/>
      <c r="G60" s="508"/>
      <c r="H60" s="508"/>
      <c r="I60" s="508"/>
      <c r="J60" s="508"/>
      <c r="K60" s="508"/>
      <c r="L60" s="508"/>
      <c r="M60" s="509"/>
      <c r="N60" s="508"/>
      <c r="O60" s="509"/>
      <c r="P60" s="2669"/>
    </row>
    <row r="61" spans="1:29" s="116" customFormat="1" ht="15.75" thickBot="1">
      <c r="A61" s="511" t="s">
        <v>2582</v>
      </c>
      <c r="B61" s="512"/>
      <c r="C61" s="513"/>
      <c r="D61" s="514"/>
      <c r="E61" s="514"/>
      <c r="F61" s="514"/>
      <c r="G61" s="514"/>
      <c r="H61" s="514"/>
      <c r="I61" s="514"/>
      <c r="J61" s="514"/>
      <c r="K61" s="514"/>
      <c r="L61" s="514"/>
      <c r="M61" s="515"/>
      <c r="N61" s="514"/>
      <c r="O61" s="515"/>
      <c r="P61" s="2669"/>
      <c r="Q61" s="500"/>
    </row>
    <row r="62" spans="1:29" s="116" customFormat="1" ht="15">
      <c r="A62" s="517" t="s">
        <v>2547</v>
      </c>
      <c r="B62" s="506"/>
      <c r="C62" s="518" t="s">
        <v>2649</v>
      </c>
      <c r="D62" s="519"/>
      <c r="E62" s="519"/>
      <c r="F62" s="519"/>
      <c r="G62" s="519"/>
      <c r="H62" s="519"/>
      <c r="I62" s="519"/>
      <c r="J62" s="519"/>
      <c r="K62" s="519"/>
      <c r="L62" s="520"/>
      <c r="M62" s="521"/>
      <c r="N62" s="1147"/>
      <c r="O62" s="1147"/>
      <c r="P62" s="2670"/>
      <c r="Q62" s="500"/>
    </row>
    <row r="63" spans="1:29" s="116" customFormat="1" ht="15.75" thickBot="1">
      <c r="A63" s="517"/>
      <c r="B63" s="506"/>
      <c r="C63" s="507">
        <v>100</v>
      </c>
      <c r="D63" s="508"/>
      <c r="E63" s="508"/>
      <c r="F63" s="508"/>
      <c r="G63" s="508"/>
      <c r="H63" s="508"/>
      <c r="I63" s="508"/>
      <c r="J63" s="508"/>
      <c r="K63" s="508"/>
      <c r="L63" s="508"/>
      <c r="M63" s="510"/>
      <c r="N63" s="1147"/>
      <c r="O63" s="1147"/>
      <c r="P63" s="2669"/>
      <c r="Q63" s="500"/>
    </row>
    <row r="64" spans="1:29">
      <c r="A64" s="523" t="s">
        <v>2585</v>
      </c>
      <c r="B64" s="524" t="s">
        <v>2551</v>
      </c>
      <c r="C64" s="525" t="str">
        <f>C9</f>
        <v>办公</v>
      </c>
      <c r="D64" s="526"/>
      <c r="E64" s="526"/>
      <c r="F64" s="526"/>
      <c r="G64" s="526"/>
      <c r="H64" s="526"/>
      <c r="I64" s="526"/>
      <c r="J64" s="526"/>
      <c r="K64" s="527"/>
      <c r="L64" s="528"/>
      <c r="M64" s="529"/>
      <c r="N64" s="1148"/>
      <c r="O64" s="1148"/>
      <c r="P64" s="2671"/>
      <c r="Q64" s="500"/>
    </row>
    <row r="65" spans="1:17" ht="15.75" thickBot="1">
      <c r="A65" s="530"/>
      <c r="B65" s="531"/>
      <c r="C65" s="532">
        <v>100</v>
      </c>
      <c r="D65" s="532"/>
      <c r="E65" s="532"/>
      <c r="F65" s="532"/>
      <c r="G65" s="532"/>
      <c r="H65" s="532"/>
      <c r="I65" s="532"/>
      <c r="J65" s="532"/>
      <c r="K65" s="532"/>
      <c r="L65" s="532"/>
      <c r="M65" s="533"/>
      <c r="N65" s="1149"/>
      <c r="O65" s="1149"/>
      <c r="P65" s="2671"/>
      <c r="Q65" s="500"/>
    </row>
    <row r="66" spans="1:17" ht="27.75" thickTop="1">
      <c r="A66" s="530"/>
      <c r="B66" s="534" t="s">
        <v>2554</v>
      </c>
      <c r="C66" s="535" t="s">
        <v>2586</v>
      </c>
      <c r="D66" s="535" t="s">
        <v>2587</v>
      </c>
      <c r="E66" s="535" t="s">
        <v>2588</v>
      </c>
      <c r="F66" s="535" t="s">
        <v>2589</v>
      </c>
      <c r="G66" s="535" t="s">
        <v>2590</v>
      </c>
      <c r="H66" s="535" t="s">
        <v>2591</v>
      </c>
      <c r="I66" s="535" t="s">
        <v>2592</v>
      </c>
      <c r="J66" s="535"/>
      <c r="K66" s="536"/>
      <c r="L66" s="537"/>
      <c r="M66" s="538"/>
      <c r="N66" s="1148"/>
      <c r="O66" s="1148"/>
      <c r="P66" s="2671"/>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49"/>
      <c r="O67" s="1149"/>
      <c r="P67" s="2671"/>
      <c r="Q67" s="500"/>
    </row>
    <row r="68" spans="1:17" ht="15.75" thickTop="1">
      <c r="A68" s="530"/>
      <c r="B68" s="542" t="s">
        <v>2555</v>
      </c>
      <c r="C68" s="543" t="str">
        <f>C69&amp;"（含）"&amp;"-"&amp;D69</f>
        <v>0（含）-2</v>
      </c>
      <c r="D68" s="543" t="str">
        <f t="shared" ref="D68:L68" si="14">D69&amp;"（含）"&amp;"-"&amp;E69</f>
        <v>2（含）-4</v>
      </c>
      <c r="E68" s="543" t="str">
        <f t="shared" si="14"/>
        <v>4（含）-6</v>
      </c>
      <c r="F68" s="543" t="str">
        <f t="shared" si="14"/>
        <v>6（含）-8</v>
      </c>
      <c r="G68" s="543" t="str">
        <f t="shared" si="14"/>
        <v>8（含）-</v>
      </c>
      <c r="H68" s="543" t="str">
        <f t="shared" si="14"/>
        <v>（含）-</v>
      </c>
      <c r="I68" s="543" t="str">
        <f t="shared" si="14"/>
        <v>（含）-</v>
      </c>
      <c r="J68" s="543" t="str">
        <f t="shared" si="14"/>
        <v>（含）-</v>
      </c>
      <c r="K68" s="543" t="str">
        <f t="shared" si="14"/>
        <v>（含）-</v>
      </c>
      <c r="L68" s="543" t="str">
        <f t="shared" si="14"/>
        <v>（含）-</v>
      </c>
      <c r="M68" s="444" t="str">
        <f>M69&amp;"（含）"&amp;"-"&amp;P69</f>
        <v>（含）-</v>
      </c>
      <c r="N68" s="1149"/>
      <c r="O68" s="1149"/>
      <c r="P68" s="2671"/>
      <c r="Q68" s="500"/>
    </row>
    <row r="69" spans="1:17" ht="15">
      <c r="A69" s="530"/>
      <c r="B69" s="544"/>
      <c r="C69" s="545">
        <v>0</v>
      </c>
      <c r="D69" s="545">
        <v>2</v>
      </c>
      <c r="E69" s="545">
        <v>4</v>
      </c>
      <c r="F69" s="545">
        <v>6</v>
      </c>
      <c r="G69" s="545">
        <v>8</v>
      </c>
      <c r="H69" s="545"/>
      <c r="I69" s="545"/>
      <c r="J69" s="545"/>
      <c r="K69" s="546"/>
      <c r="L69" s="547"/>
      <c r="M69" s="548"/>
      <c r="N69" s="1148"/>
      <c r="O69" s="1148"/>
      <c r="P69" s="2671"/>
      <c r="Q69" s="500"/>
    </row>
    <row r="70" spans="1:17" ht="15.75" thickBot="1">
      <c r="A70" s="530"/>
      <c r="B70" s="531"/>
      <c r="C70" s="540">
        <v>100</v>
      </c>
      <c r="D70" s="540">
        <f t="shared" ref="D70:M70" si="15">C70-$K11</f>
        <v>99</v>
      </c>
      <c r="E70" s="540">
        <f t="shared" si="15"/>
        <v>98</v>
      </c>
      <c r="F70" s="540">
        <f t="shared" si="15"/>
        <v>97</v>
      </c>
      <c r="G70" s="540">
        <f t="shared" si="15"/>
        <v>96</v>
      </c>
      <c r="H70" s="540">
        <f t="shared" si="15"/>
        <v>95</v>
      </c>
      <c r="I70" s="540">
        <f t="shared" si="15"/>
        <v>94</v>
      </c>
      <c r="J70" s="540">
        <f t="shared" si="15"/>
        <v>93</v>
      </c>
      <c r="K70" s="540">
        <f t="shared" si="15"/>
        <v>92</v>
      </c>
      <c r="L70" s="540">
        <f t="shared" si="15"/>
        <v>91</v>
      </c>
      <c r="M70" s="541">
        <f t="shared" si="15"/>
        <v>90</v>
      </c>
      <c r="N70" s="1149"/>
      <c r="O70" s="1149"/>
      <c r="P70" s="2671"/>
      <c r="Q70" s="500"/>
    </row>
    <row r="71" spans="1:17" s="467" customFormat="1" ht="15.75" hidden="1" thickTop="1">
      <c r="A71" s="549"/>
      <c r="B71" s="534">
        <f>B12</f>
        <v>111</v>
      </c>
      <c r="C71" s="550"/>
      <c r="D71" s="550"/>
      <c r="E71" s="550"/>
      <c r="F71" s="550"/>
      <c r="G71" s="550"/>
      <c r="H71" s="551"/>
      <c r="I71" s="551"/>
      <c r="J71" s="551"/>
      <c r="K71" s="551"/>
      <c r="L71" s="552"/>
      <c r="M71" s="553"/>
      <c r="N71" s="1150"/>
      <c r="O71" s="1150"/>
      <c r="P71" s="2672"/>
      <c r="Q71" s="555"/>
    </row>
    <row r="72" spans="1:17" s="467" customFormat="1" ht="15.75" hidden="1" thickBot="1">
      <c r="A72" s="549"/>
      <c r="B72" s="539"/>
      <c r="C72" s="556"/>
      <c r="D72" s="532"/>
      <c r="E72" s="532"/>
      <c r="F72" s="532"/>
      <c r="G72" s="532"/>
      <c r="H72" s="532"/>
      <c r="I72" s="532"/>
      <c r="J72" s="532"/>
      <c r="K72" s="532"/>
      <c r="L72" s="532"/>
      <c r="M72" s="533"/>
      <c r="N72" s="1149"/>
      <c r="O72" s="1149"/>
      <c r="P72" s="2672"/>
      <c r="Q72" s="555"/>
    </row>
    <row r="73" spans="1:17" s="467" customFormat="1" ht="15.75" hidden="1" thickTop="1">
      <c r="A73" s="549"/>
      <c r="B73" s="534">
        <f>B13</f>
        <v>111</v>
      </c>
      <c r="C73" s="550"/>
      <c r="D73" s="550"/>
      <c r="E73" s="550"/>
      <c r="F73" s="550"/>
      <c r="G73" s="550"/>
      <c r="H73" s="551"/>
      <c r="I73" s="551"/>
      <c r="J73" s="551"/>
      <c r="K73" s="551"/>
      <c r="L73" s="552"/>
      <c r="M73" s="553"/>
      <c r="N73" s="1150"/>
      <c r="O73" s="1150"/>
      <c r="P73" s="2673"/>
      <c r="Q73" s="557"/>
    </row>
    <row r="74" spans="1:17" s="467" customFormat="1" ht="15.75" hidden="1" thickBot="1">
      <c r="A74" s="549"/>
      <c r="B74" s="539"/>
      <c r="C74" s="556"/>
      <c r="D74" s="556"/>
      <c r="E74" s="556"/>
      <c r="F74" s="556"/>
      <c r="G74" s="556"/>
      <c r="H74" s="558"/>
      <c r="I74" s="558"/>
      <c r="J74" s="558"/>
      <c r="K74" s="558"/>
      <c r="L74" s="558"/>
      <c r="M74" s="559"/>
      <c r="N74" s="1150"/>
      <c r="O74" s="1150"/>
      <c r="P74" s="2672"/>
      <c r="Q74" s="555"/>
    </row>
    <row r="75" spans="1:17" s="467" customFormat="1" ht="15.75" hidden="1" thickTop="1">
      <c r="A75" s="549"/>
      <c r="B75" s="542">
        <f>B14</f>
        <v>111</v>
      </c>
      <c r="C75" s="519"/>
      <c r="D75" s="519"/>
      <c r="E75" s="519"/>
      <c r="F75" s="519"/>
      <c r="G75" s="519"/>
      <c r="H75" s="560"/>
      <c r="I75" s="560"/>
      <c r="J75" s="560"/>
      <c r="K75" s="560"/>
      <c r="L75" s="561"/>
      <c r="M75" s="562"/>
      <c r="N75" s="1150"/>
      <c r="O75" s="1150"/>
      <c r="P75" s="2674"/>
      <c r="Q75" s="555"/>
    </row>
    <row r="76" spans="1:17" s="467" customFormat="1" ht="15.75" hidden="1" thickBot="1">
      <c r="A76" s="564"/>
      <c r="B76" s="565"/>
      <c r="C76" s="566"/>
      <c r="D76" s="566"/>
      <c r="E76" s="566"/>
      <c r="F76" s="566"/>
      <c r="G76" s="566"/>
      <c r="H76" s="567"/>
      <c r="I76" s="567"/>
      <c r="J76" s="567"/>
      <c r="K76" s="567"/>
      <c r="L76" s="567"/>
      <c r="M76" s="568"/>
      <c r="N76" s="1150"/>
      <c r="O76" s="1150"/>
      <c r="P76" s="2672"/>
      <c r="Q76" s="555"/>
    </row>
    <row r="77" spans="1:17" ht="15" thickTop="1">
      <c r="A77" s="523" t="s">
        <v>2556</v>
      </c>
      <c r="B77" s="524" t="s">
        <v>2694</v>
      </c>
      <c r="C77" s="569" t="s">
        <v>2594</v>
      </c>
      <c r="D77" s="569" t="s">
        <v>2595</v>
      </c>
      <c r="E77" s="569" t="s">
        <v>2596</v>
      </c>
      <c r="F77" s="569" t="s">
        <v>2597</v>
      </c>
      <c r="G77" s="569" t="s">
        <v>2598</v>
      </c>
      <c r="H77" s="525"/>
      <c r="I77" s="525"/>
      <c r="J77" s="525"/>
      <c r="K77" s="570"/>
      <c r="L77" s="571"/>
      <c r="M77" s="572"/>
      <c r="N77" s="1148"/>
      <c r="O77" s="1148"/>
      <c r="P77" s="2675"/>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49"/>
      <c r="O78" s="1149"/>
      <c r="P78" s="2671"/>
      <c r="Q78" s="500"/>
    </row>
    <row r="79" spans="1:17" ht="15.75" thickTop="1">
      <c r="A79" s="530"/>
      <c r="B79" s="534" t="s">
        <v>2599</v>
      </c>
      <c r="C79" s="574" t="s">
        <v>2594</v>
      </c>
      <c r="D79" s="574" t="s">
        <v>2595</v>
      </c>
      <c r="E79" s="574" t="s">
        <v>2596</v>
      </c>
      <c r="F79" s="574" t="s">
        <v>2597</v>
      </c>
      <c r="G79" s="574" t="s">
        <v>2598</v>
      </c>
      <c r="H79" s="535"/>
      <c r="I79" s="535"/>
      <c r="J79" s="535"/>
      <c r="K79" s="536"/>
      <c r="L79" s="537"/>
      <c r="M79" s="538"/>
      <c r="N79" s="1148"/>
      <c r="O79" s="1148"/>
      <c r="P79" s="2671"/>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49"/>
      <c r="O80" s="1149"/>
      <c r="P80" s="2671"/>
      <c r="Q80" s="500"/>
    </row>
    <row r="81" spans="1:17" ht="15.75" thickTop="1">
      <c r="A81" s="530"/>
      <c r="B81" s="534" t="s">
        <v>2600</v>
      </c>
      <c r="C81" s="574" t="s">
        <v>2594</v>
      </c>
      <c r="D81" s="574" t="s">
        <v>2595</v>
      </c>
      <c r="E81" s="574" t="s">
        <v>2596</v>
      </c>
      <c r="F81" s="574" t="s">
        <v>2597</v>
      </c>
      <c r="G81" s="574" t="s">
        <v>2598</v>
      </c>
      <c r="H81" s="535"/>
      <c r="I81" s="535"/>
      <c r="J81" s="535"/>
      <c r="K81" s="536"/>
      <c r="L81" s="537"/>
      <c r="M81" s="538"/>
      <c r="N81" s="1148"/>
      <c r="O81" s="1148"/>
      <c r="P81" s="2671"/>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49"/>
      <c r="O82" s="1149"/>
      <c r="P82" s="2671"/>
      <c r="Q82" s="500"/>
    </row>
    <row r="83" spans="1:17" ht="15.75" thickTop="1">
      <c r="A83" s="530"/>
      <c r="B83" s="542" t="s">
        <v>2686</v>
      </c>
      <c r="C83" s="655" t="s">
        <v>2672</v>
      </c>
      <c r="D83" s="655" t="s">
        <v>2673</v>
      </c>
      <c r="E83" s="655" t="s">
        <v>2674</v>
      </c>
      <c r="F83" s="655" t="s">
        <v>2675</v>
      </c>
      <c r="G83" s="655" t="s">
        <v>2676</v>
      </c>
      <c r="H83" s="535"/>
      <c r="I83" s="535"/>
      <c r="J83" s="535"/>
      <c r="K83" s="535"/>
      <c r="L83" s="535"/>
      <c r="M83" s="1371"/>
      <c r="N83" s="1149"/>
      <c r="O83" s="1149"/>
      <c r="P83" s="2671"/>
      <c r="Q83" s="500"/>
    </row>
    <row r="84" spans="1:17" ht="15.75" thickBot="1">
      <c r="A84" s="530"/>
      <c r="B84" s="542"/>
      <c r="C84" s="540">
        <v>100</v>
      </c>
      <c r="D84" s="540">
        <f>C84-$K21</f>
        <v>100</v>
      </c>
      <c r="E84" s="540">
        <f>D84-$K21</f>
        <v>100</v>
      </c>
      <c r="F84" s="540">
        <f>E84-$K21</f>
        <v>100</v>
      </c>
      <c r="G84" s="540">
        <f>F84-$K21</f>
        <v>100</v>
      </c>
      <c r="H84" s="655"/>
      <c r="I84" s="655"/>
      <c r="J84" s="655"/>
      <c r="K84" s="655"/>
      <c r="L84" s="655"/>
      <c r="M84" s="446"/>
      <c r="N84" s="1149"/>
      <c r="O84" s="1149"/>
      <c r="P84" s="2671"/>
      <c r="Q84" s="500"/>
    </row>
    <row r="85" spans="1:17" ht="15.75" thickTop="1">
      <c r="A85" s="530"/>
      <c r="B85" s="534" t="s">
        <v>2695</v>
      </c>
      <c r="C85" s="574" t="s">
        <v>2594</v>
      </c>
      <c r="D85" s="574" t="s">
        <v>2595</v>
      </c>
      <c r="E85" s="574" t="s">
        <v>2596</v>
      </c>
      <c r="F85" s="574" t="s">
        <v>2597</v>
      </c>
      <c r="G85" s="574" t="s">
        <v>2598</v>
      </c>
      <c r="H85" s="535"/>
      <c r="I85" s="535"/>
      <c r="J85" s="535"/>
      <c r="K85" s="536"/>
      <c r="L85" s="537"/>
      <c r="M85" s="538"/>
      <c r="N85" s="1148"/>
      <c r="O85" s="1148"/>
      <c r="P85" s="2671"/>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49"/>
      <c r="O86" s="1149"/>
      <c r="P86" s="2671"/>
      <c r="Q86" s="500"/>
    </row>
    <row r="87" spans="1:17" s="116" customFormat="1" ht="27.75" hidden="1" thickTop="1">
      <c r="A87" s="575"/>
      <c r="B87" s="534" t="s">
        <v>2696</v>
      </c>
      <c r="C87" s="550"/>
      <c r="D87" s="550"/>
      <c r="E87" s="550"/>
      <c r="F87" s="550"/>
      <c r="G87" s="550"/>
      <c r="H87" s="550"/>
      <c r="I87" s="550"/>
      <c r="J87" s="550"/>
      <c r="K87" s="550"/>
      <c r="L87" s="576"/>
      <c r="M87" s="577"/>
      <c r="N87" s="1147"/>
      <c r="O87" s="1147"/>
      <c r="P87" s="2671"/>
      <c r="Q87" s="500"/>
    </row>
    <row r="88" spans="1:17" s="116" customFormat="1" ht="15.75" hidden="1" thickBot="1">
      <c r="A88" s="575"/>
      <c r="B88" s="539"/>
      <c r="C88" s="578">
        <v>100</v>
      </c>
      <c r="D88" s="540">
        <f t="shared" ref="D88:M88" si="16">C88-$K25</f>
        <v>100</v>
      </c>
      <c r="E88" s="540">
        <f t="shared" si="16"/>
        <v>100</v>
      </c>
      <c r="F88" s="540">
        <f t="shared" si="16"/>
        <v>100</v>
      </c>
      <c r="G88" s="540">
        <f t="shared" si="16"/>
        <v>100</v>
      </c>
      <c r="H88" s="540">
        <f t="shared" si="16"/>
        <v>100</v>
      </c>
      <c r="I88" s="540">
        <f t="shared" si="16"/>
        <v>100</v>
      </c>
      <c r="J88" s="540">
        <f t="shared" si="16"/>
        <v>100</v>
      </c>
      <c r="K88" s="540">
        <f t="shared" si="16"/>
        <v>100</v>
      </c>
      <c r="L88" s="540">
        <f t="shared" si="16"/>
        <v>100</v>
      </c>
      <c r="M88" s="540">
        <f t="shared" si="16"/>
        <v>100</v>
      </c>
      <c r="N88" s="1149"/>
      <c r="O88" s="1149"/>
      <c r="P88" s="2671"/>
      <c r="Q88" s="500"/>
    </row>
    <row r="89" spans="1:17" s="116" customFormat="1" ht="15.75" hidden="1" thickTop="1">
      <c r="A89" s="575"/>
      <c r="B89" s="534" t="str">
        <f>B27</f>
        <v>楼层</v>
      </c>
      <c r="C89" s="550"/>
      <c r="D89" s="550"/>
      <c r="E89" s="550"/>
      <c r="F89" s="2622"/>
      <c r="G89" s="550"/>
      <c r="H89" s="550"/>
      <c r="I89" s="550"/>
      <c r="J89" s="550"/>
      <c r="K89" s="550"/>
      <c r="L89" s="550"/>
      <c r="M89" s="577"/>
      <c r="N89" s="1147"/>
      <c r="O89" s="1147"/>
      <c r="P89" s="2671"/>
      <c r="Q89" s="500"/>
    </row>
    <row r="90" spans="1:17" s="116" customFormat="1" ht="15.75" hidden="1" thickBot="1">
      <c r="A90" s="575"/>
      <c r="B90" s="539"/>
      <c r="C90" s="578">
        <v>100</v>
      </c>
      <c r="D90" s="540">
        <f>C90-$K27</f>
        <v>100</v>
      </c>
      <c r="E90" s="540">
        <f t="shared" ref="E90:M90" si="17">D90-$K27</f>
        <v>100</v>
      </c>
      <c r="F90" s="540">
        <f t="shared" si="17"/>
        <v>100</v>
      </c>
      <c r="G90" s="540">
        <f t="shared" si="17"/>
        <v>100</v>
      </c>
      <c r="H90" s="540">
        <f t="shared" si="17"/>
        <v>100</v>
      </c>
      <c r="I90" s="540">
        <f t="shared" si="17"/>
        <v>100</v>
      </c>
      <c r="J90" s="540">
        <f t="shared" si="17"/>
        <v>100</v>
      </c>
      <c r="K90" s="540">
        <f t="shared" si="17"/>
        <v>100</v>
      </c>
      <c r="L90" s="540">
        <f t="shared" si="17"/>
        <v>100</v>
      </c>
      <c r="M90" s="540">
        <f t="shared" si="17"/>
        <v>100</v>
      </c>
      <c r="N90" s="1149"/>
      <c r="O90" s="1149"/>
      <c r="P90" s="2671"/>
      <c r="Q90" s="500"/>
    </row>
    <row r="91" spans="1:17" s="467" customFormat="1" ht="15.75" hidden="1" thickTop="1">
      <c r="A91" s="549"/>
      <c r="B91" s="534" t="str">
        <f>B28</f>
        <v>朝向</v>
      </c>
      <c r="C91" s="550"/>
      <c r="D91" s="550"/>
      <c r="E91" s="550"/>
      <c r="F91" s="550"/>
      <c r="G91" s="550"/>
      <c r="H91" s="551"/>
      <c r="I91" s="551"/>
      <c r="J91" s="551"/>
      <c r="K91" s="551"/>
      <c r="L91" s="552"/>
      <c r="M91" s="553"/>
      <c r="N91" s="1150"/>
      <c r="O91" s="1150"/>
      <c r="P91" s="2672"/>
      <c r="Q91" s="555"/>
    </row>
    <row r="92" spans="1:17" s="467" customFormat="1" ht="15.75" hidden="1" thickBot="1">
      <c r="A92" s="549"/>
      <c r="B92" s="539"/>
      <c r="C92" s="578">
        <v>100</v>
      </c>
      <c r="D92" s="540">
        <f t="shared" ref="D92:M92" si="18">C92-$K28</f>
        <v>100</v>
      </c>
      <c r="E92" s="540">
        <f t="shared" si="18"/>
        <v>100</v>
      </c>
      <c r="F92" s="540">
        <f t="shared" si="18"/>
        <v>100</v>
      </c>
      <c r="G92" s="540">
        <f t="shared" si="18"/>
        <v>100</v>
      </c>
      <c r="H92" s="540">
        <f t="shared" si="18"/>
        <v>100</v>
      </c>
      <c r="I92" s="540">
        <f t="shared" si="18"/>
        <v>100</v>
      </c>
      <c r="J92" s="540">
        <f t="shared" si="18"/>
        <v>100</v>
      </c>
      <c r="K92" s="540">
        <f t="shared" si="18"/>
        <v>100</v>
      </c>
      <c r="L92" s="540">
        <f t="shared" si="18"/>
        <v>100</v>
      </c>
      <c r="M92" s="540">
        <f t="shared" si="18"/>
        <v>100</v>
      </c>
      <c r="N92" s="1150"/>
      <c r="O92" s="1150"/>
      <c r="P92" s="2672"/>
      <c r="Q92" s="555"/>
    </row>
    <row r="93" spans="1:17" ht="15.75" hidden="1" thickTop="1">
      <c r="A93" s="530"/>
      <c r="B93" s="534">
        <f>B29</f>
        <v>111</v>
      </c>
      <c r="C93" s="550"/>
      <c r="D93" s="550"/>
      <c r="E93" s="550"/>
      <c r="F93" s="550"/>
      <c r="G93" s="550"/>
      <c r="H93" s="550"/>
      <c r="I93" s="550"/>
      <c r="J93" s="550"/>
      <c r="K93" s="550"/>
      <c r="L93" s="576"/>
      <c r="M93" s="577"/>
      <c r="N93" s="1148"/>
      <c r="O93" s="1148"/>
      <c r="P93" s="2671"/>
      <c r="Q93" s="500"/>
    </row>
    <row r="94" spans="1:17" ht="15.75" hidden="1" thickBot="1">
      <c r="A94" s="530"/>
      <c r="B94" s="539"/>
      <c r="C94" s="556"/>
      <c r="D94" s="532"/>
      <c r="E94" s="532"/>
      <c r="F94" s="532"/>
      <c r="G94" s="532"/>
      <c r="H94" s="532"/>
      <c r="I94" s="532"/>
      <c r="J94" s="532"/>
      <c r="K94" s="532"/>
      <c r="L94" s="532"/>
      <c r="M94" s="533"/>
      <c r="N94" s="1149"/>
      <c r="O94" s="1149"/>
      <c r="P94" s="2671"/>
      <c r="Q94" s="500"/>
    </row>
    <row r="95" spans="1:17" ht="15.75" hidden="1" thickTop="1">
      <c r="A95" s="530"/>
      <c r="B95" s="534">
        <f>B30</f>
        <v>111</v>
      </c>
      <c r="C95" s="550"/>
      <c r="D95" s="550"/>
      <c r="E95" s="550"/>
      <c r="F95" s="550"/>
      <c r="G95" s="579"/>
      <c r="H95" s="579"/>
      <c r="I95" s="579"/>
      <c r="J95" s="579"/>
      <c r="K95" s="580"/>
      <c r="L95" s="581"/>
      <c r="M95" s="582"/>
      <c r="N95" s="1148"/>
      <c r="O95" s="1148"/>
      <c r="P95" s="2671"/>
      <c r="Q95" s="500"/>
    </row>
    <row r="96" spans="1:17" ht="15.75" hidden="1" thickBot="1">
      <c r="A96" s="530"/>
      <c r="B96" s="539"/>
      <c r="C96" s="556"/>
      <c r="D96" s="556"/>
      <c r="E96" s="556"/>
      <c r="F96" s="556"/>
      <c r="G96" s="532"/>
      <c r="H96" s="532"/>
      <c r="I96" s="532"/>
      <c r="J96" s="532"/>
      <c r="K96" s="532"/>
      <c r="L96" s="532"/>
      <c r="M96" s="533"/>
      <c r="N96" s="1149"/>
      <c r="O96" s="1149"/>
      <c r="P96" s="2671"/>
      <c r="Q96" s="500"/>
    </row>
    <row r="97" spans="1:17" ht="15.75" hidden="1" thickTop="1">
      <c r="A97" s="530"/>
      <c r="B97" s="534">
        <f>B31</f>
        <v>111</v>
      </c>
      <c r="C97" s="550"/>
      <c r="D97" s="550"/>
      <c r="E97" s="550"/>
      <c r="F97" s="550"/>
      <c r="G97" s="579"/>
      <c r="H97" s="579"/>
      <c r="I97" s="579"/>
      <c r="J97" s="579"/>
      <c r="K97" s="580"/>
      <c r="L97" s="581"/>
      <c r="M97" s="582"/>
      <c r="N97" s="1148"/>
      <c r="O97" s="1148"/>
      <c r="P97" s="2671"/>
      <c r="Q97" s="500"/>
    </row>
    <row r="98" spans="1:17" ht="15.75" hidden="1" thickBot="1">
      <c r="A98" s="530"/>
      <c r="B98" s="539"/>
      <c r="C98" s="556"/>
      <c r="D98" s="532"/>
      <c r="E98" s="532"/>
      <c r="F98" s="532"/>
      <c r="G98" s="532"/>
      <c r="H98" s="532"/>
      <c r="I98" s="532"/>
      <c r="J98" s="532"/>
      <c r="K98" s="532"/>
      <c r="L98" s="532"/>
      <c r="M98" s="533"/>
      <c r="N98" s="1149"/>
      <c r="O98" s="1149"/>
      <c r="P98" s="2671"/>
      <c r="Q98" s="500"/>
    </row>
    <row r="99" spans="1:17" ht="15.75" hidden="1" thickTop="1">
      <c r="A99" s="530"/>
      <c r="B99" s="542">
        <f>B32</f>
        <v>111</v>
      </c>
      <c r="C99" s="519"/>
      <c r="D99" s="519"/>
      <c r="E99" s="519"/>
      <c r="F99" s="519"/>
      <c r="G99" s="583"/>
      <c r="H99" s="583"/>
      <c r="I99" s="583"/>
      <c r="J99" s="583"/>
      <c r="K99" s="584"/>
      <c r="L99" s="585"/>
      <c r="M99" s="586"/>
      <c r="N99" s="1148"/>
      <c r="O99" s="1148"/>
      <c r="P99" s="2671"/>
      <c r="Q99" s="500"/>
    </row>
    <row r="100" spans="1:17" ht="15.75" hidden="1" thickBot="1">
      <c r="A100" s="2623"/>
      <c r="B100" s="565"/>
      <c r="C100" s="566"/>
      <c r="D100" s="566"/>
      <c r="E100" s="566"/>
      <c r="F100" s="566"/>
      <c r="G100" s="587"/>
      <c r="H100" s="587"/>
      <c r="I100" s="587"/>
      <c r="J100" s="587"/>
      <c r="K100" s="587"/>
      <c r="L100" s="587"/>
      <c r="M100" s="588"/>
      <c r="N100" s="1149"/>
      <c r="O100" s="1149"/>
      <c r="P100" s="2671"/>
      <c r="Q100" s="500"/>
    </row>
    <row r="101" spans="1:17" ht="15" thickTop="1">
      <c r="A101" s="523" t="s">
        <v>2560</v>
      </c>
      <c r="B101" s="524" t="s">
        <v>2609</v>
      </c>
      <c r="C101" s="2927" t="s">
        <v>4683</v>
      </c>
      <c r="D101" s="2927" t="s">
        <v>4684</v>
      </c>
      <c r="E101" s="526"/>
      <c r="F101" s="526"/>
      <c r="G101" s="526"/>
      <c r="H101" s="526"/>
      <c r="I101" s="526"/>
      <c r="J101" s="526"/>
      <c r="K101" s="527"/>
      <c r="L101" s="528"/>
      <c r="M101" s="529"/>
      <c r="N101" s="1148"/>
      <c r="O101" s="1148"/>
      <c r="P101" s="2671"/>
      <c r="Q101" s="500"/>
    </row>
    <row r="102" spans="1:17" ht="15.75" thickBot="1">
      <c r="A102" s="530"/>
      <c r="B102" s="539"/>
      <c r="C102" s="540">
        <v>100</v>
      </c>
      <c r="D102" s="540">
        <f t="shared" ref="D102:M102" si="19">C102-$K33</f>
        <v>100</v>
      </c>
      <c r="E102" s="540">
        <f t="shared" si="19"/>
        <v>100</v>
      </c>
      <c r="F102" s="540">
        <f t="shared" si="19"/>
        <v>100</v>
      </c>
      <c r="G102" s="540">
        <f t="shared" si="19"/>
        <v>100</v>
      </c>
      <c r="H102" s="540">
        <f t="shared" si="19"/>
        <v>100</v>
      </c>
      <c r="I102" s="540">
        <f t="shared" si="19"/>
        <v>100</v>
      </c>
      <c r="J102" s="540">
        <f t="shared" si="19"/>
        <v>100</v>
      </c>
      <c r="K102" s="540">
        <f t="shared" si="19"/>
        <v>100</v>
      </c>
      <c r="L102" s="540">
        <f t="shared" si="19"/>
        <v>100</v>
      </c>
      <c r="M102" s="541">
        <f t="shared" si="19"/>
        <v>100</v>
      </c>
      <c r="N102" s="1149"/>
      <c r="O102" s="1149"/>
      <c r="P102" s="2671"/>
      <c r="Q102" s="500"/>
    </row>
    <row r="103" spans="1:17" ht="29.25" thickTop="1">
      <c r="A103" s="530"/>
      <c r="B103" s="534" t="s">
        <v>2610</v>
      </c>
      <c r="C103" s="574" t="str">
        <f>C104&amp;"(含)"&amp;"-"&amp;D104</f>
        <v>0(含)-100000</v>
      </c>
      <c r="D103" s="574" t="str">
        <f t="shared" ref="D103:L103" si="20">D104&amp;"(含)"&amp;"-"&amp;E104</f>
        <v>100000(含)-200000</v>
      </c>
      <c r="E103" s="574" t="str">
        <f t="shared" si="20"/>
        <v>200000(含)-300000</v>
      </c>
      <c r="F103" s="574" t="str">
        <f t="shared" si="20"/>
        <v>300000(含)-400000</v>
      </c>
      <c r="G103" s="574" t="str">
        <f t="shared" si="20"/>
        <v>400000(含)-500000</v>
      </c>
      <c r="H103" s="574" t="str">
        <f t="shared" si="20"/>
        <v>500000(含)-</v>
      </c>
      <c r="I103" s="574" t="str">
        <f t="shared" si="20"/>
        <v>(含)-</v>
      </c>
      <c r="J103" s="574" t="str">
        <f t="shared" si="20"/>
        <v>(含)-</v>
      </c>
      <c r="K103" s="574" t="str">
        <f t="shared" si="20"/>
        <v>(含)-</v>
      </c>
      <c r="L103" s="574" t="str">
        <f t="shared" si="20"/>
        <v>(含)-</v>
      </c>
      <c r="M103" s="617" t="str">
        <f>M104&amp;"(含)"&amp;"-"&amp;P104</f>
        <v>(含)-</v>
      </c>
      <c r="N103" s="1147"/>
      <c r="O103" s="1147"/>
      <c r="P103" s="2671"/>
      <c r="Q103" s="500"/>
    </row>
    <row r="104" spans="1:17" s="467" customFormat="1">
      <c r="A104" s="589"/>
      <c r="B104" s="590"/>
      <c r="C104" s="591">
        <v>0</v>
      </c>
      <c r="D104" s="591">
        <v>100000</v>
      </c>
      <c r="E104" s="591">
        <v>200000</v>
      </c>
      <c r="F104" s="591">
        <v>300000</v>
      </c>
      <c r="G104" s="591">
        <v>400000</v>
      </c>
      <c r="H104" s="591">
        <v>500000</v>
      </c>
      <c r="I104" s="591"/>
      <c r="J104" s="592"/>
      <c r="K104" s="592"/>
      <c r="L104" s="593"/>
      <c r="M104" s="594"/>
      <c r="N104" s="1150"/>
      <c r="O104" s="1150"/>
      <c r="P104" s="2672"/>
      <c r="Q104" s="555"/>
    </row>
    <row r="105" spans="1:17" s="467" customFormat="1" ht="15.75" thickBot="1">
      <c r="A105" s="549"/>
      <c r="B105" s="539"/>
      <c r="C105" s="556">
        <v>100</v>
      </c>
      <c r="D105" s="532">
        <v>101</v>
      </c>
      <c r="E105" s="532">
        <v>102</v>
      </c>
      <c r="F105" s="532">
        <v>103</v>
      </c>
      <c r="G105" s="532">
        <v>104</v>
      </c>
      <c r="H105" s="532">
        <v>105</v>
      </c>
      <c r="I105" s="532"/>
      <c r="J105" s="532"/>
      <c r="K105" s="532"/>
      <c r="L105" s="532"/>
      <c r="M105" s="533"/>
      <c r="N105" s="1149"/>
      <c r="O105" s="1149"/>
      <c r="P105" s="2672"/>
      <c r="Q105" s="555"/>
    </row>
    <row r="106" spans="1:17" ht="15" thickTop="1">
      <c r="A106" s="595"/>
      <c r="B106" s="534" t="s">
        <v>2611</v>
      </c>
      <c r="C106" s="2925" t="s">
        <v>4685</v>
      </c>
      <c r="D106" s="2925" t="s">
        <v>4686</v>
      </c>
      <c r="E106" s="2928" t="s">
        <v>4687</v>
      </c>
      <c r="F106" s="579"/>
      <c r="G106" s="579"/>
      <c r="H106" s="579"/>
      <c r="I106" s="579"/>
      <c r="J106" s="579"/>
      <c r="K106" s="580"/>
      <c r="L106" s="581"/>
      <c r="M106" s="582"/>
      <c r="N106" s="1148"/>
      <c r="O106" s="1148"/>
      <c r="P106" s="2671"/>
      <c r="Q106" s="500"/>
    </row>
    <row r="107" spans="1:17" ht="15.75" thickBot="1">
      <c r="A107" s="530"/>
      <c r="B107" s="539"/>
      <c r="C107" s="540">
        <v>100</v>
      </c>
      <c r="D107" s="540">
        <f t="shared" ref="D107:M107" si="21">C107-$K35</f>
        <v>100</v>
      </c>
      <c r="E107" s="540">
        <f t="shared" si="21"/>
        <v>100</v>
      </c>
      <c r="F107" s="540">
        <f t="shared" si="21"/>
        <v>100</v>
      </c>
      <c r="G107" s="540">
        <f t="shared" si="21"/>
        <v>100</v>
      </c>
      <c r="H107" s="540">
        <f t="shared" si="21"/>
        <v>100</v>
      </c>
      <c r="I107" s="540">
        <f t="shared" si="21"/>
        <v>100</v>
      </c>
      <c r="J107" s="540">
        <f t="shared" si="21"/>
        <v>100</v>
      </c>
      <c r="K107" s="540">
        <f t="shared" si="21"/>
        <v>100</v>
      </c>
      <c r="L107" s="540">
        <f t="shared" si="21"/>
        <v>100</v>
      </c>
      <c r="M107" s="541">
        <f t="shared" si="21"/>
        <v>100</v>
      </c>
      <c r="N107" s="1149"/>
      <c r="O107" s="1149"/>
      <c r="P107" s="2671"/>
      <c r="Q107" s="500"/>
    </row>
    <row r="108" spans="1:17" ht="15" thickTop="1">
      <c r="A108" s="595"/>
      <c r="B108" s="534" t="s">
        <v>2613</v>
      </c>
      <c r="C108" s="2925" t="s">
        <v>4688</v>
      </c>
      <c r="D108" s="2925" t="s">
        <v>4690</v>
      </c>
      <c r="E108" s="2925" t="s">
        <v>4691</v>
      </c>
      <c r="F108" s="579"/>
      <c r="G108" s="579"/>
      <c r="H108" s="579"/>
      <c r="I108" s="579"/>
      <c r="J108" s="579"/>
      <c r="K108" s="580"/>
      <c r="L108" s="581"/>
      <c r="M108" s="582"/>
      <c r="N108" s="1148"/>
      <c r="O108" s="1148"/>
      <c r="P108" s="2671"/>
      <c r="Q108" s="500"/>
    </row>
    <row r="109" spans="1:17" ht="15.75" thickBot="1">
      <c r="A109" s="530"/>
      <c r="B109" s="539"/>
      <c r="C109" s="540">
        <v>100</v>
      </c>
      <c r="D109" s="540">
        <f t="shared" ref="D109:M109" si="22">C109-$K36</f>
        <v>100</v>
      </c>
      <c r="E109" s="540">
        <f t="shared" si="22"/>
        <v>100</v>
      </c>
      <c r="F109" s="540">
        <f t="shared" si="22"/>
        <v>100</v>
      </c>
      <c r="G109" s="540">
        <f t="shared" si="22"/>
        <v>100</v>
      </c>
      <c r="H109" s="540">
        <f t="shared" si="22"/>
        <v>100</v>
      </c>
      <c r="I109" s="540">
        <f t="shared" si="22"/>
        <v>100</v>
      </c>
      <c r="J109" s="540">
        <f t="shared" si="22"/>
        <v>100</v>
      </c>
      <c r="K109" s="540">
        <f t="shared" si="22"/>
        <v>100</v>
      </c>
      <c r="L109" s="540">
        <f t="shared" si="22"/>
        <v>100</v>
      </c>
      <c r="M109" s="541">
        <f t="shared" si="22"/>
        <v>100</v>
      </c>
      <c r="N109" s="1149"/>
      <c r="O109" s="1149"/>
      <c r="P109" s="2671"/>
      <c r="Q109" s="500"/>
    </row>
    <row r="110" spans="1:17" ht="15" thickTop="1">
      <c r="A110" s="595"/>
      <c r="B110" s="534" t="s">
        <v>1992</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8"/>
      <c r="O110" s="1148"/>
      <c r="P110" s="2671"/>
      <c r="Q110" s="500"/>
    </row>
    <row r="111" spans="1:17">
      <c r="A111" s="595"/>
      <c r="B111" s="542"/>
      <c r="C111" s="599">
        <v>0.5</v>
      </c>
      <c r="D111" s="599">
        <v>0.6</v>
      </c>
      <c r="E111" s="599">
        <v>0.7</v>
      </c>
      <c r="F111" s="599">
        <v>0.8</v>
      </c>
      <c r="G111" s="599">
        <v>0.9</v>
      </c>
      <c r="H111" s="599">
        <v>1.0001</v>
      </c>
      <c r="I111" s="618"/>
      <c r="J111" s="618"/>
      <c r="K111" s="619"/>
      <c r="L111" s="620"/>
      <c r="M111" s="621"/>
      <c r="N111" s="1148"/>
      <c r="O111" s="1148"/>
      <c r="P111" s="2671"/>
      <c r="Q111" s="500"/>
    </row>
    <row r="112" spans="1:17" ht="15.75" thickBot="1">
      <c r="A112" s="530"/>
      <c r="B112" s="539"/>
      <c r="C112" s="578">
        <v>100</v>
      </c>
      <c r="D112" s="540">
        <f>C112+$K37</f>
        <v>100</v>
      </c>
      <c r="E112" s="540">
        <f t="shared" ref="E112:M112" si="23">D112+$K37</f>
        <v>100</v>
      </c>
      <c r="F112" s="540">
        <f t="shared" si="23"/>
        <v>100</v>
      </c>
      <c r="G112" s="540">
        <f t="shared" si="23"/>
        <v>100</v>
      </c>
      <c r="H112" s="540">
        <f t="shared" si="23"/>
        <v>100</v>
      </c>
      <c r="I112" s="540">
        <f t="shared" si="23"/>
        <v>100</v>
      </c>
      <c r="J112" s="540">
        <f t="shared" si="23"/>
        <v>100</v>
      </c>
      <c r="K112" s="540">
        <f t="shared" si="23"/>
        <v>100</v>
      </c>
      <c r="L112" s="540">
        <f t="shared" si="23"/>
        <v>100</v>
      </c>
      <c r="M112" s="540">
        <f t="shared" si="23"/>
        <v>100</v>
      </c>
      <c r="N112" s="1149"/>
      <c r="O112" s="1149"/>
      <c r="P112" s="2671"/>
      <c r="Q112" s="500"/>
    </row>
    <row r="113" spans="1:17" s="467" customFormat="1" ht="15" thickTop="1">
      <c r="A113" s="589"/>
      <c r="B113" s="534" t="s">
        <v>2697</v>
      </c>
      <c r="C113" s="2925" t="s">
        <v>4693</v>
      </c>
      <c r="D113" s="2925" t="s">
        <v>4694</v>
      </c>
      <c r="E113" s="2925" t="s">
        <v>4695</v>
      </c>
      <c r="F113" s="550"/>
      <c r="G113" s="550"/>
      <c r="H113" s="579"/>
      <c r="I113" s="579"/>
      <c r="J113" s="579"/>
      <c r="K113" s="580"/>
      <c r="L113" s="581"/>
      <c r="M113" s="582"/>
      <c r="N113" s="1150"/>
      <c r="O113" s="1150"/>
      <c r="P113" s="2672"/>
      <c r="Q113" s="555"/>
    </row>
    <row r="114" spans="1:17" s="467" customFormat="1" ht="15.75" thickBot="1">
      <c r="A114" s="549"/>
      <c r="B114" s="539"/>
      <c r="C114" s="540">
        <v>100</v>
      </c>
      <c r="D114" s="540">
        <f>C114-$K38</f>
        <v>100</v>
      </c>
      <c r="E114" s="540">
        <f t="shared" ref="E114:M114" si="24">D114-$K38</f>
        <v>100</v>
      </c>
      <c r="F114" s="540">
        <f t="shared" si="24"/>
        <v>100</v>
      </c>
      <c r="G114" s="540">
        <f t="shared" si="24"/>
        <v>100</v>
      </c>
      <c r="H114" s="540">
        <f t="shared" si="24"/>
        <v>100</v>
      </c>
      <c r="I114" s="540">
        <f t="shared" si="24"/>
        <v>100</v>
      </c>
      <c r="J114" s="540">
        <f t="shared" si="24"/>
        <v>100</v>
      </c>
      <c r="K114" s="540">
        <f t="shared" si="24"/>
        <v>100</v>
      </c>
      <c r="L114" s="540">
        <f t="shared" si="24"/>
        <v>100</v>
      </c>
      <c r="M114" s="540">
        <f t="shared" si="24"/>
        <v>100</v>
      </c>
      <c r="N114" s="1150"/>
      <c r="O114" s="1150"/>
      <c r="P114" s="2672"/>
      <c r="Q114" s="555"/>
    </row>
    <row r="115" spans="1:17" ht="15" thickTop="1">
      <c r="A115" s="595"/>
      <c r="B115" s="534" t="s">
        <v>2614</v>
      </c>
      <c r="C115" s="2925" t="s">
        <v>4697</v>
      </c>
      <c r="D115" s="2925" t="s">
        <v>4698</v>
      </c>
      <c r="E115" s="579"/>
      <c r="F115" s="579"/>
      <c r="G115" s="579"/>
      <c r="H115" s="579"/>
      <c r="I115" s="579"/>
      <c r="J115" s="579"/>
      <c r="K115" s="580"/>
      <c r="L115" s="581"/>
      <c r="M115" s="582"/>
      <c r="N115" s="1148"/>
      <c r="O115" s="1148"/>
      <c r="P115" s="2671"/>
      <c r="Q115" s="500"/>
    </row>
    <row r="116" spans="1:17" ht="15.75" thickBot="1">
      <c r="A116" s="530"/>
      <c r="B116" s="539"/>
      <c r="C116" s="540">
        <v>100</v>
      </c>
      <c r="D116" s="540">
        <f t="shared" ref="D116:M116" si="25">C116-$K39</f>
        <v>100</v>
      </c>
      <c r="E116" s="540">
        <f t="shared" si="25"/>
        <v>100</v>
      </c>
      <c r="F116" s="540">
        <f t="shared" si="25"/>
        <v>100</v>
      </c>
      <c r="G116" s="540">
        <f t="shared" si="25"/>
        <v>100</v>
      </c>
      <c r="H116" s="540">
        <f t="shared" si="25"/>
        <v>100</v>
      </c>
      <c r="I116" s="540">
        <f t="shared" si="25"/>
        <v>100</v>
      </c>
      <c r="J116" s="540">
        <f t="shared" si="25"/>
        <v>100</v>
      </c>
      <c r="K116" s="540">
        <f t="shared" si="25"/>
        <v>100</v>
      </c>
      <c r="L116" s="540">
        <f t="shared" si="25"/>
        <v>100</v>
      </c>
      <c r="M116" s="541">
        <f t="shared" si="25"/>
        <v>100</v>
      </c>
      <c r="N116" s="1149"/>
      <c r="O116" s="1149"/>
      <c r="P116" s="2671"/>
      <c r="Q116" s="500"/>
    </row>
    <row r="117" spans="1:17" ht="15" thickTop="1">
      <c r="A117" s="595"/>
      <c r="B117" s="534" t="s">
        <v>2615</v>
      </c>
      <c r="C117" s="2925" t="s">
        <v>4699</v>
      </c>
      <c r="D117" s="2925" t="s">
        <v>4700</v>
      </c>
      <c r="E117" s="2925" t="s">
        <v>4701</v>
      </c>
      <c r="F117" s="2925" t="s">
        <v>4702</v>
      </c>
      <c r="G117" s="550"/>
      <c r="H117" s="579"/>
      <c r="I117" s="579"/>
      <c r="J117" s="579"/>
      <c r="K117" s="580"/>
      <c r="L117" s="581"/>
      <c r="M117" s="582"/>
      <c r="N117" s="1148"/>
      <c r="O117" s="1148"/>
      <c r="P117" s="2671"/>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49"/>
      <c r="O118" s="1149"/>
      <c r="P118" s="2671"/>
      <c r="Q118" s="500"/>
    </row>
    <row r="119" spans="1:17" ht="15" thickTop="1">
      <c r="A119" s="595"/>
      <c r="B119" s="631" t="s">
        <v>2698</v>
      </c>
      <c r="C119" s="2928" t="s">
        <v>4703</v>
      </c>
      <c r="D119" s="2928" t="s">
        <v>4704</v>
      </c>
      <c r="E119" s="579"/>
      <c r="F119" s="579"/>
      <c r="G119" s="579"/>
      <c r="H119" s="579"/>
      <c r="I119" s="579"/>
      <c r="J119" s="579"/>
      <c r="K119" s="579"/>
      <c r="L119" s="2676"/>
      <c r="M119" s="2677"/>
      <c r="N119" s="1149"/>
      <c r="O119" s="1149"/>
      <c r="P119" s="2678"/>
      <c r="Q119" s="633"/>
    </row>
    <row r="120" spans="1:17" ht="15.75" thickBot="1">
      <c r="A120" s="530"/>
      <c r="B120" s="539"/>
      <c r="C120" s="578">
        <v>100</v>
      </c>
      <c r="D120" s="540">
        <f>C120-$K41</f>
        <v>100</v>
      </c>
      <c r="E120" s="540">
        <f t="shared" ref="E120:M120" si="26">D120-$K41</f>
        <v>100</v>
      </c>
      <c r="F120" s="540">
        <f t="shared" si="26"/>
        <v>100</v>
      </c>
      <c r="G120" s="540">
        <f t="shared" si="26"/>
        <v>100</v>
      </c>
      <c r="H120" s="540">
        <f t="shared" si="26"/>
        <v>100</v>
      </c>
      <c r="I120" s="540">
        <f t="shared" si="26"/>
        <v>100</v>
      </c>
      <c r="J120" s="540">
        <f t="shared" si="26"/>
        <v>100</v>
      </c>
      <c r="K120" s="540">
        <f t="shared" si="26"/>
        <v>100</v>
      </c>
      <c r="L120" s="540">
        <f t="shared" si="26"/>
        <v>100</v>
      </c>
      <c r="M120" s="540">
        <f t="shared" si="26"/>
        <v>100</v>
      </c>
      <c r="N120" s="1149"/>
      <c r="O120" s="1149"/>
      <c r="P120" s="2671"/>
      <c r="Q120" s="500"/>
    </row>
    <row r="121" spans="1:17" s="467" customFormat="1" ht="15" thickTop="1">
      <c r="A121" s="589"/>
      <c r="B121" s="534" t="s">
        <v>2681</v>
      </c>
      <c r="C121" s="550" t="s">
        <v>4705</v>
      </c>
      <c r="D121" s="550"/>
      <c r="E121" s="550"/>
      <c r="F121" s="579"/>
      <c r="G121" s="551"/>
      <c r="H121" s="551"/>
      <c r="I121" s="551"/>
      <c r="J121" s="551"/>
      <c r="K121" s="551"/>
      <c r="L121" s="552"/>
      <c r="M121" s="553"/>
      <c r="N121" s="1150"/>
      <c r="O121" s="1150"/>
      <c r="P121" s="2672"/>
      <c r="Q121" s="555"/>
    </row>
    <row r="122" spans="1:17" s="467" customFormat="1" ht="15.75" thickBot="1">
      <c r="A122" s="549"/>
      <c r="B122" s="531"/>
      <c r="C122" s="556">
        <v>100</v>
      </c>
      <c r="D122" s="556"/>
      <c r="E122" s="556"/>
      <c r="F122" s="556"/>
      <c r="G122" s="556"/>
      <c r="H122" s="556"/>
      <c r="I122" s="556"/>
      <c r="J122" s="556"/>
      <c r="K122" s="556"/>
      <c r="L122" s="556"/>
      <c r="M122" s="556"/>
      <c r="N122" s="1150"/>
      <c r="O122" s="1150"/>
      <c r="P122" s="2672"/>
      <c r="Q122" s="555"/>
    </row>
    <row r="123" spans="1:17" ht="15" thickTop="1">
      <c r="A123" s="595"/>
      <c r="B123" s="534" t="s">
        <v>2617</v>
      </c>
      <c r="C123" s="2925" t="s">
        <v>4688</v>
      </c>
      <c r="D123" s="2925" t="s">
        <v>4690</v>
      </c>
      <c r="E123" s="2925" t="s">
        <v>4691</v>
      </c>
      <c r="F123" s="579"/>
      <c r="G123" s="579"/>
      <c r="H123" s="579"/>
      <c r="I123" s="579"/>
      <c r="J123" s="579"/>
      <c r="K123" s="580"/>
      <c r="L123" s="581"/>
      <c r="M123" s="582"/>
      <c r="N123" s="1148"/>
      <c r="O123" s="1148"/>
      <c r="P123" s="2671"/>
      <c r="Q123" s="500"/>
    </row>
    <row r="124" spans="1:17" ht="15.75" thickBot="1">
      <c r="A124" s="530"/>
      <c r="B124" s="539"/>
      <c r="C124" s="540">
        <v>100</v>
      </c>
      <c r="D124" s="540">
        <f t="shared" ref="D124:M124" si="27">C124-$K43</f>
        <v>100</v>
      </c>
      <c r="E124" s="540">
        <f t="shared" si="27"/>
        <v>100</v>
      </c>
      <c r="F124" s="540">
        <f t="shared" si="27"/>
        <v>100</v>
      </c>
      <c r="G124" s="540">
        <f t="shared" si="27"/>
        <v>100</v>
      </c>
      <c r="H124" s="540">
        <f t="shared" si="27"/>
        <v>100</v>
      </c>
      <c r="I124" s="540">
        <f t="shared" si="27"/>
        <v>100</v>
      </c>
      <c r="J124" s="540">
        <f t="shared" si="27"/>
        <v>100</v>
      </c>
      <c r="K124" s="540">
        <f t="shared" si="27"/>
        <v>100</v>
      </c>
      <c r="L124" s="540">
        <f t="shared" si="27"/>
        <v>100</v>
      </c>
      <c r="M124" s="541">
        <f t="shared" si="27"/>
        <v>100</v>
      </c>
      <c r="N124" s="1149"/>
      <c r="O124" s="1149"/>
      <c r="P124" s="2671"/>
      <c r="Q124" s="500"/>
    </row>
    <row r="125" spans="1:17" ht="15" thickTop="1">
      <c r="A125" s="595"/>
      <c r="B125" s="534" t="s">
        <v>2618</v>
      </c>
      <c r="C125" s="574" t="s">
        <v>2594</v>
      </c>
      <c r="D125" s="574" t="s">
        <v>2595</v>
      </c>
      <c r="E125" s="574" t="s">
        <v>2596</v>
      </c>
      <c r="F125" s="574" t="s">
        <v>2597</v>
      </c>
      <c r="G125" s="574" t="s">
        <v>2598</v>
      </c>
      <c r="H125" s="535"/>
      <c r="I125" s="535"/>
      <c r="J125" s="535"/>
      <c r="K125" s="536"/>
      <c r="L125" s="537"/>
      <c r="M125" s="538"/>
      <c r="N125" s="1148"/>
      <c r="O125" s="1148"/>
      <c r="P125" s="2672"/>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49"/>
      <c r="O126" s="1149"/>
      <c r="P126" s="2671"/>
      <c r="Q126" s="500"/>
    </row>
    <row r="127" spans="1:17" s="467" customFormat="1" ht="15" hidden="1" thickTop="1">
      <c r="A127" s="589"/>
      <c r="B127" s="534">
        <f>B45</f>
        <v>111</v>
      </c>
      <c r="C127" s="550"/>
      <c r="D127" s="550"/>
      <c r="E127" s="550"/>
      <c r="F127" s="550"/>
      <c r="G127" s="550"/>
      <c r="H127" s="551"/>
      <c r="I127" s="551"/>
      <c r="J127" s="551"/>
      <c r="K127" s="551"/>
      <c r="L127" s="552"/>
      <c r="M127" s="553"/>
      <c r="N127" s="1150"/>
      <c r="O127" s="1150"/>
      <c r="P127" s="2672"/>
      <c r="Q127" s="555"/>
    </row>
    <row r="128" spans="1:17" s="467" customFormat="1" ht="15.75" hidden="1" thickBot="1">
      <c r="A128" s="549"/>
      <c r="B128" s="539"/>
      <c r="C128" s="556"/>
      <c r="D128" s="532"/>
      <c r="E128" s="532"/>
      <c r="F128" s="532"/>
      <c r="G128" s="556"/>
      <c r="H128" s="558"/>
      <c r="I128" s="558"/>
      <c r="J128" s="558"/>
      <c r="K128" s="558"/>
      <c r="L128" s="558"/>
      <c r="M128" s="559"/>
      <c r="N128" s="1150"/>
      <c r="O128" s="1150"/>
      <c r="P128" s="2672"/>
      <c r="Q128" s="555"/>
    </row>
    <row r="129" spans="1:17" ht="15" hidden="1" thickTop="1">
      <c r="A129" s="595"/>
      <c r="B129" s="534">
        <f>B46</f>
        <v>111</v>
      </c>
      <c r="C129" s="550"/>
      <c r="D129" s="550"/>
      <c r="E129" s="550"/>
      <c r="F129" s="550"/>
      <c r="G129" s="579"/>
      <c r="H129" s="579"/>
      <c r="I129" s="579"/>
      <c r="J129" s="579"/>
      <c r="K129" s="580"/>
      <c r="L129" s="581"/>
      <c r="M129" s="582"/>
      <c r="N129" s="1148"/>
      <c r="O129" s="1148"/>
      <c r="P129" s="2671"/>
      <c r="Q129" s="500"/>
    </row>
    <row r="130" spans="1:17" ht="15.75" hidden="1" thickBot="1">
      <c r="A130" s="530"/>
      <c r="B130" s="539"/>
      <c r="C130" s="556"/>
      <c r="D130" s="556"/>
      <c r="E130" s="556"/>
      <c r="F130" s="556"/>
      <c r="G130" s="532"/>
      <c r="H130" s="532"/>
      <c r="I130" s="532"/>
      <c r="J130" s="532"/>
      <c r="K130" s="532"/>
      <c r="L130" s="532"/>
      <c r="M130" s="533"/>
      <c r="N130" s="1149"/>
      <c r="O130" s="1149"/>
      <c r="P130" s="2671"/>
      <c r="Q130" s="500"/>
    </row>
    <row r="131" spans="1:17" ht="15" hidden="1" thickTop="1">
      <c r="A131" s="595"/>
      <c r="B131" s="542">
        <f>B47</f>
        <v>111</v>
      </c>
      <c r="C131" s="519"/>
      <c r="D131" s="519"/>
      <c r="E131" s="519"/>
      <c r="F131" s="519"/>
      <c r="G131" s="583"/>
      <c r="H131" s="583"/>
      <c r="I131" s="583"/>
      <c r="J131" s="583"/>
      <c r="K131" s="519"/>
      <c r="L131" s="520"/>
      <c r="M131" s="586"/>
      <c r="N131" s="1148"/>
      <c r="O131" s="1148"/>
      <c r="P131" s="2671"/>
      <c r="Q131" s="500"/>
    </row>
    <row r="132" spans="1:17" ht="15.75" hidden="1" thickBot="1">
      <c r="A132" s="2623"/>
      <c r="B132" s="565"/>
      <c r="C132" s="566"/>
      <c r="D132" s="566"/>
      <c r="E132" s="566"/>
      <c r="F132" s="566"/>
      <c r="G132" s="587"/>
      <c r="H132" s="587"/>
      <c r="I132" s="587"/>
      <c r="J132" s="587"/>
      <c r="K132" s="587"/>
      <c r="L132" s="587"/>
      <c r="M132" s="588"/>
      <c r="N132" s="1149"/>
      <c r="O132" s="1149"/>
      <c r="P132" s="2671"/>
      <c r="Q132" s="500"/>
    </row>
    <row r="133" spans="1:17" ht="15" thickTop="1"/>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0" priority="16" stopIfTrue="1" operator="containsText" text="超过">
      <formula>NOT(ISERROR(SEARCH("超过",F53)))</formula>
    </cfRule>
  </conditionalFormatting>
  <conditionalFormatting sqref="H55">
    <cfRule type="containsText" dxfId="109" priority="15" stopIfTrue="1" operator="containsText" text="超过">
      <formula>NOT(ISERROR(SEARCH("超过",H55)))</formula>
    </cfRule>
  </conditionalFormatting>
  <conditionalFormatting sqref="F55">
    <cfRule type="containsText" dxfId="108" priority="14" stopIfTrue="1" operator="containsText" text="超过">
      <formula>NOT(ISERROR(SEARCH("超过",F55)))</formula>
    </cfRule>
  </conditionalFormatting>
  <conditionalFormatting sqref="F54 H54">
    <cfRule type="containsText" dxfId="107" priority="13" stopIfTrue="1" operator="containsText" text="超过">
      <formula>NOT(ISERROR(SEARCH("超过",F54)))</formula>
    </cfRule>
  </conditionalFormatting>
  <conditionalFormatting sqref="E53">
    <cfRule type="expression" dxfId="106" priority="12" stopIfTrue="1">
      <formula>$F$53="超过30%"</formula>
    </cfRule>
  </conditionalFormatting>
  <conditionalFormatting sqref="E54">
    <cfRule type="expression" dxfId="105" priority="11" stopIfTrue="1">
      <formula>$F$54="超过20%"</formula>
    </cfRule>
  </conditionalFormatting>
  <conditionalFormatting sqref="E55">
    <cfRule type="expression" dxfId="104" priority="10" stopIfTrue="1">
      <formula>$F$55="超过30%"</formula>
    </cfRule>
  </conditionalFormatting>
  <conditionalFormatting sqref="G55">
    <cfRule type="expression" dxfId="103" priority="9" stopIfTrue="1">
      <formula>$H$55="超过30%"</formula>
    </cfRule>
  </conditionalFormatting>
  <conditionalFormatting sqref="G53">
    <cfRule type="expression" dxfId="102" priority="8" stopIfTrue="1">
      <formula>$H$53="超过30%"</formula>
    </cfRule>
  </conditionalFormatting>
  <conditionalFormatting sqref="G54">
    <cfRule type="expression" dxfId="101" priority="7" stopIfTrue="1">
      <formula>$H$54="超过20%"</formula>
    </cfRule>
  </conditionalFormatting>
  <conditionalFormatting sqref="J53">
    <cfRule type="containsText" dxfId="100" priority="6" stopIfTrue="1" operator="containsText" text="超过">
      <formula>NOT(ISERROR(SEARCH("超过",J53)))</formula>
    </cfRule>
  </conditionalFormatting>
  <conditionalFormatting sqref="J55">
    <cfRule type="containsText" dxfId="99" priority="5" stopIfTrue="1" operator="containsText" text="超过">
      <formula>NOT(ISERROR(SEARCH("超过",J55)))</formula>
    </cfRule>
  </conditionalFormatting>
  <conditionalFormatting sqref="J54">
    <cfRule type="containsText" dxfId="98" priority="4" stopIfTrue="1" operator="containsText" text="超过">
      <formula>NOT(ISERROR(SEARCH("超过",J54)))</formula>
    </cfRule>
  </conditionalFormatting>
  <conditionalFormatting sqref="I53">
    <cfRule type="expression" dxfId="97" priority="3" stopIfTrue="1">
      <formula>$J$53="超过30%"</formula>
    </cfRule>
  </conditionalFormatting>
  <conditionalFormatting sqref="I54">
    <cfRule type="expression" dxfId="96" priority="2" stopIfTrue="1">
      <formula>$J$53+$J$54="超过20%"</formula>
    </cfRule>
  </conditionalFormatting>
  <conditionalFormatting sqref="I55">
    <cfRule type="expression" dxfId="9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7">
    <tabColor rgb="FF92D050"/>
  </sheetPr>
  <dimension ref="A1:AK83"/>
  <sheetViews>
    <sheetView topLeftCell="D37" zoomScale="85" zoomScaleNormal="85" zoomScaleSheetLayoutView="90" workbookViewId="0">
      <selection activeCell="H15" sqref="H15"/>
    </sheetView>
  </sheetViews>
  <sheetFormatPr defaultRowHeight="12.75"/>
  <cols>
    <col min="1" max="1" width="9" style="302" customWidth="1"/>
    <col min="2" max="2" width="20.625" style="702" customWidth="1"/>
    <col min="3" max="3" width="11.875" style="702"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4"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1589</v>
      </c>
      <c r="B1" s="775"/>
      <c r="C1" s="1826" t="s">
        <v>4670</v>
      </c>
      <c r="D1" s="1810" t="s">
        <v>70</v>
      </c>
      <c r="E1" s="1811" t="s">
        <v>1388</v>
      </c>
      <c r="F1" s="1279">
        <f ca="1">J53</f>
        <v>32.700000000000003</v>
      </c>
      <c r="G1" s="1825">
        <f>MATCH(C1,'数据-取费表'!A6:A16,0)+5</f>
        <v>6</v>
      </c>
      <c r="H1" s="745"/>
      <c r="I1" s="339"/>
      <c r="J1" s="339"/>
      <c r="K1" s="746"/>
      <c r="L1" s="339"/>
      <c r="M1" s="339"/>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2" t="s">
        <v>1516</v>
      </c>
      <c r="B2" s="1833">
        <f ca="1">C40+J29+L46</f>
        <v>70</v>
      </c>
      <c r="C2" s="1834" t="s">
        <v>1517</v>
      </c>
      <c r="D2" s="1834"/>
      <c r="E2" s="1835"/>
      <c r="F2" s="1836"/>
      <c r="G2" s="1837"/>
      <c r="H2" s="1829"/>
      <c r="I2" s="1829"/>
      <c r="J2" s="1829"/>
      <c r="K2" s="1830"/>
      <c r="L2" s="1829"/>
      <c r="M2" s="1829"/>
    </row>
    <row r="3" spans="1:37" ht="18" customHeight="1" thickBot="1">
      <c r="A3" s="1838" t="s">
        <v>1518</v>
      </c>
      <c r="B3" s="1839">
        <f ca="1">IF(ISERROR(B2*10000/F43),0,ROUND(B2*10000/F43,0))</f>
        <v>14110</v>
      </c>
      <c r="C3" s="1834" t="s">
        <v>1519</v>
      </c>
      <c r="D3" s="1834"/>
      <c r="E3" s="1835"/>
      <c r="F3" s="1836"/>
      <c r="G3" s="1837"/>
      <c r="H3" s="737" t="s">
        <v>1588</v>
      </c>
      <c r="I3" s="1829"/>
      <c r="J3" s="1829"/>
      <c r="K3" s="1830"/>
      <c r="L3" s="1829"/>
      <c r="M3" s="1829"/>
    </row>
    <row r="4" spans="1:37" ht="18" customHeight="1">
      <c r="A4" s="2943" t="s">
        <v>1397</v>
      </c>
      <c r="B4" s="2944" t="s">
        <v>1398</v>
      </c>
      <c r="C4" s="2944" t="s">
        <v>1399</v>
      </c>
      <c r="D4" s="2944" t="s">
        <v>1400</v>
      </c>
      <c r="E4" s="2945" t="s">
        <v>1401</v>
      </c>
      <c r="F4" s="2946"/>
      <c r="G4" s="1840"/>
      <c r="H4" s="340" t="s">
        <v>1397</v>
      </c>
      <c r="I4" s="341" t="s">
        <v>1398</v>
      </c>
      <c r="J4" s="341" t="s">
        <v>1399</v>
      </c>
      <c r="K4" s="341" t="s">
        <v>1400</v>
      </c>
      <c r="L4" s="342" t="s">
        <v>1401</v>
      </c>
      <c r="M4" s="343"/>
    </row>
    <row r="5" spans="1:37" ht="18" customHeight="1">
      <c r="A5" s="2947">
        <v>1</v>
      </c>
      <c r="B5" s="345" t="s">
        <v>1402</v>
      </c>
      <c r="C5" s="31">
        <f ca="1">C6+C10+C12</f>
        <v>4</v>
      </c>
      <c r="D5" s="2773" t="s">
        <v>1403</v>
      </c>
      <c r="E5" s="2948"/>
      <c r="F5" s="1337"/>
      <c r="G5" s="1840"/>
      <c r="H5" s="344">
        <v>1</v>
      </c>
      <c r="I5" s="345" t="s">
        <v>1402</v>
      </c>
      <c r="J5" s="1288">
        <f ca="1">J6+J10+J12</f>
        <v>0</v>
      </c>
      <c r="K5" s="1812" t="s">
        <v>1403</v>
      </c>
      <c r="L5" s="1289"/>
      <c r="M5" s="1290"/>
    </row>
    <row r="6" spans="1:37" ht="18" customHeight="1">
      <c r="A6" s="2949" t="s">
        <v>1035</v>
      </c>
      <c r="B6" s="3262" t="s">
        <v>1404</v>
      </c>
      <c r="C6" s="2950">
        <f ca="1">ROUND(F6*F8*F7*(1-F9)/10000,0)</f>
        <v>4</v>
      </c>
      <c r="D6" s="2951" t="s">
        <v>3030</v>
      </c>
      <c r="E6" s="2938" t="s">
        <v>1406</v>
      </c>
      <c r="F6" s="2952">
        <f ca="1">INDIRECT("'数据-取费表'!u"&amp;$G$1)</f>
        <v>2.5</v>
      </c>
      <c r="G6" s="1840"/>
      <c r="H6" s="1287" t="s">
        <v>1035</v>
      </c>
      <c r="I6" s="3262" t="s">
        <v>1404</v>
      </c>
      <c r="J6" s="346">
        <f ca="1">ROUND(M6*M8*M7*(1-M9)/10000,0)</f>
        <v>0</v>
      </c>
      <c r="K6" s="164" t="s">
        <v>3029</v>
      </c>
      <c r="L6" s="347" t="s">
        <v>1406</v>
      </c>
      <c r="M6" s="348">
        <f ca="1">INDIRECT("'数据-取费表'!z"&amp;$G$1)</f>
        <v>0</v>
      </c>
    </row>
    <row r="7" spans="1:37" ht="18" customHeight="1">
      <c r="A7" s="2953"/>
      <c r="B7" s="3263"/>
      <c r="C7" s="2954"/>
      <c r="D7" s="2955"/>
      <c r="E7" s="2940" t="s">
        <v>1407</v>
      </c>
      <c r="F7" s="2952">
        <f ca="1">IF(INDIRECT("'数据-取费表'!ah"&amp;$G$1)="",INDIRECT("'数据-取费表'!k"&amp;$G$1),INDIRECT("'数据-取费表'!ah"&amp;$G$1))</f>
        <v>49.61</v>
      </c>
      <c r="G7" s="1840"/>
      <c r="H7" s="349"/>
      <c r="I7" s="3263"/>
      <c r="J7" s="351"/>
      <c r="K7" s="352"/>
      <c r="L7" s="347" t="s">
        <v>1407</v>
      </c>
      <c r="M7" s="348">
        <f ca="1">F7</f>
        <v>49.61</v>
      </c>
    </row>
    <row r="8" spans="1:37" ht="18" customHeight="1">
      <c r="A8" s="2956"/>
      <c r="B8" s="3263"/>
      <c r="C8" s="2957"/>
      <c r="D8" s="2955"/>
      <c r="E8" s="2938" t="s">
        <v>1408</v>
      </c>
      <c r="F8" s="2952">
        <f ca="1">INDIRECT("'数据-取费表'!ai"&amp;$G$1)</f>
        <v>365</v>
      </c>
      <c r="G8" s="1840"/>
      <c r="H8" s="349"/>
      <c r="I8" s="3263"/>
      <c r="J8" s="351"/>
      <c r="K8" s="352"/>
      <c r="L8" s="347" t="s">
        <v>1408</v>
      </c>
      <c r="M8" s="348">
        <f ca="1">INDIRECT("'数据-取费表'!ai"&amp;$G$1)</f>
        <v>365</v>
      </c>
    </row>
    <row r="9" spans="1:37" ht="18" customHeight="1">
      <c r="A9" s="2956"/>
      <c r="B9" s="3264"/>
      <c r="C9" s="2957"/>
      <c r="D9" s="2955"/>
      <c r="E9" s="2938" t="s">
        <v>1409</v>
      </c>
      <c r="F9" s="2958">
        <f ca="1">INDIRECT("'数据-取费表'!w"&amp;$G$1)</f>
        <v>0.1</v>
      </c>
      <c r="G9" s="1840"/>
      <c r="H9" s="349"/>
      <c r="I9" s="3264"/>
      <c r="J9" s="351"/>
      <c r="K9" s="352"/>
      <c r="L9" s="358" t="s">
        <v>1409</v>
      </c>
      <c r="M9" s="359">
        <f ca="1">INDIRECT("'数据-取费表'!ab"&amp;$G$1)</f>
        <v>0</v>
      </c>
    </row>
    <row r="10" spans="1:37" ht="18" customHeight="1">
      <c r="A10" s="2949" t="s">
        <v>1039</v>
      </c>
      <c r="B10" s="1813" t="s">
        <v>1410</v>
      </c>
      <c r="C10" s="2959">
        <f ca="1">ROUND(IF(F10="押一",F6*F8*F7/12*F11,IF(F10="押二",F6*F8*F7/12*2*F11,IF(F10="押三",F6*F8*F7/12*3*F11,C11*F11)))/10000,0)</f>
        <v>0</v>
      </c>
      <c r="D10" s="1813" t="s">
        <v>3031</v>
      </c>
      <c r="E10" s="366" t="s">
        <v>1412</v>
      </c>
      <c r="F10" s="2960" t="s">
        <v>3072</v>
      </c>
      <c r="G10" s="1840"/>
      <c r="H10" s="1287" t="s">
        <v>1039</v>
      </c>
      <c r="I10" s="1813" t="s">
        <v>1410</v>
      </c>
      <c r="J10" s="346">
        <f ca="1">ROUND(IF(M10="押一",M6*M8*M7/12*M11,IF(M10="押二",M6*M8*M7/12*2*M11,IF(M10="押三",M6*M8*M7/12*3*M11,J11*M11)))/10000,0)</f>
        <v>0</v>
      </c>
      <c r="K10" s="1814" t="s">
        <v>3032</v>
      </c>
      <c r="L10" s="358" t="s">
        <v>1412</v>
      </c>
      <c r="M10" s="1355" t="s">
        <v>3072</v>
      </c>
    </row>
    <row r="11" spans="1:37" ht="18" customHeight="1">
      <c r="A11" s="2961"/>
      <c r="B11" s="1815" t="s">
        <v>1389</v>
      </c>
      <c r="C11" s="2962"/>
      <c r="D11" s="2963"/>
      <c r="E11" s="366" t="s">
        <v>1413</v>
      </c>
      <c r="F11" s="2964">
        <f ca="1">'数据-取费表'!B39</f>
        <v>1.4999999999999999E-2</v>
      </c>
      <c r="G11" s="1840"/>
      <c r="H11" s="1293"/>
      <c r="I11" s="1815" t="s">
        <v>1389</v>
      </c>
      <c r="J11" s="1174"/>
      <c r="K11" s="741"/>
      <c r="L11" s="358" t="s">
        <v>1413</v>
      </c>
      <c r="M11" s="1052">
        <f ca="1">'数据-取费表'!B39</f>
        <v>1.4999999999999999E-2</v>
      </c>
    </row>
    <row r="12" spans="1:37" ht="18" customHeight="1" thickBot="1">
      <c r="A12" s="2965" t="s">
        <v>1075</v>
      </c>
      <c r="B12" s="1816" t="s">
        <v>1414</v>
      </c>
      <c r="C12" s="2966"/>
      <c r="D12" s="2967"/>
      <c r="E12" s="1333"/>
      <c r="F12" s="2968"/>
      <c r="G12" s="1840"/>
      <c r="H12" s="1325" t="s">
        <v>1075</v>
      </c>
      <c r="I12" s="1816" t="s">
        <v>1414</v>
      </c>
      <c r="J12" s="1326"/>
      <c r="K12" s="1338"/>
      <c r="L12" s="1331"/>
      <c r="M12" s="1339"/>
    </row>
    <row r="13" spans="1:37" ht="18" customHeight="1" thickTop="1">
      <c r="A13" s="2969">
        <v>2</v>
      </c>
      <c r="B13" s="1334" t="s">
        <v>1415</v>
      </c>
      <c r="C13" s="2970">
        <f ca="1">ROUND(C29*F13,0)</f>
        <v>0</v>
      </c>
      <c r="D13" s="374" t="s">
        <v>1416</v>
      </c>
      <c r="E13" s="374" t="s">
        <v>1417</v>
      </c>
      <c r="F13" s="2971">
        <f ca="1">INDIRECT("'数据-取费表'!y"&amp;$G$1)</f>
        <v>0</v>
      </c>
      <c r="G13" s="1840"/>
      <c r="H13" s="1323">
        <v>2</v>
      </c>
      <c r="I13" s="1324" t="s">
        <v>1415</v>
      </c>
      <c r="J13" s="1286">
        <f ca="1">ROUND(J14*J15,0)</f>
        <v>0</v>
      </c>
      <c r="K13" s="1328" t="s">
        <v>1416</v>
      </c>
      <c r="L13" s="1841"/>
      <c r="M13" s="1842"/>
    </row>
    <row r="14" spans="1:37" ht="18" customHeight="1">
      <c r="A14" s="197" t="s">
        <v>1034</v>
      </c>
      <c r="B14" s="2938" t="s">
        <v>1418</v>
      </c>
      <c r="C14" s="2475">
        <f ca="1">INDIRECT("'数据-取费表'!m"&amp;$G$1)+INDIRECT("'数据-取费表'!t"&amp;$G$1)</f>
        <v>11</v>
      </c>
      <c r="D14" s="2939" t="s">
        <v>1419</v>
      </c>
      <c r="E14" s="2937"/>
      <c r="F14" s="2972"/>
      <c r="G14" s="1840"/>
      <c r="H14" s="1197" t="s">
        <v>1035</v>
      </c>
      <c r="I14" s="347" t="s">
        <v>1420</v>
      </c>
      <c r="J14" s="24">
        <f ca="1">C29</f>
        <v>17</v>
      </c>
      <c r="K14" s="15"/>
      <c r="L14" s="975"/>
      <c r="M14" s="976"/>
    </row>
    <row r="15" spans="1:37" s="1847" customFormat="1" ht="18" customHeight="1" thickBot="1">
      <c r="A15" s="197" t="s">
        <v>1036</v>
      </c>
      <c r="B15" s="2938" t="s">
        <v>1421</v>
      </c>
      <c r="C15" s="11">
        <f ca="1">ROUND(C14*F15,0)</f>
        <v>0</v>
      </c>
      <c r="D15" s="369" t="s">
        <v>1422</v>
      </c>
      <c r="E15" s="369" t="s">
        <v>1423</v>
      </c>
      <c r="F15" s="2973">
        <f>'数据-取费表'!B33</f>
        <v>0.03</v>
      </c>
      <c r="G15" s="1843"/>
      <c r="H15" s="1330" t="s">
        <v>1039</v>
      </c>
      <c r="I15" s="1331" t="s">
        <v>1417</v>
      </c>
      <c r="J15" s="1339">
        <f ca="1">INDIRECT("'数据-取费表'!ad"&amp;$G$1)</f>
        <v>0</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97" t="s">
        <v>1390</v>
      </c>
      <c r="B16" s="2938" t="s">
        <v>1424</v>
      </c>
      <c r="C16" s="11">
        <f ca="1">ROUND(INDIRECT("'数据-取费表'!m"&amp;$G$1)*F16,0)</f>
        <v>0</v>
      </c>
      <c r="D16" s="2938" t="s">
        <v>1422</v>
      </c>
      <c r="E16" s="2938" t="s">
        <v>1423</v>
      </c>
      <c r="F16" s="2974">
        <f ca="1">IF(INDIRECT("'数据-取费表'!c"&amp;$G$1)="住宅",'数据-取费表'!B34,0)</f>
        <v>0</v>
      </c>
      <c r="G16" s="1840"/>
      <c r="H16" s="1323" t="s">
        <v>1030</v>
      </c>
      <c r="I16" s="1324" t="s">
        <v>1425</v>
      </c>
      <c r="J16" s="355">
        <f ca="1">ROUND(J17+J22+J23+J24,0)</f>
        <v>1</v>
      </c>
      <c r="K16" s="1328" t="s">
        <v>1426</v>
      </c>
      <c r="L16" s="1329"/>
      <c r="M16" s="1290"/>
    </row>
    <row r="17" spans="1:37" s="1847" customFormat="1" ht="18" customHeight="1">
      <c r="A17" s="197" t="s">
        <v>1391</v>
      </c>
      <c r="B17" s="2938" t="s">
        <v>1427</v>
      </c>
      <c r="C17" s="11">
        <f ca="1">ROUND(F17*(F43+INDIRECT("'数据-取费表'!S"&amp;$G$1))/10000,0)</f>
        <v>1</v>
      </c>
      <c r="D17" s="2938" t="s">
        <v>1428</v>
      </c>
      <c r="E17" s="2938" t="s">
        <v>1429</v>
      </c>
      <c r="F17" s="2975">
        <f>'数据-取费表'!B35</f>
        <v>200</v>
      </c>
      <c r="G17" s="1843"/>
      <c r="H17" s="1197" t="s">
        <v>1035</v>
      </c>
      <c r="I17" s="347" t="s">
        <v>1430</v>
      </c>
      <c r="J17" s="24">
        <f ca="1">ROUND(IF(项目基本情况!B11="自然人",J5*M17,J18+J19+J20),1)</f>
        <v>0.2</v>
      </c>
      <c r="K17" s="1790" t="s">
        <v>1431</v>
      </c>
      <c r="L17" s="1788" t="s">
        <v>1432</v>
      </c>
      <c r="M17" s="364"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97" t="s">
        <v>1392</v>
      </c>
      <c r="B18" s="2938" t="s">
        <v>1433</v>
      </c>
      <c r="C18" s="11">
        <f ca="1">ROUND(C14*F18,0)</f>
        <v>0</v>
      </c>
      <c r="D18" s="2938" t="s">
        <v>1422</v>
      </c>
      <c r="E18" s="2938" t="s">
        <v>1423</v>
      </c>
      <c r="F18" s="2974">
        <f>'数据-取费表'!B36</f>
        <v>1.4999999999999999E-2</v>
      </c>
      <c r="G18" s="1843"/>
      <c r="H18" s="1197" t="s">
        <v>1034</v>
      </c>
      <c r="I18" s="347" t="s">
        <v>1434</v>
      </c>
      <c r="J18" s="24">
        <f ca="1">ROUND(J5*M18/(1+'数据-取费表'!C42),2)</f>
        <v>0</v>
      </c>
      <c r="K18" s="1788" t="s">
        <v>1435</v>
      </c>
      <c r="L18" s="347" t="s">
        <v>1423</v>
      </c>
      <c r="M18" s="363">
        <f>'数据-取费表'!B41</f>
        <v>6.2719999999999998E-2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97" t="s">
        <v>1035</v>
      </c>
      <c r="B19" s="2938" t="s">
        <v>1436</v>
      </c>
      <c r="C19" s="11">
        <f ca="1">SUM(C14:C18)</f>
        <v>12</v>
      </c>
      <c r="D19" s="2976" t="s">
        <v>1437</v>
      </c>
      <c r="E19" s="2941"/>
      <c r="F19" s="2975"/>
      <c r="G19" s="1840"/>
      <c r="H19" s="1197" t="s">
        <v>1036</v>
      </c>
      <c r="I19" s="347" t="s">
        <v>1438</v>
      </c>
      <c r="J19" s="24">
        <f ca="1">IF(K19="按租金收入计税",ROUND(J5*M19,2),ROUND(C29*M19*0.7,2))</f>
        <v>0.14000000000000001</v>
      </c>
      <c r="K19" s="1817" t="s">
        <v>1439</v>
      </c>
      <c r="L19" s="347" t="s">
        <v>1423</v>
      </c>
      <c r="M19" s="363">
        <f>IF(K19="按租金收入计税",'数据-取费表'!B51,'数据-取费表'!B50)</f>
        <v>1.2E-2</v>
      </c>
    </row>
    <row r="20" spans="1:37" s="1847" customFormat="1" ht="18" customHeight="1">
      <c r="A20" s="197" t="s">
        <v>1039</v>
      </c>
      <c r="B20" s="2938" t="s">
        <v>1440</v>
      </c>
      <c r="C20" s="11">
        <f ca="1">ROUND(C19*F20,0)</f>
        <v>0</v>
      </c>
      <c r="D20" s="365" t="s">
        <v>1441</v>
      </c>
      <c r="E20" s="2938" t="s">
        <v>1423</v>
      </c>
      <c r="F20" s="2974">
        <f>'数据-取费表'!B37</f>
        <v>0.02</v>
      </c>
      <c r="G20" s="1843"/>
      <c r="H20" s="1197" t="s">
        <v>1390</v>
      </c>
      <c r="I20" s="164" t="s">
        <v>1442</v>
      </c>
      <c r="J20" s="25">
        <f ca="1">ROUND(M20*M21/10000,2)</f>
        <v>0.01</v>
      </c>
      <c r="K20" s="366" t="s">
        <v>1443</v>
      </c>
      <c r="L20" s="347" t="s">
        <v>1444</v>
      </c>
      <c r="M20" s="367">
        <f>'数据-取费表'!B52</f>
        <v>10</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97" t="s">
        <v>1075</v>
      </c>
      <c r="B21" s="2938" t="s">
        <v>1445</v>
      </c>
      <c r="C21" s="11" t="s">
        <v>18</v>
      </c>
      <c r="D21" s="365" t="s">
        <v>1446</v>
      </c>
      <c r="E21" s="2938" t="s">
        <v>1447</v>
      </c>
      <c r="F21" s="2974">
        <f>'数据-取费表'!B38</f>
        <v>0.02</v>
      </c>
      <c r="G21" s="1843"/>
      <c r="H21" s="368"/>
      <c r="I21" s="356"/>
      <c r="J21" s="29"/>
      <c r="K21" s="369"/>
      <c r="L21" s="347" t="s">
        <v>1448</v>
      </c>
      <c r="M21" s="348">
        <f ca="1">INDIRECT("'数据-取费表'!r"&amp;$G$1)</f>
        <v>8.7100000000000009</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97" t="s">
        <v>1393</v>
      </c>
      <c r="B22" s="2938" t="s">
        <v>1449</v>
      </c>
      <c r="C22" s="11"/>
      <c r="D22" s="2976" t="str">
        <f>IF(F23&lt;=1,"单利计息。","复利计息。")&amp;"建造成本、管理费用、销售费用产生的利息。"</f>
        <v>复利计息。建造成本、管理费用、销售费用产生的利息。</v>
      </c>
      <c r="E22" s="2941"/>
      <c r="F22" s="2975"/>
      <c r="G22" s="1840"/>
      <c r="H22" s="1197" t="s">
        <v>1039</v>
      </c>
      <c r="I22" s="347" t="s">
        <v>1450</v>
      </c>
      <c r="J22" s="24">
        <f ca="1">ROUND(J14*M22,1)</f>
        <v>0.3</v>
      </c>
      <c r="K22" s="1788" t="s">
        <v>1451</v>
      </c>
      <c r="L22" s="347" t="s">
        <v>1423</v>
      </c>
      <c r="M22" s="370">
        <f ca="1">INDIRECT("'数据-取费表'!Ak"&amp;$G$1)</f>
        <v>1.4999999999999999E-2</v>
      </c>
    </row>
    <row r="23" spans="1:37" s="1847" customFormat="1" ht="18" customHeight="1">
      <c r="A23" s="197" t="s">
        <v>1034</v>
      </c>
      <c r="B23" s="2938" t="s">
        <v>1452</v>
      </c>
      <c r="C23" s="11">
        <f ca="1">IF('数据-取费表'!B22&lt;=1,ROUND(C19*F24*F23/2,0)+ROUND(C20*F24*F23/2,0),ROUND(C19*(POWER((1+F24),F23/2)-1),0)+ROUND(C20*(POWER((1+F24),F23/2)-1),0))</f>
        <v>1</v>
      </c>
      <c r="D23" s="365" t="str">
        <f>IF(F23&lt;=1,"(建造成本+管理费用)×利率×(建设周期÷2)","(建造成本+管理费用)×((1+利率)^(建设周期÷2)-1)")</f>
        <v>(建造成本+管理费用)×((1+利率)^(建设周期÷2)-1)</v>
      </c>
      <c r="E23" s="2938" t="s">
        <v>1453</v>
      </c>
      <c r="F23" s="2977">
        <f>'数据-取费表'!B20</f>
        <v>2.5</v>
      </c>
      <c r="G23" s="1843"/>
      <c r="H23" s="1197" t="s">
        <v>1075</v>
      </c>
      <c r="I23" s="347" t="s">
        <v>1454</v>
      </c>
      <c r="J23" s="24">
        <f ca="1">ROUND(J13*M23,1)</f>
        <v>0</v>
      </c>
      <c r="K23" s="1788" t="s">
        <v>1455</v>
      </c>
      <c r="L23" s="347" t="s">
        <v>1456</v>
      </c>
      <c r="M23" s="372">
        <f ca="1">INDIRECT("'数据-取费表'!Al"&amp;$G$1)</f>
        <v>2E-3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97" t="s">
        <v>1457</v>
      </c>
      <c r="B24" s="2938" t="s">
        <v>1458</v>
      </c>
      <c r="C24" s="11">
        <f ca="1">ROUND(IF('数据-取费表'!B22&lt;=1,F21*F24*F23/2,F21*(POWER((1+F24),F23/2)-1)),4)</f>
        <v>1.1999999999999999E-3</v>
      </c>
      <c r="D24" s="365" t="str">
        <f>IF(F23&lt;=1,"销售费用×利率×(建设周期÷2)","销售费用×((1+利率)^(建设周期÷2)-1)")</f>
        <v>销售费用×((1+利率)^(建设周期÷2)-1)</v>
      </c>
      <c r="E24" s="2938" t="s">
        <v>1459</v>
      </c>
      <c r="F24" s="2978">
        <f ca="1">'数据-取费表'!B40</f>
        <v>4.7500000000000001E-2</v>
      </c>
      <c r="G24" s="1843"/>
      <c r="H24" s="1330" t="s">
        <v>1394</v>
      </c>
      <c r="I24" s="1331" t="s">
        <v>1440</v>
      </c>
      <c r="J24" s="1332">
        <f ca="1">ROUND(J5*M24,1)</f>
        <v>0</v>
      </c>
      <c r="K24" s="1333" t="s">
        <v>1460</v>
      </c>
      <c r="L24" s="1331" t="s">
        <v>1456</v>
      </c>
      <c r="M24" s="1327">
        <f ca="1">INDIRECT("'数据-取费表'!Am"&amp;$G$1)</f>
        <v>0.02</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97" t="s">
        <v>1461</v>
      </c>
      <c r="B25" s="2938" t="s">
        <v>1462</v>
      </c>
      <c r="C25" s="11"/>
      <c r="D25" s="2976" t="s">
        <v>1463</v>
      </c>
      <c r="E25" s="2941"/>
      <c r="F25" s="2975"/>
      <c r="G25" s="1840"/>
      <c r="H25" s="1323" t="s">
        <v>1031</v>
      </c>
      <c r="I25" s="1334" t="s">
        <v>1464</v>
      </c>
      <c r="J25" s="355">
        <f ca="1">J5-J16</f>
        <v>-1</v>
      </c>
      <c r="K25" s="1335" t="s">
        <v>1465</v>
      </c>
      <c r="L25" s="1336"/>
      <c r="M25" s="1337"/>
    </row>
    <row r="26" spans="1:37">
      <c r="A26" s="197" t="s">
        <v>1034</v>
      </c>
      <c r="B26" s="2938" t="s">
        <v>1466</v>
      </c>
      <c r="C26" s="11">
        <f ca="1">ROUND((C19+C20)*F26,0)</f>
        <v>3</v>
      </c>
      <c r="D26" s="365" t="s">
        <v>1467</v>
      </c>
      <c r="E26" s="366" t="s">
        <v>1468</v>
      </c>
      <c r="F26" s="2958">
        <f ca="1">INDIRECT("'数据-取费表'!q"&amp;$G$1)</f>
        <v>0.25</v>
      </c>
      <c r="G26" s="1840"/>
      <c r="H26" s="344" t="s">
        <v>1032</v>
      </c>
      <c r="I26" s="345" t="s">
        <v>1469</v>
      </c>
      <c r="J26" s="346">
        <f ca="1">IF(J5&lt;&gt;0,ROUND(J25*(1-((1+M28)/(1+M26))^M27)/(M26-M28),0),0)</f>
        <v>0</v>
      </c>
      <c r="K26" s="366" t="s">
        <v>1470</v>
      </c>
      <c r="L26" s="347" t="s">
        <v>1471</v>
      </c>
      <c r="M26" s="357">
        <f ca="1">INDIRECT("'数据-取费表'!I"&amp;$G$1)</f>
        <v>0.05</v>
      </c>
    </row>
    <row r="27" spans="1:37" ht="18" customHeight="1">
      <c r="A27" s="197" t="s">
        <v>1036</v>
      </c>
      <c r="B27" s="2938" t="s">
        <v>1472</v>
      </c>
      <c r="C27" s="11">
        <f ca="1">ROUND(F21*F26,4)</f>
        <v>5.0000000000000001E-3</v>
      </c>
      <c r="D27" s="365" t="s">
        <v>1473</v>
      </c>
      <c r="E27" s="369"/>
      <c r="F27" s="2973"/>
      <c r="G27" s="1840"/>
      <c r="H27" s="349"/>
      <c r="I27" s="350"/>
      <c r="J27" s="351"/>
      <c r="K27" s="374" t="s">
        <v>1474</v>
      </c>
      <c r="L27" s="347" t="s">
        <v>1475</v>
      </c>
      <c r="M27" s="375">
        <f ca="1">INDIRECT("'数据-取费表'!ag"&amp;$G$1)</f>
        <v>0</v>
      </c>
    </row>
    <row r="28" spans="1:37" s="1847" customFormat="1" ht="18" customHeight="1">
      <c r="A28" s="197" t="s">
        <v>1037</v>
      </c>
      <c r="B28" s="2938" t="s">
        <v>1476</v>
      </c>
      <c r="C28" s="11">
        <f>ROUND(F28/(1+'数据-取费表'!C42),4)</f>
        <v>5.9400000000000001E-2</v>
      </c>
      <c r="D28" s="365" t="s">
        <v>1477</v>
      </c>
      <c r="E28" s="2938" t="s">
        <v>1423</v>
      </c>
      <c r="F28" s="2974">
        <f>'数据-取费表'!B41</f>
        <v>6.2719999999999998E-2</v>
      </c>
      <c r="G28" s="1843"/>
      <c r="H28" s="353"/>
      <c r="I28" s="354"/>
      <c r="J28" s="355"/>
      <c r="K28" s="369"/>
      <c r="L28" s="347" t="s">
        <v>1478</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2979" t="s">
        <v>1038</v>
      </c>
      <c r="B29" s="1333" t="s">
        <v>1479</v>
      </c>
      <c r="C29" s="2980">
        <f ca="1">ROUND((C19+C20+C23+C26)/(1-F21-C24-C27-C28),0)</f>
        <v>17</v>
      </c>
      <c r="D29" s="1333"/>
      <c r="E29" s="1333"/>
      <c r="F29" s="2981"/>
      <c r="G29" s="1843"/>
      <c r="H29" s="376" t="s">
        <v>1033</v>
      </c>
      <c r="I29" s="377" t="s">
        <v>1480</v>
      </c>
      <c r="J29" s="378">
        <f ca="1">ROUND(J26/(1+F40)^F41,0)</f>
        <v>0</v>
      </c>
      <c r="K29" s="379" t="s">
        <v>1481</v>
      </c>
      <c r="L29" s="380"/>
      <c r="M29" s="381">
        <f ca="1">INDIRECT("'数据-取费表'!k"&amp;$G$1)</f>
        <v>49.61</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2969" t="s">
        <v>1030</v>
      </c>
      <c r="B30" s="1334" t="s">
        <v>1425</v>
      </c>
      <c r="C30" s="2970">
        <f ca="1">ROUND(C31+C36+C37+C38,0)</f>
        <v>1</v>
      </c>
      <c r="D30" s="1335" t="s">
        <v>1426</v>
      </c>
      <c r="E30" s="1336"/>
      <c r="F30" s="1337"/>
      <c r="G30" s="1840"/>
      <c r="H30" s="738"/>
      <c r="I30" s="739"/>
      <c r="J30" s="740"/>
      <c r="K30" s="741"/>
      <c r="L30" s="742"/>
      <c r="M30" s="743"/>
    </row>
    <row r="31" spans="1:37" ht="18" customHeight="1">
      <c r="A31" s="197" t="s">
        <v>1035</v>
      </c>
      <c r="B31" s="2938" t="s">
        <v>1430</v>
      </c>
      <c r="C31" s="11">
        <f ca="1">ROUND(IF(项目基本情况!B11="自然人",C5*F31,C32+C33+C34),1)</f>
        <v>0.4</v>
      </c>
      <c r="D31" s="2939" t="s">
        <v>1431</v>
      </c>
      <c r="E31" s="2938" t="s">
        <v>1482</v>
      </c>
      <c r="F31" s="364" t="str">
        <f ca="1">IF(项目基本情况!B11="企业","",IF(INDIRECT("'数据-取费表'!c"&amp;$G$1)="住宅",5%,IF(F6*F7*F8/12/(1+'数据-取费表'!C42)&gt;20000,12%,7%)))</f>
        <v/>
      </c>
      <c r="G31" s="1840"/>
      <c r="H31" s="738"/>
      <c r="I31" s="739"/>
      <c r="J31" s="740"/>
      <c r="K31" s="741"/>
      <c r="L31" s="742"/>
      <c r="M31" s="743"/>
    </row>
    <row r="32" spans="1:37" ht="18" customHeight="1">
      <c r="A32" s="197" t="s">
        <v>1034</v>
      </c>
      <c r="B32" s="2938" t="s">
        <v>1434</v>
      </c>
      <c r="C32" s="11">
        <f ca="1">IF(项目基本情况!B11="自然人","——",ROUND(C5*F32/(1+'数据-取费表'!C42),2))</f>
        <v>0.24</v>
      </c>
      <c r="D32" s="2938" t="s">
        <v>1435</v>
      </c>
      <c r="E32" s="2938" t="s">
        <v>1423</v>
      </c>
      <c r="F32" s="2978">
        <f>'数据-取费表'!B41</f>
        <v>6.2719999999999998E-2</v>
      </c>
      <c r="G32" s="1840"/>
      <c r="H32" s="738"/>
      <c r="I32" s="739"/>
      <c r="J32" s="740"/>
      <c r="K32" s="741"/>
      <c r="L32" s="742"/>
      <c r="M32" s="743"/>
    </row>
    <row r="33" spans="1:18" ht="18" customHeight="1">
      <c r="A33" s="197" t="s">
        <v>1036</v>
      </c>
      <c r="B33" s="2938" t="s">
        <v>1438</v>
      </c>
      <c r="C33" s="11">
        <f ca="1">IF(项目基本情况!B11="自然人","——",IF(D33="按租金收入计税",ROUND(C5*F33,2),IF(D33="按房产原值计税",ROUND(C29*F33*0.7,2),INDIRECT("'数据-取费表'!Aj"&amp;$G$1))))</f>
        <v>0.14000000000000001</v>
      </c>
      <c r="D33" s="1817" t="s">
        <v>1439</v>
      </c>
      <c r="E33" s="2938" t="s">
        <v>1423</v>
      </c>
      <c r="F33" s="2974">
        <f>IF(D33="按票据","——",IF(D33="按租金收入计税",'数据-取费表'!B51,'数据-取费表'!B50))</f>
        <v>1.2E-2</v>
      </c>
      <c r="G33" s="1840"/>
      <c r="H33" s="1848"/>
      <c r="I33" s="1849"/>
      <c r="J33" s="1850"/>
      <c r="K33" s="1851"/>
      <c r="L33" s="1848"/>
      <c r="M33" s="1848"/>
    </row>
    <row r="34" spans="1:18" ht="18" customHeight="1">
      <c r="A34" s="2949" t="s">
        <v>1390</v>
      </c>
      <c r="B34" s="2951" t="s">
        <v>1442</v>
      </c>
      <c r="C34" s="23">
        <f ca="1">IF(项目基本情况!B11="自然人","——",ROUND(F34*F35/10000,2))</f>
        <v>0.01</v>
      </c>
      <c r="D34" s="366" t="s">
        <v>1443</v>
      </c>
      <c r="E34" s="2938" t="s">
        <v>1444</v>
      </c>
      <c r="F34" s="2977">
        <f>'数据-取费表'!B52</f>
        <v>10</v>
      </c>
      <c r="G34" s="1840"/>
      <c r="H34" s="738"/>
      <c r="I34" s="1849"/>
      <c r="J34" s="1850"/>
      <c r="K34" s="1852"/>
      <c r="L34" s="1853"/>
      <c r="M34" s="1853"/>
    </row>
    <row r="35" spans="1:18" ht="18" customHeight="1">
      <c r="A35" s="2982"/>
      <c r="B35" s="2983"/>
      <c r="C35" s="30"/>
      <c r="D35" s="369"/>
      <c r="E35" s="2938" t="s">
        <v>1448</v>
      </c>
      <c r="F35" s="2952">
        <f ca="1">INDIRECT("'数据-取费表'!r"&amp;$G$1)</f>
        <v>8.7100000000000009</v>
      </c>
      <c r="G35" s="1840"/>
      <c r="H35" s="738"/>
      <c r="I35" s="1849"/>
      <c r="J35" s="1850"/>
      <c r="K35" s="1851"/>
      <c r="L35" s="1848"/>
      <c r="M35" s="1848"/>
    </row>
    <row r="36" spans="1:18" ht="18" customHeight="1">
      <c r="A36" s="2984" t="s">
        <v>1039</v>
      </c>
      <c r="B36" s="2938" t="s">
        <v>1450</v>
      </c>
      <c r="C36" s="11">
        <f ca="1">ROUND(C29*F36,1)</f>
        <v>0.3</v>
      </c>
      <c r="D36" s="2938" t="s">
        <v>1483</v>
      </c>
      <c r="E36" s="2938" t="s">
        <v>1423</v>
      </c>
      <c r="F36" s="2985">
        <f ca="1">INDIRECT("'数据-取费表'!Ak"&amp;$G$1)</f>
        <v>1.4999999999999999E-2</v>
      </c>
      <c r="G36" s="1840"/>
      <c r="H36" s="1848"/>
      <c r="I36" s="1849"/>
      <c r="J36" s="1850"/>
      <c r="K36" s="744"/>
      <c r="L36" s="1848"/>
      <c r="M36" s="1848"/>
    </row>
    <row r="37" spans="1:18" ht="18" customHeight="1">
      <c r="A37" s="197" t="s">
        <v>1075</v>
      </c>
      <c r="B37" s="2938" t="s">
        <v>1454</v>
      </c>
      <c r="C37" s="11">
        <f ca="1">ROUND(C13*F37,1)</f>
        <v>0</v>
      </c>
      <c r="D37" s="2938" t="s">
        <v>1455</v>
      </c>
      <c r="E37" s="2938" t="s">
        <v>1456</v>
      </c>
      <c r="F37" s="2986">
        <f ca="1">INDIRECT("'数据-取费表'!Al"&amp;$G$1)</f>
        <v>2E-3</v>
      </c>
      <c r="G37" s="1840"/>
      <c r="H37" s="1848"/>
      <c r="I37" s="1849"/>
      <c r="J37" s="1850"/>
      <c r="K37" s="744"/>
      <c r="L37" s="1848"/>
      <c r="M37" s="1848"/>
    </row>
    <row r="38" spans="1:18" ht="18" customHeight="1" thickBot="1">
      <c r="A38" s="2979" t="s">
        <v>1394</v>
      </c>
      <c r="B38" s="1333" t="s">
        <v>1440</v>
      </c>
      <c r="C38" s="2980">
        <f ca="1">ROUND(C5*F38,1)</f>
        <v>0.1</v>
      </c>
      <c r="D38" s="1333" t="s">
        <v>1460</v>
      </c>
      <c r="E38" s="1333" t="s">
        <v>1456</v>
      </c>
      <c r="F38" s="2968">
        <f ca="1">INDIRECT("'数据-取费表'!Am"&amp;$G$1)</f>
        <v>0.02</v>
      </c>
      <c r="G38" s="1840"/>
      <c r="H38" s="1848"/>
      <c r="I38" s="1849"/>
      <c r="J38" s="1850"/>
      <c r="K38" s="1854"/>
      <c r="L38" s="1848"/>
      <c r="M38" s="1848"/>
    </row>
    <row r="39" spans="1:18" ht="24.6" customHeight="1" thickTop="1">
      <c r="A39" s="2969" t="s">
        <v>1031</v>
      </c>
      <c r="B39" s="1334" t="s">
        <v>1484</v>
      </c>
      <c r="C39" s="2970">
        <f ca="1">C5-C30</f>
        <v>3</v>
      </c>
      <c r="D39" s="1335" t="s">
        <v>1485</v>
      </c>
      <c r="E39" s="1336"/>
      <c r="F39" s="1337"/>
      <c r="G39" s="1840"/>
      <c r="H39" s="1848"/>
      <c r="I39" s="1849"/>
      <c r="J39" s="1850"/>
      <c r="K39" s="1854"/>
      <c r="L39" s="1848"/>
      <c r="M39" s="1848"/>
    </row>
    <row r="40" spans="1:18" ht="18" customHeight="1">
      <c r="A40" s="2947" t="s">
        <v>1032</v>
      </c>
      <c r="B40" s="345" t="s">
        <v>1486</v>
      </c>
      <c r="C40" s="2987">
        <f ca="1">ROUND(C39*(1-((1+F42)/(1+F40))^F41)/(F40-F42),0)</f>
        <v>70</v>
      </c>
      <c r="D40" s="366" t="s">
        <v>1470</v>
      </c>
      <c r="E40" s="2938" t="s">
        <v>1471</v>
      </c>
      <c r="F40" s="2958">
        <f ca="1">INDIRECT("'数据-取费表'!I"&amp;$G$1)</f>
        <v>0.05</v>
      </c>
      <c r="G40" s="1840"/>
      <c r="H40" s="1828"/>
      <c r="I40" s="1849"/>
      <c r="J40" s="1850"/>
      <c r="K40" s="1854"/>
      <c r="L40" s="1828"/>
      <c r="M40" s="1828"/>
    </row>
    <row r="41" spans="1:18" ht="18" customHeight="1">
      <c r="A41" s="2956"/>
      <c r="B41" s="350"/>
      <c r="C41" s="2957"/>
      <c r="D41" s="374" t="s">
        <v>1487</v>
      </c>
      <c r="E41" s="2938" t="s">
        <v>1475</v>
      </c>
      <c r="F41" s="2988">
        <f ca="1">IF(INDIRECT("'数据-取费表'!af"&amp;$G$1)=0,INDIRECT("'数据-取费表'!ae"&amp;$G$1),INDIRECT("'数据-取费表'!af"&amp;$G$1))</f>
        <v>32.700000000000003</v>
      </c>
      <c r="G41" s="1840"/>
      <c r="H41" s="725"/>
      <c r="I41" s="1849"/>
      <c r="J41" s="1850"/>
      <c r="K41" s="744"/>
      <c r="L41" s="725"/>
      <c r="M41" s="725"/>
    </row>
    <row r="42" spans="1:18" ht="18" customHeight="1">
      <c r="A42" s="2961"/>
      <c r="B42" s="354"/>
      <c r="C42" s="2970"/>
      <c r="D42" s="369"/>
      <c r="E42" s="2938" t="s">
        <v>1478</v>
      </c>
      <c r="F42" s="2958">
        <f ca="1">INDIRECT("'数据-取费表'!v"&amp;$G$1)</f>
        <v>0.03</v>
      </c>
      <c r="G42" s="1840"/>
      <c r="H42" s="725"/>
      <c r="I42" s="1849"/>
      <c r="J42" s="1850"/>
      <c r="K42" s="744"/>
      <c r="L42" s="725"/>
      <c r="M42" s="725"/>
    </row>
    <row r="43" spans="1:18" ht="18" customHeight="1" thickBot="1">
      <c r="A43" s="208" t="s">
        <v>1033</v>
      </c>
      <c r="B43" s="2989" t="s">
        <v>1488</v>
      </c>
      <c r="C43" s="228">
        <f ca="1">ROUND(C40*10000/F43,0)</f>
        <v>14110</v>
      </c>
      <c r="D43" s="2990" t="s">
        <v>1489</v>
      </c>
      <c r="E43" s="2942" t="s">
        <v>1490</v>
      </c>
      <c r="F43" s="2991">
        <f ca="1">INDIRECT("'数据-取费表'!k"&amp;$G$1)</f>
        <v>49.61</v>
      </c>
      <c r="G43" s="1840"/>
      <c r="H43" s="725"/>
      <c r="I43" s="725"/>
      <c r="J43" s="725"/>
      <c r="K43" s="744"/>
      <c r="L43" s="725"/>
      <c r="M43" s="725"/>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89"/>
      <c r="O45" s="1858" t="s">
        <v>1520</v>
      </c>
      <c r="P45" s="1828"/>
      <c r="Q45" s="1828"/>
      <c r="R45" s="1828"/>
    </row>
    <row r="46" spans="1:18" s="1831" customFormat="1" ht="13.5" thickBot="1">
      <c r="A46" s="1859" t="s">
        <v>1521</v>
      </c>
      <c r="C46" s="1860">
        <f ca="1">C68-C40</f>
        <v>-86</v>
      </c>
      <c r="D46" s="1861" t="str">
        <f>C2</f>
        <v>万元</v>
      </c>
      <c r="E46" s="1855"/>
      <c r="F46" s="1855"/>
      <c r="I46" s="1862" t="s">
        <v>1522</v>
      </c>
      <c r="J46" s="1863"/>
      <c r="K46" s="1864"/>
      <c r="L46" s="1865" t="str">
        <f ca="1">IF(M47="住宅",0,IF(L48&gt;J51,L60,J60))</f>
        <v>0</v>
      </c>
      <c r="O46" s="1866" t="s">
        <v>1523</v>
      </c>
      <c r="P46" s="1867" t="s">
        <v>1524</v>
      </c>
      <c r="Q46" s="1868" t="s">
        <v>1525</v>
      </c>
      <c r="R46" s="1868" t="s">
        <v>1526</v>
      </c>
    </row>
    <row r="47" spans="1:18" s="1831" customFormat="1" ht="13.5" thickBot="1">
      <c r="A47" s="1161" t="s">
        <v>1397</v>
      </c>
      <c r="B47" s="1193" t="s">
        <v>1398</v>
      </c>
      <c r="C47" s="1356" t="s">
        <v>1399</v>
      </c>
      <c r="D47" s="1193" t="s">
        <v>1400</v>
      </c>
      <c r="E47" s="1275" t="s">
        <v>1401</v>
      </c>
      <c r="F47" s="1276"/>
      <c r="G47" s="785"/>
      <c r="I47" s="1869" t="s">
        <v>1527</v>
      </c>
      <c r="J47" s="1870" t="s">
        <v>3073</v>
      </c>
      <c r="K47" s="1871" t="s">
        <v>1528</v>
      </c>
      <c r="L47" s="1872">
        <f ca="1">INDIRECT("'数据-取费表'!d"&amp;$G$1)</f>
        <v>50</v>
      </c>
      <c r="M47" s="1827" t="str">
        <f>IF(ISNUMBER(FIND("住宅",C1)),"住宅","非住宅")</f>
        <v>非住宅</v>
      </c>
      <c r="O47" s="1873" t="s">
        <v>1040</v>
      </c>
      <c r="P47" s="1874" t="s">
        <v>1529</v>
      </c>
      <c r="Q47" s="1875">
        <f ca="1">C40+J29</f>
        <v>70</v>
      </c>
      <c r="R47" s="1875" t="s">
        <v>1530</v>
      </c>
    </row>
    <row r="48" spans="1:18" s="1831" customFormat="1" ht="28.5" thickBot="1">
      <c r="A48" s="1349" t="s">
        <v>1135</v>
      </c>
      <c r="B48" s="345" t="s">
        <v>1402</v>
      </c>
      <c r="C48" s="1807">
        <f ca="1">C49+C53+C55</f>
        <v>0</v>
      </c>
      <c r="D48" s="1351"/>
      <c r="E48" s="1352"/>
      <c r="F48" s="1177"/>
      <c r="G48" s="785"/>
      <c r="H48" s="786"/>
      <c r="I48" s="1876" t="s">
        <v>1531</v>
      </c>
      <c r="J48" s="1877" t="s">
        <v>3074</v>
      </c>
      <c r="K48" s="1878" t="s">
        <v>1532</v>
      </c>
      <c r="L48" s="1879">
        <f ca="1">INDIRECT("'数据-取费表'!f"&amp;$G$1)</f>
        <v>32.700000000000003</v>
      </c>
      <c r="O48" s="1873" t="s">
        <v>1041</v>
      </c>
      <c r="P48" s="1874" t="s">
        <v>1533</v>
      </c>
      <c r="Q48" s="1875" t="str">
        <f ca="1">J60</f>
        <v>0</v>
      </c>
      <c r="R48" s="1875" t="s">
        <v>1534</v>
      </c>
    </row>
    <row r="49" spans="1:18" s="1831" customFormat="1" ht="13.5" thickBot="1">
      <c r="A49" s="1190" t="s">
        <v>1136</v>
      </c>
      <c r="B49" s="1818" t="s">
        <v>1491</v>
      </c>
      <c r="C49" s="1353">
        <f ca="1">ROUND(F49*F51*F50*(1-F52)/10000,0)</f>
        <v>0</v>
      </c>
      <c r="D49" s="1272" t="s">
        <v>3033</v>
      </c>
      <c r="E49" s="1819" t="s">
        <v>1492</v>
      </c>
      <c r="F49" s="1277"/>
      <c r="G49" s="1880"/>
      <c r="H49" s="786"/>
      <c r="I49" s="1876" t="s">
        <v>1535</v>
      </c>
      <c r="J49" s="1881">
        <v>2015</v>
      </c>
      <c r="K49" s="1878" t="s">
        <v>1536</v>
      </c>
      <c r="L49" s="1882"/>
      <c r="O49" s="1883" t="s">
        <v>1042</v>
      </c>
      <c r="P49" s="1874" t="s">
        <v>1537</v>
      </c>
      <c r="Q49" s="1875">
        <f ca="1">C29</f>
        <v>17</v>
      </c>
      <c r="R49" s="1875" t="s">
        <v>1530</v>
      </c>
    </row>
    <row r="50" spans="1:18" s="1831" customFormat="1" ht="13.5" thickBot="1">
      <c r="A50" s="1191"/>
      <c r="B50" s="1194"/>
      <c r="C50" s="1357"/>
      <c r="D50" s="1168"/>
      <c r="E50" s="1273" t="s">
        <v>1407</v>
      </c>
      <c r="F50" s="1274">
        <f ca="1">F7</f>
        <v>49.61</v>
      </c>
      <c r="H50" s="786"/>
      <c r="I50" s="1876" t="s">
        <v>1538</v>
      </c>
      <c r="J50" s="1884">
        <f>SUMPRODUCT((I63:I65=J47)*(J62:L62=J48)*(J63:L65))</f>
        <v>60</v>
      </c>
      <c r="K50" s="1878" t="s">
        <v>1539</v>
      </c>
      <c r="L50" s="1882"/>
      <c r="M50" s="1885"/>
      <c r="O50" s="1883" t="s">
        <v>1043</v>
      </c>
      <c r="P50" s="1874" t="s">
        <v>1540</v>
      </c>
      <c r="Q50" s="1886" t="e">
        <f ca="1">J58</f>
        <v>#VALUE!</v>
      </c>
      <c r="R50" s="1875"/>
    </row>
    <row r="51" spans="1:18" s="1831" customFormat="1" ht="13.5" thickBot="1">
      <c r="A51" s="1192"/>
      <c r="B51" s="1194"/>
      <c r="C51" s="1195"/>
      <c r="D51" s="1168"/>
      <c r="E51" s="1196" t="s">
        <v>1408</v>
      </c>
      <c r="F51" s="348">
        <f ca="1">F8</f>
        <v>365</v>
      </c>
      <c r="I51" s="1887" t="s">
        <v>1541</v>
      </c>
      <c r="J51" s="1888">
        <f>IF(J49="",J50,J49+J50-YEAR('数据-取费表'!B2))</f>
        <v>58</v>
      </c>
      <c r="K51" s="1889" t="s">
        <v>1542</v>
      </c>
      <c r="L51" s="1890">
        <f ca="1">ROUND(-PV(INDIRECT("'数据-取费表'!h"&amp;$G$1),L48,(C39-C13*C76),0),0)</f>
        <v>51</v>
      </c>
      <c r="M51" s="1891"/>
      <c r="O51" s="1883" t="s">
        <v>1044</v>
      </c>
      <c r="P51" s="1874" t="s">
        <v>1543</v>
      </c>
      <c r="Q51" s="1886">
        <f>J52</f>
        <v>0.09</v>
      </c>
      <c r="R51" s="1875"/>
    </row>
    <row r="52" spans="1:18" s="1831" customFormat="1" ht="13.5" thickBot="1">
      <c r="A52" s="1192"/>
      <c r="B52" s="1194"/>
      <c r="C52" s="1195"/>
      <c r="D52" s="1168"/>
      <c r="E52" s="1196" t="s">
        <v>1409</v>
      </c>
      <c r="F52" s="1271"/>
      <c r="I52" s="1892" t="s">
        <v>1544</v>
      </c>
      <c r="J52" s="1893">
        <v>0.09</v>
      </c>
      <c r="K52" s="1892" t="s">
        <v>1545</v>
      </c>
      <c r="L52" s="1893"/>
      <c r="O52" s="1883" t="s">
        <v>1045</v>
      </c>
      <c r="P52" s="1874" t="s">
        <v>1546</v>
      </c>
      <c r="Q52" s="1875">
        <f ca="1">J53</f>
        <v>32.700000000000003</v>
      </c>
      <c r="R52" s="1875" t="s">
        <v>1547</v>
      </c>
    </row>
    <row r="53" spans="1:18" s="1831" customFormat="1" ht="24.75" thickBot="1">
      <c r="A53" s="1394" t="s">
        <v>1137</v>
      </c>
      <c r="B53" s="1820" t="s">
        <v>1410</v>
      </c>
      <c r="C53" s="361">
        <f ca="1">ROUND(IF(F53="押一",F49*F51*F50/12*F11,IF(F53="押二",F49*F51*F50/12*2*F11,IF(F53="押三",F49*F51*F50/12*3*F11,C54*F11)))/10000,0)</f>
        <v>0</v>
      </c>
      <c r="D53" s="1814" t="s">
        <v>3031</v>
      </c>
      <c r="E53" s="358" t="s">
        <v>1412</v>
      </c>
      <c r="F53" s="1355" t="s">
        <v>3072</v>
      </c>
      <c r="I53" s="1894" t="s">
        <v>1548</v>
      </c>
      <c r="J53" s="1895">
        <f ca="1">IF(M47="住宅",J51,IF(D1="——",MIN(J51,L48),IF(D1="在建（套用方法）",MIN(J51,L48-'数据-取费表'!B24),IF(D1="土地（套用方法）",MIN(J51,L48-'数据-取费表'!B20)))))</f>
        <v>32.700000000000003</v>
      </c>
      <c r="K53" s="3260" t="s">
        <v>1549</v>
      </c>
      <c r="L53" s="3261"/>
      <c r="O53" s="1873" t="s">
        <v>1046</v>
      </c>
      <c r="P53" s="1874" t="s">
        <v>1550</v>
      </c>
      <c r="Q53" s="1875">
        <f ca="1">Q47+Q48</f>
        <v>70</v>
      </c>
      <c r="R53" s="1875" t="s">
        <v>1047</v>
      </c>
    </row>
    <row r="54" spans="1:18" s="1831" customFormat="1" ht="13.5" thickBot="1">
      <c r="A54" s="1395"/>
      <c r="B54" s="1815" t="s">
        <v>1389</v>
      </c>
      <c r="C54" s="1174"/>
      <c r="D54" s="1814"/>
      <c r="E54" s="1821"/>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0"/>
      <c r="O54" s="1858" t="s">
        <v>1551</v>
      </c>
      <c r="P54" s="1828"/>
      <c r="Q54" s="1828"/>
      <c r="R54" s="1828"/>
    </row>
    <row r="55" spans="1:18" s="1831" customFormat="1" ht="13.5" thickBot="1">
      <c r="A55" s="1325" t="s">
        <v>1075</v>
      </c>
      <c r="B55" s="1816" t="s">
        <v>1414</v>
      </c>
      <c r="C55" s="1326"/>
      <c r="D55" s="1814"/>
      <c r="E55" s="1821"/>
      <c r="F55" s="1896"/>
      <c r="I55" s="1899" t="s">
        <v>1552</v>
      </c>
      <c r="J55" s="1900" t="e">
        <f ca="1">ROUND(IF(J47="钢混",J57/J50,1-(1-2%)*(J50-J57)/J50),3)</f>
        <v>#VALUE!</v>
      </c>
      <c r="K55" s="1901" t="s">
        <v>1553</v>
      </c>
      <c r="L55" s="1902" t="s">
        <v>3075</v>
      </c>
      <c r="O55" s="1866" t="s">
        <v>1523</v>
      </c>
      <c r="P55" s="1867" t="s">
        <v>1524</v>
      </c>
      <c r="Q55" s="1868" t="s">
        <v>1525</v>
      </c>
      <c r="R55" s="1868" t="s">
        <v>1526</v>
      </c>
    </row>
    <row r="56" spans="1:18" s="1831" customFormat="1" ht="25.5" thickTop="1" thickBot="1">
      <c r="A56" s="1172">
        <v>2</v>
      </c>
      <c r="B56" s="1173" t="s">
        <v>1415</v>
      </c>
      <c r="C56" s="276">
        <f ca="1">C13</f>
        <v>0</v>
      </c>
      <c r="D56" s="1903"/>
      <c r="E56" s="1904"/>
      <c r="F56" s="1896"/>
      <c r="I56" s="1905" t="s">
        <v>1554</v>
      </c>
      <c r="J56" s="1906" t="s">
        <v>3065</v>
      </c>
      <c r="K56" s="1876" t="s">
        <v>1555</v>
      </c>
      <c r="L56" s="1879" t="str">
        <f ca="1">IF(L48&lt;J51,"——",L48-J53)</f>
        <v>——</v>
      </c>
      <c r="O56" s="1873" t="s">
        <v>1040</v>
      </c>
      <c r="P56" s="1874" t="s">
        <v>1529</v>
      </c>
      <c r="Q56" s="1875">
        <f ca="1">C40+J29</f>
        <v>70</v>
      </c>
      <c r="R56" s="1875" t="s">
        <v>1530</v>
      </c>
    </row>
    <row r="57" spans="1:18" s="1831" customFormat="1" ht="24.75" thickBot="1">
      <c r="A57" s="1907"/>
      <c r="B57" s="1165" t="s">
        <v>1479</v>
      </c>
      <c r="C57" s="282">
        <f ca="1">C29</f>
        <v>17</v>
      </c>
      <c r="D57" s="1908"/>
      <c r="E57" s="1909"/>
      <c r="F57" s="1910"/>
      <c r="I57" s="1911" t="s">
        <v>1556</v>
      </c>
      <c r="J57" s="1912" t="str">
        <f ca="1">IF(OR(M47="住宅",J51&lt;L48,J56="是"),"——",J51-L48)</f>
        <v>——</v>
      </c>
      <c r="K57" s="1876" t="s">
        <v>1557</v>
      </c>
      <c r="L57" s="1879" t="str">
        <f ca="1">IF(L48&lt;J51,"——",IF(L55="比较法",L49,IF(L55="基准地价",L50,L51)))</f>
        <v>——</v>
      </c>
      <c r="O57" s="1873" t="s">
        <v>1041</v>
      </c>
      <c r="P57" s="1874" t="s">
        <v>1558</v>
      </c>
      <c r="Q57" s="1875">
        <f ca="1">L60</f>
        <v>0</v>
      </c>
      <c r="R57" s="1875" t="s">
        <v>1559</v>
      </c>
    </row>
    <row r="58" spans="1:18" s="1831" customFormat="1" ht="24.75" thickBot="1">
      <c r="A58" s="360" t="s">
        <v>1030</v>
      </c>
      <c r="B58" s="1173" t="s">
        <v>1425</v>
      </c>
      <c r="C58" s="361">
        <f ca="1">ROUND(C59+C64+C65+C66,0)</f>
        <v>1</v>
      </c>
      <c r="D58" s="1175" t="s">
        <v>1426</v>
      </c>
      <c r="E58" s="1176"/>
      <c r="F58" s="1177"/>
      <c r="I58" s="1911" t="s">
        <v>1560</v>
      </c>
      <c r="J58" s="1913" t="e">
        <f ca="1">IF(J55&lt;0.4,0.4,J55)</f>
        <v>#VALUE!</v>
      </c>
      <c r="K58" s="1889" t="s">
        <v>1561</v>
      </c>
      <c r="L58" s="1879" t="e">
        <f ca="1">ROUND(POWER(1+L52,L47-L48)*(POWER(1+L52,L48)-1)/(POWER(1+L52,L47)-1),4)</f>
        <v>#DIV/0!</v>
      </c>
      <c r="O58" s="1883" t="s">
        <v>1042</v>
      </c>
      <c r="P58" s="1874" t="s">
        <v>1562</v>
      </c>
      <c r="Q58" s="1875">
        <f>IF(L55="比较法",L49,IF(L55="基准地价",L50,0))</f>
        <v>0</v>
      </c>
      <c r="R58" s="1875" t="s">
        <v>1530</v>
      </c>
    </row>
    <row r="59" spans="1:18" s="1831" customFormat="1" ht="24.75" thickBot="1">
      <c r="A59" s="1197" t="s">
        <v>1035</v>
      </c>
      <c r="B59" s="1165" t="s">
        <v>1430</v>
      </c>
      <c r="C59" s="24">
        <f ca="1">ROUND(IF(项目基本情况!B11="自然人",C48*F59,C60+C61+C62),1)</f>
        <v>0.2</v>
      </c>
      <c r="D59" s="1178" t="s">
        <v>1431</v>
      </c>
      <c r="E59" s="1179" t="s">
        <v>1432</v>
      </c>
      <c r="F59" s="364" t="str">
        <f ca="1">IF(项目基本情况!B11="企业","",IF(INDIRECT("'数据-取费表'!c"&amp;$G$1)="住宅",5%,IF(F49*F50*F51/12/(1+'数据-取费表'!C42)&gt;20000,12%,7%)))</f>
        <v/>
      </c>
      <c r="I59" s="1911" t="s">
        <v>1563</v>
      </c>
      <c r="J59" s="1912"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1043</v>
      </c>
      <c r="P59" s="1874" t="s">
        <v>1564</v>
      </c>
      <c r="Q59" s="1886">
        <f>L52</f>
        <v>0</v>
      </c>
      <c r="R59" s="1875"/>
    </row>
    <row r="60" spans="1:18" s="1831" customFormat="1" ht="16.5" thickBot="1">
      <c r="A60" s="1197" t="s">
        <v>1034</v>
      </c>
      <c r="B60" s="1165" t="s">
        <v>1434</v>
      </c>
      <c r="C60" s="24">
        <f ca="1">IF(项目基本情况!B11="自然人","——",ROUND(C48*F60/(1+'数据-取费表'!C42),2))</f>
        <v>0</v>
      </c>
      <c r="D60" s="1179" t="s">
        <v>1435</v>
      </c>
      <c r="E60" s="1165" t="s">
        <v>1423</v>
      </c>
      <c r="F60" s="373">
        <f t="shared" ref="F60:F66" si="0">F32</f>
        <v>6.2719999999999998E-2</v>
      </c>
      <c r="I60" s="1914" t="s">
        <v>1565</v>
      </c>
      <c r="J60" s="1915" t="str">
        <f ca="1">IF(OR(M47="住宅",J51&lt;L48,J56="是"),"0",ROUND(J59/(1+J52)^J53,0))</f>
        <v>0</v>
      </c>
      <c r="K60" s="1916" t="s">
        <v>1566</v>
      </c>
      <c r="L60" s="1915">
        <f ca="1">IF(OR(M47="住宅",L48&lt;J51),0,ROUND(L57*(L58/L59-1),0))</f>
        <v>0</v>
      </c>
      <c r="O60" s="1883" t="s">
        <v>1044</v>
      </c>
      <c r="P60" s="1874" t="s">
        <v>1567</v>
      </c>
      <c r="Q60" s="1875" t="e">
        <f ca="1">L58</f>
        <v>#DIV/0!</v>
      </c>
      <c r="R60" s="1875" t="s">
        <v>1568</v>
      </c>
    </row>
    <row r="61" spans="1:18" s="1831" customFormat="1" ht="13.5" thickBot="1">
      <c r="A61" s="1197" t="s">
        <v>1493</v>
      </c>
      <c r="B61" s="1165" t="s">
        <v>1494</v>
      </c>
      <c r="C61" s="24">
        <f ca="1">IF(项目基本情况!B11="自然人","——",IF(D61="按租金收入计税",ROUND(C48*F61,2),IF(D61="按房产原值计税",ROUND(C57*F61*0.7,2),INDIRECT("'数据-取费表'!Aj"&amp;$G$1))))</f>
        <v>0.14000000000000001</v>
      </c>
      <c r="D61" s="1817" t="s">
        <v>1439</v>
      </c>
      <c r="E61" s="1165" t="s">
        <v>1495</v>
      </c>
      <c r="F61" s="363">
        <f t="shared" si="0"/>
        <v>1.2E-2</v>
      </c>
      <c r="I61" s="1917"/>
      <c r="J61" s="1917"/>
      <c r="K61" s="1917"/>
      <c r="L61" s="1917"/>
      <c r="O61" s="1883" t="s">
        <v>1045</v>
      </c>
      <c r="P61" s="1874" t="str">
        <f>K59</f>
        <v>建筑物剩余耐用年限下的土地年期修正系数Kn</v>
      </c>
      <c r="Q61" s="1875" t="e">
        <f ca="1">L59</f>
        <v>#DIV/0!</v>
      </c>
      <c r="R61" s="1875" t="s">
        <v>1569</v>
      </c>
    </row>
    <row r="62" spans="1:18" s="1831" customFormat="1" ht="13.5" thickBot="1">
      <c r="A62" s="1197" t="s">
        <v>1496</v>
      </c>
      <c r="B62" s="1164" t="s">
        <v>1497</v>
      </c>
      <c r="C62" s="25">
        <f ca="1">IF(项目基本情况!B11="自然人","——",ROUND(F62*F63/10000,2))</f>
        <v>0.01</v>
      </c>
      <c r="D62" s="1180" t="s">
        <v>1498</v>
      </c>
      <c r="E62" s="1165" t="s">
        <v>1499</v>
      </c>
      <c r="F62" s="367">
        <f t="shared" si="0"/>
        <v>10</v>
      </c>
      <c r="I62" s="1918" t="s">
        <v>1570</v>
      </c>
      <c r="J62" s="1919" t="s">
        <v>1571</v>
      </c>
      <c r="K62" s="1919" t="s">
        <v>1572</v>
      </c>
      <c r="L62" s="1919" t="s">
        <v>1573</v>
      </c>
      <c r="M62" s="1920" t="s">
        <v>1574</v>
      </c>
      <c r="O62" s="1873" t="s">
        <v>1046</v>
      </c>
      <c r="P62" s="1874" t="s">
        <v>1575</v>
      </c>
      <c r="Q62" s="1875">
        <f ca="1">Q56+Q57</f>
        <v>70</v>
      </c>
      <c r="R62" s="1875" t="s">
        <v>1047</v>
      </c>
    </row>
    <row r="63" spans="1:18" s="1831" customFormat="1" ht="13.5" thickBot="1">
      <c r="A63" s="368"/>
      <c r="B63" s="1171"/>
      <c r="C63" s="29"/>
      <c r="D63" s="1181"/>
      <c r="E63" s="1165" t="s">
        <v>1500</v>
      </c>
      <c r="F63" s="348">
        <f t="shared" ca="1" si="0"/>
        <v>8.7100000000000009</v>
      </c>
      <c r="I63" s="1918" t="s">
        <v>1576</v>
      </c>
      <c r="J63" s="1919">
        <v>70</v>
      </c>
      <c r="K63" s="1919">
        <v>50</v>
      </c>
      <c r="L63" s="1919">
        <v>80</v>
      </c>
      <c r="M63" s="1921">
        <v>0.02</v>
      </c>
      <c r="O63" s="1858" t="s">
        <v>1577</v>
      </c>
      <c r="P63" s="1828"/>
      <c r="Q63" s="1828"/>
      <c r="R63" s="1828"/>
    </row>
    <row r="64" spans="1:18" s="1831" customFormat="1" ht="13.5" thickBot="1">
      <c r="A64" s="1197" t="s">
        <v>1501</v>
      </c>
      <c r="B64" s="1165" t="s">
        <v>1502</v>
      </c>
      <c r="C64" s="24">
        <f ca="1">ROUND(C57*F64,1)</f>
        <v>0.3</v>
      </c>
      <c r="D64" s="1179" t="s">
        <v>1503</v>
      </c>
      <c r="E64" s="1165" t="s">
        <v>1495</v>
      </c>
      <c r="F64" s="370">
        <f t="shared" ca="1" si="0"/>
        <v>1.4999999999999999E-2</v>
      </c>
      <c r="I64" s="1918" t="s">
        <v>1578</v>
      </c>
      <c r="J64" s="1919">
        <v>50</v>
      </c>
      <c r="K64" s="1919">
        <v>35</v>
      </c>
      <c r="L64" s="1919">
        <v>60</v>
      </c>
      <c r="M64" s="1920">
        <v>0</v>
      </c>
      <c r="O64" s="1866" t="s">
        <v>1523</v>
      </c>
      <c r="P64" s="1867" t="s">
        <v>1524</v>
      </c>
      <c r="Q64" s="1868" t="s">
        <v>1525</v>
      </c>
      <c r="R64" s="1868" t="s">
        <v>1526</v>
      </c>
    </row>
    <row r="65" spans="1:18" s="1831" customFormat="1" ht="13.5" thickBot="1">
      <c r="A65" s="1197" t="s">
        <v>1504</v>
      </c>
      <c r="B65" s="1165" t="s">
        <v>1454</v>
      </c>
      <c r="C65" s="24">
        <f ca="1">ROUND(C56*F65,1)</f>
        <v>0</v>
      </c>
      <c r="D65" s="1179" t="s">
        <v>1455</v>
      </c>
      <c r="E65" s="1165" t="s">
        <v>1456</v>
      </c>
      <c r="F65" s="372">
        <f t="shared" ca="1" si="0"/>
        <v>2E-3</v>
      </c>
      <c r="I65" s="1918" t="s">
        <v>1579</v>
      </c>
      <c r="J65" s="1919">
        <v>40</v>
      </c>
      <c r="K65" s="1919">
        <v>30</v>
      </c>
      <c r="L65" s="1919">
        <v>50</v>
      </c>
      <c r="M65" s="1921">
        <v>0.02</v>
      </c>
      <c r="O65" s="1873" t="s">
        <v>1040</v>
      </c>
      <c r="P65" s="1874" t="s">
        <v>1580</v>
      </c>
      <c r="Q65" s="1875">
        <f ca="1">C40+J29</f>
        <v>70</v>
      </c>
      <c r="R65" s="1875" t="s">
        <v>1530</v>
      </c>
    </row>
    <row r="66" spans="1:18" s="1831" customFormat="1" ht="16.5" thickBot="1">
      <c r="A66" s="1197" t="s">
        <v>1505</v>
      </c>
      <c r="B66" s="1165" t="s">
        <v>1440</v>
      </c>
      <c r="C66" s="24">
        <f ca="1">ROUND(C48*F66,1)</f>
        <v>0</v>
      </c>
      <c r="D66" s="1179" t="s">
        <v>1506</v>
      </c>
      <c r="E66" s="1165" t="s">
        <v>1423</v>
      </c>
      <c r="F66" s="357">
        <f t="shared" ca="1" si="0"/>
        <v>0.02</v>
      </c>
      <c r="O66" s="1873" t="s">
        <v>1041</v>
      </c>
      <c r="P66" s="1874" t="s">
        <v>1558</v>
      </c>
      <c r="Q66" s="1875">
        <f ca="1">L60</f>
        <v>0</v>
      </c>
      <c r="R66" s="1875" t="s">
        <v>1581</v>
      </c>
    </row>
    <row r="67" spans="1:18" s="1831" customFormat="1" ht="16.5" thickBot="1">
      <c r="A67" s="1172" t="s">
        <v>1031</v>
      </c>
      <c r="B67" s="1182" t="s">
        <v>1464</v>
      </c>
      <c r="C67" s="361">
        <f ca="1">C48-C58</f>
        <v>-1</v>
      </c>
      <c r="D67" s="1178" t="s">
        <v>1465</v>
      </c>
      <c r="E67" s="1183"/>
      <c r="F67" s="1184"/>
      <c r="O67" s="1883" t="s">
        <v>1042</v>
      </c>
      <c r="P67" s="1874" t="s">
        <v>1562</v>
      </c>
      <c r="Q67" s="1922">
        <f ca="1">L51</f>
        <v>51</v>
      </c>
      <c r="R67" s="1875" t="s">
        <v>1582</v>
      </c>
    </row>
    <row r="68" spans="1:18" s="1831" customFormat="1" ht="16.5" thickBot="1">
      <c r="A68" s="1162" t="s">
        <v>1032</v>
      </c>
      <c r="B68" s="1163" t="s">
        <v>1486</v>
      </c>
      <c r="C68" s="346">
        <f ca="1">ROUND(C67*(1-((1+F70)/(1+F68))^F69)/(F68-F70),0)</f>
        <v>-16</v>
      </c>
      <c r="D68" s="1180" t="s">
        <v>1470</v>
      </c>
      <c r="E68" s="1165" t="s">
        <v>1471</v>
      </c>
      <c r="F68" s="357">
        <f ca="1">F40</f>
        <v>0.05</v>
      </c>
      <c r="O68" s="1883" t="s">
        <v>1043</v>
      </c>
      <c r="P68" s="1923" t="s">
        <v>1583</v>
      </c>
      <c r="Q68" s="1875">
        <f ca="1">ROUND(Q69-Q70*Q71,0)</f>
        <v>3</v>
      </c>
      <c r="R68" s="1875" t="s">
        <v>1051</v>
      </c>
    </row>
    <row r="69" spans="1:18" s="1831" customFormat="1" ht="13.5" thickBot="1">
      <c r="A69" s="1166"/>
      <c r="B69" s="1167"/>
      <c r="C69" s="351"/>
      <c r="D69" s="1185" t="s">
        <v>1474</v>
      </c>
      <c r="E69" s="1165" t="s">
        <v>1475</v>
      </c>
      <c r="F69" s="375">
        <f ca="1">F41</f>
        <v>32.700000000000003</v>
      </c>
      <c r="O69" s="1883" t="s">
        <v>1048</v>
      </c>
      <c r="P69" s="1923" t="s">
        <v>1584</v>
      </c>
      <c r="Q69" s="1875">
        <f ca="1">C39</f>
        <v>3</v>
      </c>
      <c r="R69" s="1875" t="s">
        <v>1530</v>
      </c>
    </row>
    <row r="70" spans="1:18" s="1831" customFormat="1" ht="13.5" thickBot="1">
      <c r="A70" s="1169"/>
      <c r="B70" s="1170"/>
      <c r="C70" s="355"/>
      <c r="D70" s="1181"/>
      <c r="E70" s="1165" t="s">
        <v>1478</v>
      </c>
      <c r="F70" s="1271"/>
      <c r="O70" s="1883" t="s">
        <v>1049</v>
      </c>
      <c r="P70" s="1923" t="s">
        <v>1585</v>
      </c>
      <c r="Q70" s="1875">
        <f ca="1">C13</f>
        <v>0</v>
      </c>
      <c r="R70" s="1875" t="s">
        <v>1530</v>
      </c>
    </row>
    <row r="71" spans="1:18" s="1831" customFormat="1" ht="13.5" thickBot="1">
      <c r="A71" s="1186" t="s">
        <v>1033</v>
      </c>
      <c r="B71" s="1187" t="s">
        <v>1488</v>
      </c>
      <c r="C71" s="378">
        <f ca="1">ROUND(C68*10000/F71,0)</f>
        <v>-3225</v>
      </c>
      <c r="D71" s="1188" t="s">
        <v>1489</v>
      </c>
      <c r="E71" s="1189" t="s">
        <v>1490</v>
      </c>
      <c r="F71" s="381">
        <f ca="1">F43</f>
        <v>49.61</v>
      </c>
      <c r="O71" s="1883" t="s">
        <v>1050</v>
      </c>
      <c r="P71" s="1923" t="s">
        <v>1586</v>
      </c>
      <c r="Q71" s="1886">
        <f ca="1">C76</f>
        <v>8.5000000000000006E-2</v>
      </c>
      <c r="R71" s="1875"/>
    </row>
    <row r="72" spans="1:18" s="1831" customFormat="1" ht="13.5" thickBot="1">
      <c r="B72" s="789"/>
      <c r="C72" s="789"/>
      <c r="O72" s="1883" t="s">
        <v>1044</v>
      </c>
      <c r="P72" s="1874" t="s">
        <v>1564</v>
      </c>
      <c r="Q72" s="1886">
        <f>L52</f>
        <v>0</v>
      </c>
      <c r="R72" s="1875"/>
    </row>
    <row r="73" spans="1:18" ht="16.5" thickBot="1">
      <c r="A73" s="1831"/>
      <c r="B73" s="789"/>
      <c r="C73" s="789"/>
      <c r="D73" s="1831"/>
      <c r="E73" s="1831"/>
      <c r="F73" s="1831"/>
      <c r="O73" s="1883" t="s">
        <v>1045</v>
      </c>
      <c r="P73" s="1874" t="s">
        <v>1567</v>
      </c>
      <c r="Q73" s="1875" t="e">
        <f ca="1">L58</f>
        <v>#DIV/0!</v>
      </c>
      <c r="R73" s="1875" t="s">
        <v>1568</v>
      </c>
    </row>
    <row r="74" spans="1:18" ht="13.5" thickBot="1">
      <c r="A74" s="1831"/>
      <c r="B74" s="317" t="s">
        <v>1587</v>
      </c>
      <c r="C74" s="1925"/>
      <c r="D74" s="1831"/>
      <c r="E74" s="1831"/>
      <c r="F74" s="1831"/>
      <c r="O74" s="1883" t="s">
        <v>1052</v>
      </c>
      <c r="P74" s="1874" t="str">
        <f>K59</f>
        <v>建筑物剩余耐用年限下的土地年期修正系数Kn</v>
      </c>
      <c r="Q74" s="1875" t="e">
        <f ca="1">L59</f>
        <v>#DIV/0!</v>
      </c>
      <c r="R74" s="1875" t="s">
        <v>1569</v>
      </c>
    </row>
    <row r="75" spans="1:18" ht="13.5" thickBot="1">
      <c r="A75" s="1831"/>
      <c r="B75" s="382" t="s">
        <v>1507</v>
      </c>
      <c r="C75" s="383">
        <f ca="1">ROUND(C13*C76,0)</f>
        <v>0</v>
      </c>
      <c r="D75" s="1831"/>
      <c r="E75" s="1831"/>
      <c r="F75" s="1831"/>
      <c r="K75" s="1857"/>
      <c r="L75" s="1831"/>
      <c r="O75" s="1873" t="s">
        <v>1046</v>
      </c>
      <c r="P75" s="1874" t="s">
        <v>1550</v>
      </c>
      <c r="Q75" s="1875">
        <f ca="1">Q65+Q66</f>
        <v>70</v>
      </c>
      <c r="R75" s="1875" t="s">
        <v>1047</v>
      </c>
    </row>
    <row r="76" spans="1:18">
      <c r="B76" s="384" t="s">
        <v>1508</v>
      </c>
      <c r="C76" s="385">
        <f ca="1">INDIRECT("'数据-取费表'!j"&amp;$G$1)</f>
        <v>8.5000000000000006E-2</v>
      </c>
      <c r="I76" s="1831"/>
      <c r="J76" s="1831"/>
      <c r="K76" s="1857"/>
      <c r="L76" s="1831"/>
    </row>
    <row r="77" spans="1:18">
      <c r="B77" s="386" t="s">
        <v>1509</v>
      </c>
      <c r="C77" s="387"/>
      <c r="I77" s="1831"/>
      <c r="J77" s="1831"/>
      <c r="K77" s="1857"/>
      <c r="L77" s="1831"/>
    </row>
    <row r="78" spans="1:18">
      <c r="B78" s="314" t="s">
        <v>1510</v>
      </c>
      <c r="C78" s="388"/>
    </row>
    <row r="79" spans="1:18">
      <c r="B79" s="382" t="s">
        <v>1511</v>
      </c>
      <c r="C79" s="318">
        <f ca="1">1-C80</f>
        <v>1</v>
      </c>
    </row>
    <row r="80" spans="1:18">
      <c r="B80" s="382" t="s">
        <v>1512</v>
      </c>
      <c r="C80" s="318">
        <f ca="1">ROUND(C75/C39,3)</f>
        <v>0</v>
      </c>
    </row>
    <row r="81" spans="2:3">
      <c r="B81" s="314" t="s">
        <v>1513</v>
      </c>
      <c r="C81" s="282"/>
    </row>
    <row r="82" spans="2:3">
      <c r="B82" s="317" t="s">
        <v>1514</v>
      </c>
      <c r="C82" s="319">
        <f ca="1">1-C83</f>
        <v>1</v>
      </c>
    </row>
    <row r="83" spans="2:3">
      <c r="B83" s="317" t="s">
        <v>1515</v>
      </c>
      <c r="C83" s="318">
        <f ca="1">ROUND(C13/C40,3)</f>
        <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94" priority="56">
      <formula>$L$48&gt;$J$51</formula>
    </cfRule>
  </conditionalFormatting>
  <conditionalFormatting sqref="I55 I60">
    <cfRule type="expression" dxfId="93"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AK83"/>
  <sheetViews>
    <sheetView topLeftCell="A34" zoomScale="90" zoomScaleNormal="90" zoomScaleSheetLayoutView="90" workbookViewId="0">
      <selection activeCell="I18" sqref="I18"/>
    </sheetView>
  </sheetViews>
  <sheetFormatPr defaultRowHeight="12.75"/>
  <cols>
    <col min="1" max="1" width="9" style="302" customWidth="1"/>
    <col min="2" max="2" width="20.625" style="702" customWidth="1"/>
    <col min="3" max="3" width="11.875" style="702"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4"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1589</v>
      </c>
      <c r="B1" s="775"/>
      <c r="C1" s="1826" t="s">
        <v>4670</v>
      </c>
      <c r="D1" s="1810"/>
      <c r="E1" s="1811" t="s">
        <v>1388</v>
      </c>
      <c r="F1" s="1279" t="b">
        <f>J53</f>
        <v>0</v>
      </c>
      <c r="G1" s="1825">
        <f>MATCH(C1,'数据-取费表'!A6:A16,0)+5</f>
        <v>6</v>
      </c>
      <c r="H1" s="745"/>
      <c r="I1" s="339"/>
      <c r="J1" s="339"/>
      <c r="K1" s="746"/>
      <c r="L1" s="339"/>
      <c r="M1" s="339"/>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2" t="s">
        <v>1590</v>
      </c>
      <c r="B2" s="1833">
        <f ca="1">ROUND(D2/10000,0)</f>
        <v>78</v>
      </c>
      <c r="C2" s="1834" t="s">
        <v>1591</v>
      </c>
      <c r="D2" s="1927">
        <f ca="1">C40+J29+L46</f>
        <v>775711</v>
      </c>
      <c r="E2" s="1835" t="s">
        <v>1592</v>
      </c>
      <c r="F2" s="1836"/>
      <c r="G2" s="1837"/>
      <c r="H2" s="1829"/>
      <c r="I2" s="1829"/>
      <c r="J2" s="1829"/>
      <c r="K2" s="1830"/>
      <c r="L2" s="1829"/>
      <c r="M2" s="1829"/>
    </row>
    <row r="3" spans="1:37" ht="18" customHeight="1" thickBot="1">
      <c r="A3" s="1838" t="s">
        <v>1593</v>
      </c>
      <c r="B3" s="1839">
        <f ca="1">IF(ISERROR(D2/F43),0,ROUND(D2/F43,0))</f>
        <v>15636</v>
      </c>
      <c r="C3" s="1834" t="s">
        <v>1594</v>
      </c>
      <c r="D3" s="1834"/>
      <c r="E3" s="1835"/>
      <c r="F3" s="1836"/>
      <c r="G3" s="1837"/>
      <c r="H3" s="737" t="s">
        <v>1588</v>
      </c>
      <c r="I3" s="1829"/>
      <c r="J3" s="1829"/>
      <c r="K3" s="1830"/>
      <c r="L3" s="1829"/>
      <c r="M3" s="1829"/>
    </row>
    <row r="4" spans="1:37" ht="18" customHeight="1">
      <c r="A4" s="340" t="s">
        <v>1595</v>
      </c>
      <c r="B4" s="2944" t="s">
        <v>1596</v>
      </c>
      <c r="C4" s="2944" t="s">
        <v>1597</v>
      </c>
      <c r="D4" s="2944" t="s">
        <v>1598</v>
      </c>
      <c r="E4" s="2945" t="s">
        <v>1599</v>
      </c>
      <c r="F4" s="2946"/>
      <c r="G4" s="1840"/>
      <c r="H4" s="340" t="s">
        <v>1595</v>
      </c>
      <c r="I4" s="341" t="s">
        <v>1596</v>
      </c>
      <c r="J4" s="341" t="s">
        <v>1597</v>
      </c>
      <c r="K4" s="341" t="s">
        <v>1598</v>
      </c>
      <c r="L4" s="342" t="s">
        <v>1599</v>
      </c>
      <c r="M4" s="343"/>
    </row>
    <row r="5" spans="1:37" ht="18" customHeight="1">
      <c r="A5" s="344">
        <v>1</v>
      </c>
      <c r="B5" s="345" t="s">
        <v>1600</v>
      </c>
      <c r="C5" s="31">
        <f ca="1">C6+C10+C12</f>
        <v>40799</v>
      </c>
      <c r="D5" s="2773" t="s">
        <v>1601</v>
      </c>
      <c r="E5" s="2948"/>
      <c r="F5" s="1337"/>
      <c r="G5" s="1840"/>
      <c r="H5" s="344">
        <v>1</v>
      </c>
      <c r="I5" s="345" t="s">
        <v>1600</v>
      </c>
      <c r="J5" s="1288">
        <f ca="1">J6+J10+J12</f>
        <v>0</v>
      </c>
      <c r="K5" s="1812" t="s">
        <v>1601</v>
      </c>
      <c r="L5" s="1289"/>
      <c r="M5" s="1290"/>
    </row>
    <row r="6" spans="1:37" ht="18" customHeight="1">
      <c r="A6" s="1287" t="s">
        <v>1035</v>
      </c>
      <c r="B6" s="3262" t="s">
        <v>1404</v>
      </c>
      <c r="C6" s="2950">
        <f ca="1">ROUND(F6*F8*F7*(1-F9),0)</f>
        <v>40742</v>
      </c>
      <c r="D6" s="2951" t="s">
        <v>3025</v>
      </c>
      <c r="E6" s="2938" t="s">
        <v>1406</v>
      </c>
      <c r="F6" s="2952">
        <f ca="1">INDIRECT("'数据-取费表'!u"&amp;$G$1)</f>
        <v>2.5</v>
      </c>
      <c r="G6" s="1840"/>
      <c r="H6" s="1287" t="s">
        <v>1035</v>
      </c>
      <c r="I6" s="3262" t="s">
        <v>1404</v>
      </c>
      <c r="J6" s="346">
        <f ca="1">ROUND(M6*M8*M7*(1-M9),0)</f>
        <v>0</v>
      </c>
      <c r="K6" s="1823" t="s">
        <v>3028</v>
      </c>
      <c r="L6" s="347" t="s">
        <v>1406</v>
      </c>
      <c r="M6" s="348">
        <f ca="1">INDIRECT("'数据-取费表'!z"&amp;$G$1)</f>
        <v>0</v>
      </c>
    </row>
    <row r="7" spans="1:37" ht="18" customHeight="1">
      <c r="A7" s="1291"/>
      <c r="B7" s="3263"/>
      <c r="C7" s="2954"/>
      <c r="D7" s="2955"/>
      <c r="E7" s="2940" t="s">
        <v>1407</v>
      </c>
      <c r="F7" s="2952">
        <f ca="1">IF(INDIRECT("'数据-取费表'!ah"&amp;$G$1)="",INDIRECT("'数据-取费表'!k"&amp;$G$1),INDIRECT("'数据-取费表'!ah"&amp;$G$1))</f>
        <v>49.61</v>
      </c>
      <c r="G7" s="1840"/>
      <c r="H7" s="349"/>
      <c r="I7" s="3263"/>
      <c r="J7" s="351"/>
      <c r="K7" s="352"/>
      <c r="L7" s="347" t="s">
        <v>1407</v>
      </c>
      <c r="M7" s="348">
        <f ca="1">F7</f>
        <v>49.61</v>
      </c>
    </row>
    <row r="8" spans="1:37" ht="18" customHeight="1">
      <c r="A8" s="349"/>
      <c r="B8" s="3263"/>
      <c r="C8" s="2957"/>
      <c r="D8" s="2955"/>
      <c r="E8" s="2938" t="s">
        <v>1408</v>
      </c>
      <c r="F8" s="2952">
        <f ca="1">INDIRECT("'数据-取费表'!ai"&amp;$G$1)</f>
        <v>365</v>
      </c>
      <c r="G8" s="1840"/>
      <c r="H8" s="349"/>
      <c r="I8" s="3263"/>
      <c r="J8" s="351"/>
      <c r="K8" s="352"/>
      <c r="L8" s="347" t="s">
        <v>1408</v>
      </c>
      <c r="M8" s="348">
        <f ca="1">INDIRECT("'数据-取费表'!ai"&amp;$G$1)</f>
        <v>365</v>
      </c>
    </row>
    <row r="9" spans="1:37" ht="18" customHeight="1">
      <c r="A9" s="349"/>
      <c r="B9" s="3264"/>
      <c r="C9" s="2957"/>
      <c r="D9" s="2955"/>
      <c r="E9" s="2938" t="s">
        <v>1409</v>
      </c>
      <c r="F9" s="2958">
        <f ca="1">INDIRECT("'数据-取费表'!w"&amp;$G$1)</f>
        <v>0.1</v>
      </c>
      <c r="G9" s="1840"/>
      <c r="H9" s="349"/>
      <c r="I9" s="3264"/>
      <c r="J9" s="351"/>
      <c r="K9" s="352"/>
      <c r="L9" s="358" t="s">
        <v>1409</v>
      </c>
      <c r="M9" s="359">
        <f ca="1">INDIRECT("'数据-取费表'!ab"&amp;$G$1)</f>
        <v>0</v>
      </c>
    </row>
    <row r="10" spans="1:37" ht="18" customHeight="1">
      <c r="A10" s="1287" t="s">
        <v>1039</v>
      </c>
      <c r="B10" s="1813" t="s">
        <v>1410</v>
      </c>
      <c r="C10" s="2959">
        <f ca="1">ROUND(IF(F10="押一",F6*F8*F7/12*F11,IF(F10="押二",F6*F8*F7/12*2*F11,IF(F10="押三",F6*F8*F7/12*3*F11,C11*F11))),0)</f>
        <v>57</v>
      </c>
      <c r="D10" s="1813" t="s">
        <v>3026</v>
      </c>
      <c r="E10" s="366" t="s">
        <v>1412</v>
      </c>
      <c r="F10" s="2960" t="s">
        <v>3072</v>
      </c>
      <c r="G10" s="1840"/>
      <c r="H10" s="1287" t="s">
        <v>1039</v>
      </c>
      <c r="I10" s="1813" t="s">
        <v>1410</v>
      </c>
      <c r="J10" s="346">
        <f ca="1">ROUND(IF(M10="押一",M6*M8*M7/12*M11,IF(M10="押二",M6*M8*M7/12*2*M11,IF(M10="押三",M6*M8*M7/12*3*M11,J11*M11))),0)</f>
        <v>0</v>
      </c>
      <c r="K10" s="1824" t="s">
        <v>3027</v>
      </c>
      <c r="L10" s="358" t="s">
        <v>1412</v>
      </c>
      <c r="M10" s="1355" t="s">
        <v>3072</v>
      </c>
    </row>
    <row r="11" spans="1:37" ht="18" customHeight="1">
      <c r="A11" s="353"/>
      <c r="B11" s="1815" t="s">
        <v>1602</v>
      </c>
      <c r="C11" s="2962"/>
      <c r="D11" s="2955"/>
      <c r="E11" s="366" t="s">
        <v>1413</v>
      </c>
      <c r="F11" s="2964">
        <f ca="1">'数据-取费表'!B39</f>
        <v>1.4999999999999999E-2</v>
      </c>
      <c r="G11" s="1840"/>
      <c r="H11" s="1293"/>
      <c r="I11" s="1815" t="s">
        <v>1603</v>
      </c>
      <c r="J11" s="1174"/>
      <c r="K11" s="741"/>
      <c r="L11" s="358" t="s">
        <v>1413</v>
      </c>
      <c r="M11" s="1052">
        <f ca="1">'数据-取费表'!B39</f>
        <v>1.4999999999999999E-2</v>
      </c>
    </row>
    <row r="12" spans="1:37" ht="18" customHeight="1" thickBot="1">
      <c r="A12" s="1325" t="s">
        <v>1075</v>
      </c>
      <c r="B12" s="1816" t="s">
        <v>1414</v>
      </c>
      <c r="C12" s="2966"/>
      <c r="D12" s="2967"/>
      <c r="E12" s="1333"/>
      <c r="F12" s="2968"/>
      <c r="G12" s="1840"/>
      <c r="H12" s="1325" t="s">
        <v>1075</v>
      </c>
      <c r="I12" s="1816" t="s">
        <v>1414</v>
      </c>
      <c r="J12" s="1326"/>
      <c r="K12" s="1338"/>
      <c r="L12" s="1331"/>
      <c r="M12" s="1339"/>
    </row>
    <row r="13" spans="1:37" ht="18" customHeight="1" thickTop="1">
      <c r="A13" s="1323">
        <v>2</v>
      </c>
      <c r="B13" s="1334" t="s">
        <v>1415</v>
      </c>
      <c r="C13" s="2970">
        <f ca="1">ROUND(C29*F13,0)</f>
        <v>0</v>
      </c>
      <c r="D13" s="374" t="s">
        <v>1416</v>
      </c>
      <c r="E13" s="374" t="s">
        <v>1417</v>
      </c>
      <c r="F13" s="2971">
        <f ca="1">INDIRECT("'数据-取费表'!y"&amp;$G$1)</f>
        <v>0</v>
      </c>
      <c r="G13" s="1840"/>
      <c r="H13" s="1323">
        <v>2</v>
      </c>
      <c r="I13" s="1324" t="s">
        <v>1415</v>
      </c>
      <c r="J13" s="1286">
        <f ca="1">ROUND(J14*J15,0)</f>
        <v>0</v>
      </c>
      <c r="K13" s="1328" t="s">
        <v>1416</v>
      </c>
      <c r="L13" s="1841"/>
      <c r="M13" s="1842"/>
    </row>
    <row r="14" spans="1:37" ht="18" customHeight="1">
      <c r="A14" s="1197" t="s">
        <v>1034</v>
      </c>
      <c r="B14" s="2938" t="s">
        <v>1418</v>
      </c>
      <c r="C14" s="2475">
        <f ca="1">ROUND(INDIRECT("'数据-取费表'!l"&amp;$G$1)*F43+'数据-取费表'!L14*INDIRECT("'数据-取费表'!S"&amp;$G$1),0)</f>
        <v>109142</v>
      </c>
      <c r="D14" s="2939" t="s">
        <v>1419</v>
      </c>
      <c r="E14" s="2937"/>
      <c r="F14" s="2972"/>
      <c r="G14" s="1840"/>
      <c r="H14" s="1197" t="s">
        <v>1035</v>
      </c>
      <c r="I14" s="347" t="s">
        <v>1420</v>
      </c>
      <c r="J14" s="24">
        <f ca="1">C29</f>
        <v>181125</v>
      </c>
      <c r="K14" s="15"/>
      <c r="L14" s="975"/>
      <c r="M14" s="976"/>
    </row>
    <row r="15" spans="1:37" s="1847" customFormat="1" ht="18" customHeight="1" thickBot="1">
      <c r="A15" s="1197" t="s">
        <v>1036</v>
      </c>
      <c r="B15" s="2938" t="s">
        <v>1421</v>
      </c>
      <c r="C15" s="11">
        <f ca="1">ROUND(C14*F15,0)</f>
        <v>3274</v>
      </c>
      <c r="D15" s="369" t="s">
        <v>1422</v>
      </c>
      <c r="E15" s="369" t="s">
        <v>1423</v>
      </c>
      <c r="F15" s="2973">
        <f>'数据-取费表'!B33</f>
        <v>0.03</v>
      </c>
      <c r="G15" s="1843"/>
      <c r="H15" s="1330" t="s">
        <v>1039</v>
      </c>
      <c r="I15" s="1331" t="s">
        <v>1417</v>
      </c>
      <c r="J15" s="1339">
        <f ca="1">INDIRECT("'数据-取费表'!ad"&amp;$G$1)</f>
        <v>0</v>
      </c>
      <c r="K15" s="1340"/>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7" t="s">
        <v>1390</v>
      </c>
      <c r="B16" s="2938" t="s">
        <v>1424</v>
      </c>
      <c r="C16" s="11">
        <f ca="1">ROUND(INDIRECT("'数据-取费表'!l"&amp;$G$1)*F43*F16,0)</f>
        <v>0</v>
      </c>
      <c r="D16" s="2938" t="s">
        <v>1422</v>
      </c>
      <c r="E16" s="2938" t="s">
        <v>1423</v>
      </c>
      <c r="F16" s="2974">
        <f ca="1">IF(INDIRECT("'数据-取费表'!c"&amp;$G$1)="住宅",'数据-取费表'!B34,0)</f>
        <v>0</v>
      </c>
      <c r="G16" s="1840"/>
      <c r="H16" s="1323" t="s">
        <v>1030</v>
      </c>
      <c r="I16" s="1324" t="s">
        <v>1425</v>
      </c>
      <c r="J16" s="355">
        <f ca="1">ROUND(J17+J22+J23+J24,0)</f>
        <v>4325</v>
      </c>
      <c r="K16" s="1328" t="s">
        <v>1426</v>
      </c>
      <c r="L16" s="1329"/>
      <c r="M16" s="1290"/>
    </row>
    <row r="17" spans="1:37" s="1847" customFormat="1" ht="18" customHeight="1">
      <c r="A17" s="1197" t="s">
        <v>1391</v>
      </c>
      <c r="B17" s="2938" t="s">
        <v>1427</v>
      </c>
      <c r="C17" s="11">
        <f ca="1">ROUND(F17*(F43+INDIRECT("'数据-取费表'!S"&amp;$G$1)),0)</f>
        <v>9922</v>
      </c>
      <c r="D17" s="2938" t="s">
        <v>1428</v>
      </c>
      <c r="E17" s="2938" t="s">
        <v>1429</v>
      </c>
      <c r="F17" s="2975">
        <f>'数据-取费表'!B35</f>
        <v>200</v>
      </c>
      <c r="G17" s="1843"/>
      <c r="H17" s="1197" t="s">
        <v>1035</v>
      </c>
      <c r="I17" s="347" t="s">
        <v>1430</v>
      </c>
      <c r="J17" s="24">
        <f ca="1">ROUND(IF(项目基本情况!B11="自然人",J5*M17,J18+J19+J20),0)</f>
        <v>1608</v>
      </c>
      <c r="K17" s="1790" t="s">
        <v>1431</v>
      </c>
      <c r="L17" s="1788" t="s">
        <v>1432</v>
      </c>
      <c r="M17" s="364"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7" t="s">
        <v>1392</v>
      </c>
      <c r="B18" s="2938" t="s">
        <v>1433</v>
      </c>
      <c r="C18" s="11">
        <f ca="1">ROUND(C14*F18,0)</f>
        <v>1637</v>
      </c>
      <c r="D18" s="2938" t="s">
        <v>1422</v>
      </c>
      <c r="E18" s="2938" t="s">
        <v>1423</v>
      </c>
      <c r="F18" s="2974">
        <f>'数据-取费表'!B36</f>
        <v>1.4999999999999999E-2</v>
      </c>
      <c r="G18" s="1843"/>
      <c r="H18" s="1197" t="s">
        <v>1034</v>
      </c>
      <c r="I18" s="347" t="s">
        <v>1434</v>
      </c>
      <c r="J18" s="24">
        <f ca="1">ROUND(J5*M18/(1+'数据-取费表'!C42),0)</f>
        <v>0</v>
      </c>
      <c r="K18" s="1788" t="s">
        <v>1435</v>
      </c>
      <c r="L18" s="347" t="s">
        <v>1423</v>
      </c>
      <c r="M18" s="363">
        <f>'数据-取费表'!B41</f>
        <v>6.2719999999999998E-2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7" t="s">
        <v>1035</v>
      </c>
      <c r="B19" s="2938" t="s">
        <v>1436</v>
      </c>
      <c r="C19" s="11">
        <f ca="1">SUM(C14:C18)</f>
        <v>123975</v>
      </c>
      <c r="D19" s="2976" t="s">
        <v>1437</v>
      </c>
      <c r="E19" s="2941"/>
      <c r="F19" s="2975"/>
      <c r="G19" s="1840"/>
      <c r="H19" s="1197" t="s">
        <v>1036</v>
      </c>
      <c r="I19" s="347" t="s">
        <v>1438</v>
      </c>
      <c r="J19" s="24">
        <f ca="1">IF(K19="按租金收入计税",ROUND(J5*M19,0),ROUND(C29*M19*0.7,0))</f>
        <v>1521</v>
      </c>
      <c r="K19" s="1817" t="s">
        <v>1439</v>
      </c>
      <c r="L19" s="347" t="s">
        <v>1423</v>
      </c>
      <c r="M19" s="363">
        <f>IF(K19="按租金收入计税",'数据-取费表'!B51,'数据-取费表'!B50)</f>
        <v>1.2E-2</v>
      </c>
    </row>
    <row r="20" spans="1:37" s="1847" customFormat="1" ht="18" customHeight="1">
      <c r="A20" s="1197" t="s">
        <v>1039</v>
      </c>
      <c r="B20" s="2938" t="s">
        <v>1440</v>
      </c>
      <c r="C20" s="11">
        <f ca="1">ROUND(C19*F20,0)</f>
        <v>2480</v>
      </c>
      <c r="D20" s="365" t="s">
        <v>1441</v>
      </c>
      <c r="E20" s="2938" t="s">
        <v>1423</v>
      </c>
      <c r="F20" s="2974">
        <f>'数据-取费表'!B37</f>
        <v>0.02</v>
      </c>
      <c r="G20" s="1843"/>
      <c r="H20" s="1197" t="s">
        <v>1390</v>
      </c>
      <c r="I20" s="164" t="s">
        <v>1442</v>
      </c>
      <c r="J20" s="25">
        <f ca="1">ROUND(M20*M21,0)</f>
        <v>87</v>
      </c>
      <c r="K20" s="366" t="s">
        <v>1443</v>
      </c>
      <c r="L20" s="347" t="s">
        <v>1444</v>
      </c>
      <c r="M20" s="367">
        <f>'数据-取费表'!B52</f>
        <v>10</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7" t="s">
        <v>1075</v>
      </c>
      <c r="B21" s="2938" t="s">
        <v>1445</v>
      </c>
      <c r="C21" s="11" t="s">
        <v>1</v>
      </c>
      <c r="D21" s="365" t="s">
        <v>1446</v>
      </c>
      <c r="E21" s="2938" t="s">
        <v>1447</v>
      </c>
      <c r="F21" s="2974">
        <f>'数据-取费表'!B38</f>
        <v>0.02</v>
      </c>
      <c r="G21" s="1843"/>
      <c r="H21" s="368"/>
      <c r="I21" s="356"/>
      <c r="J21" s="29"/>
      <c r="K21" s="369"/>
      <c r="L21" s="347" t="s">
        <v>1448</v>
      </c>
      <c r="M21" s="348">
        <f ca="1">INDIRECT("'数据-取费表'!r"&amp;$G$1)</f>
        <v>8.7100000000000009</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7" t="s">
        <v>1393</v>
      </c>
      <c r="B22" s="2938" t="s">
        <v>1449</v>
      </c>
      <c r="C22" s="11"/>
      <c r="D22" s="2976" t="str">
        <f>IF(F23&lt;=1,"单利计息。","复利计息。")&amp;"建造成本、管理费用、销售费用产生的利息。"</f>
        <v>复利计息。建造成本、管理费用、销售费用产生的利息。</v>
      </c>
      <c r="E22" s="2941"/>
      <c r="F22" s="2975"/>
      <c r="G22" s="1840"/>
      <c r="H22" s="1197" t="s">
        <v>1039</v>
      </c>
      <c r="I22" s="347" t="s">
        <v>1450</v>
      </c>
      <c r="J22" s="24">
        <f ca="1">ROUND(J14*M22,0)</f>
        <v>2717</v>
      </c>
      <c r="K22" s="1788" t="s">
        <v>1451</v>
      </c>
      <c r="L22" s="347" t="s">
        <v>1423</v>
      </c>
      <c r="M22" s="370">
        <f ca="1">INDIRECT("'数据-取费表'!Ak"&amp;$G$1)</f>
        <v>1.4999999999999999E-2</v>
      </c>
    </row>
    <row r="23" spans="1:37" s="1847" customFormat="1" ht="18" customHeight="1">
      <c r="A23" s="1197" t="s">
        <v>1034</v>
      </c>
      <c r="B23" s="2938" t="s">
        <v>1452</v>
      </c>
      <c r="C23" s="11">
        <f ca="1">IF('数据-取费表'!B22&lt;=1,ROUND(C19*F24*F23/2,0)+ROUND(C20*F24*F23/2,0),ROUND(C19*(POWER((1+F24),F23/2)-1),0)+ROUND(C20*(POWER((1+F24),F23/2)-1),0))</f>
        <v>7552</v>
      </c>
      <c r="D23" s="365" t="str">
        <f>IF(F23&lt;=1,"(建造成本+管理费用)×利率×(建设周期÷2)","(建造成本+管理费用)×((1+利率)^(建设周期÷2)-1)")</f>
        <v>(建造成本+管理费用)×((1+利率)^(建设周期÷2)-1)</v>
      </c>
      <c r="E23" s="2938" t="s">
        <v>1453</v>
      </c>
      <c r="F23" s="2977">
        <f>'数据-取费表'!B20</f>
        <v>2.5</v>
      </c>
      <c r="G23" s="1843"/>
      <c r="H23" s="1197" t="s">
        <v>1075</v>
      </c>
      <c r="I23" s="347" t="s">
        <v>1454</v>
      </c>
      <c r="J23" s="24">
        <f ca="1">ROUND(J13*M23,0)</f>
        <v>0</v>
      </c>
      <c r="K23" s="1788" t="s">
        <v>1455</v>
      </c>
      <c r="L23" s="347" t="s">
        <v>1456</v>
      </c>
      <c r="M23" s="372">
        <f ca="1">INDIRECT("'数据-取费表'!Al"&amp;$G$1)</f>
        <v>2E-3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7" t="s">
        <v>1457</v>
      </c>
      <c r="B24" s="2938" t="s">
        <v>1458</v>
      </c>
      <c r="C24" s="11">
        <f ca="1">ROUND(IF('数据-取费表'!B22&lt;=1,F21*F24*F23/2,F21*(POWER((1+F24),F23/2)-1)),4)</f>
        <v>1.1999999999999999E-3</v>
      </c>
      <c r="D24" s="365" t="str">
        <f>IF(F23&lt;=1,"销售费用×利率×(建设周期÷2)","销售费用×((1+利率)^(建设周期÷2)-1)")</f>
        <v>销售费用×((1+利率)^(建设周期÷2)-1)</v>
      </c>
      <c r="E24" s="2938" t="s">
        <v>1459</v>
      </c>
      <c r="F24" s="2978">
        <f ca="1">'数据-取费表'!B40</f>
        <v>4.7500000000000001E-2</v>
      </c>
      <c r="G24" s="1843"/>
      <c r="H24" s="1330" t="s">
        <v>1394</v>
      </c>
      <c r="I24" s="1331" t="s">
        <v>1440</v>
      </c>
      <c r="J24" s="1332">
        <f ca="1">ROUND(J5*M24,0)</f>
        <v>0</v>
      </c>
      <c r="K24" s="1333" t="s">
        <v>1460</v>
      </c>
      <c r="L24" s="1331" t="s">
        <v>1456</v>
      </c>
      <c r="M24" s="1327">
        <f ca="1">INDIRECT("'数据-取费表'!Am"&amp;$G$1)</f>
        <v>0.02</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7" t="s">
        <v>1461</v>
      </c>
      <c r="B25" s="2938" t="s">
        <v>1462</v>
      </c>
      <c r="C25" s="11"/>
      <c r="D25" s="2976" t="s">
        <v>1463</v>
      </c>
      <c r="E25" s="2941"/>
      <c r="F25" s="2975"/>
      <c r="G25" s="1840"/>
      <c r="H25" s="1323" t="s">
        <v>1031</v>
      </c>
      <c r="I25" s="1334" t="s">
        <v>1464</v>
      </c>
      <c r="J25" s="355">
        <f ca="1">J5-J16</f>
        <v>-4325</v>
      </c>
      <c r="K25" s="1335" t="s">
        <v>1465</v>
      </c>
      <c r="L25" s="1336"/>
      <c r="M25" s="1337"/>
    </row>
    <row r="26" spans="1:37" ht="18" customHeight="1">
      <c r="A26" s="1197" t="s">
        <v>1034</v>
      </c>
      <c r="B26" s="2938" t="s">
        <v>1466</v>
      </c>
      <c r="C26" s="11">
        <f ca="1">ROUND((C19+C20)*F26,0)</f>
        <v>31614</v>
      </c>
      <c r="D26" s="365" t="s">
        <v>1467</v>
      </c>
      <c r="E26" s="366" t="s">
        <v>1468</v>
      </c>
      <c r="F26" s="2958">
        <f ca="1">INDIRECT("'数据-取费表'!q"&amp;$G$1)</f>
        <v>0.25</v>
      </c>
      <c r="G26" s="1840"/>
      <c r="H26" s="344" t="s">
        <v>1032</v>
      </c>
      <c r="I26" s="345" t="s">
        <v>1469</v>
      </c>
      <c r="J26" s="346">
        <f ca="1">IF(J5&lt;&gt;0,ROUND(J25*(1-((1+M28)/(1+M26))^M27)/(M26-M28),0),0)</f>
        <v>0</v>
      </c>
      <c r="K26" s="366" t="s">
        <v>1470</v>
      </c>
      <c r="L26" s="347" t="s">
        <v>1471</v>
      </c>
      <c r="M26" s="357">
        <f ca="1">INDIRECT("'数据-取费表'!I"&amp;$G$1)</f>
        <v>0.05</v>
      </c>
    </row>
    <row r="27" spans="1:37" ht="18" customHeight="1">
      <c r="A27" s="1197" t="s">
        <v>1036</v>
      </c>
      <c r="B27" s="2938" t="s">
        <v>1472</v>
      </c>
      <c r="C27" s="11">
        <f ca="1">ROUND(F21*F26,4)</f>
        <v>5.0000000000000001E-3</v>
      </c>
      <c r="D27" s="365" t="s">
        <v>1473</v>
      </c>
      <c r="E27" s="369"/>
      <c r="F27" s="2973"/>
      <c r="G27" s="1840"/>
      <c r="H27" s="349"/>
      <c r="I27" s="350"/>
      <c r="J27" s="351"/>
      <c r="K27" s="374" t="s">
        <v>1474</v>
      </c>
      <c r="L27" s="347" t="s">
        <v>1475</v>
      </c>
      <c r="M27" s="375">
        <f ca="1">INDIRECT("'数据-取费表'!ag"&amp;$G$1)</f>
        <v>0</v>
      </c>
    </row>
    <row r="28" spans="1:37" s="1847" customFormat="1" ht="18" customHeight="1">
      <c r="A28" s="1197" t="s">
        <v>1037</v>
      </c>
      <c r="B28" s="2938" t="s">
        <v>1476</v>
      </c>
      <c r="C28" s="11">
        <f>ROUND(F28/(1+'数据-取费表'!C42),4)</f>
        <v>5.9400000000000001E-2</v>
      </c>
      <c r="D28" s="365" t="s">
        <v>1477</v>
      </c>
      <c r="E28" s="2938" t="s">
        <v>1423</v>
      </c>
      <c r="F28" s="2974">
        <f>'数据-取费表'!B41</f>
        <v>6.2719999999999998E-2</v>
      </c>
      <c r="G28" s="1843"/>
      <c r="H28" s="353"/>
      <c r="I28" s="354"/>
      <c r="J28" s="355"/>
      <c r="K28" s="369"/>
      <c r="L28" s="347" t="s">
        <v>1478</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0" t="s">
        <v>1038</v>
      </c>
      <c r="B29" s="1333" t="s">
        <v>1479</v>
      </c>
      <c r="C29" s="2980">
        <f ca="1">ROUND((C19+C20+C23+C26)/(1-F21-C24-C27-C28),0)</f>
        <v>181125</v>
      </c>
      <c r="D29" s="1333"/>
      <c r="E29" s="1333"/>
      <c r="F29" s="2981"/>
      <c r="G29" s="1843"/>
      <c r="H29" s="376" t="s">
        <v>1033</v>
      </c>
      <c r="I29" s="377" t="s">
        <v>1480</v>
      </c>
      <c r="J29" s="378">
        <f ca="1">ROUND(J26/(1+F40)^F41,0)</f>
        <v>0</v>
      </c>
      <c r="K29" s="379" t="s">
        <v>1481</v>
      </c>
      <c r="L29" s="380"/>
      <c r="M29" s="381">
        <f ca="1">INDIRECT("'数据-取费表'!k"&amp;$G$1)</f>
        <v>49.61</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3" t="s">
        <v>1030</v>
      </c>
      <c r="B30" s="1334" t="s">
        <v>1425</v>
      </c>
      <c r="C30" s="2970">
        <f ca="1">ROUND(C31+C36+C37+C38,0)</f>
        <v>7564</v>
      </c>
      <c r="D30" s="1335" t="s">
        <v>1426</v>
      </c>
      <c r="E30" s="1336"/>
      <c r="F30" s="1337"/>
      <c r="G30" s="1840"/>
      <c r="H30" s="738"/>
      <c r="I30" s="739"/>
      <c r="J30" s="740"/>
      <c r="K30" s="741"/>
      <c r="L30" s="742"/>
      <c r="M30" s="743"/>
    </row>
    <row r="31" spans="1:37" ht="18" customHeight="1">
      <c r="A31" s="1197" t="s">
        <v>1035</v>
      </c>
      <c r="B31" s="2938" t="s">
        <v>1430</v>
      </c>
      <c r="C31" s="11">
        <f ca="1">ROUND(IF(项目基本情况!B11="自然人",C5*F31,C32+C33+C34),0)</f>
        <v>4031</v>
      </c>
      <c r="D31" s="2939" t="s">
        <v>1431</v>
      </c>
      <c r="E31" s="2938" t="s">
        <v>1482</v>
      </c>
      <c r="F31" s="364" t="str">
        <f ca="1">IF(项目基本情况!B11="企业","",IF(INDIRECT("'数据-取费表'!c"&amp;$G$1)="住宅",5%,IF(F6*F7*F8/12/(1+'数据-取费表'!C42)&gt;20000,12%,7%)))</f>
        <v/>
      </c>
      <c r="G31" s="1840"/>
      <c r="H31" s="738"/>
      <c r="I31" s="739"/>
      <c r="J31" s="740"/>
      <c r="K31" s="741"/>
      <c r="L31" s="742"/>
      <c r="M31" s="743"/>
    </row>
    <row r="32" spans="1:37" ht="18" customHeight="1">
      <c r="A32" s="1197" t="s">
        <v>1034</v>
      </c>
      <c r="B32" s="2938" t="s">
        <v>1434</v>
      </c>
      <c r="C32" s="11">
        <f ca="1">IF(项目基本情况!B11="自然人","——",ROUND(C5*F32/(1+'数据-取费表'!C42),0))</f>
        <v>2423</v>
      </c>
      <c r="D32" s="2938" t="s">
        <v>1435</v>
      </c>
      <c r="E32" s="2938" t="s">
        <v>1423</v>
      </c>
      <c r="F32" s="2978">
        <f>'数据-取费表'!B41</f>
        <v>6.2719999999999998E-2</v>
      </c>
      <c r="G32" s="1840"/>
      <c r="H32" s="738"/>
      <c r="I32" s="739"/>
      <c r="J32" s="740"/>
      <c r="K32" s="741"/>
      <c r="L32" s="742"/>
      <c r="M32" s="743"/>
    </row>
    <row r="33" spans="1:18" ht="18" customHeight="1">
      <c r="A33" s="1197" t="s">
        <v>1036</v>
      </c>
      <c r="B33" s="2938" t="s">
        <v>1438</v>
      </c>
      <c r="C33" s="11">
        <f ca="1">IF(项目基本情况!B11="自然人","——",IF(D33="按租金收入计税",ROUND(C5*F33,0),IF(D33="按房产原值计税",ROUND(C29*F33*0.7,0),INDIRECT("'数据-取费表'!Aj"&amp;$G$1))))</f>
        <v>1521</v>
      </c>
      <c r="D33" s="1817" t="s">
        <v>1439</v>
      </c>
      <c r="E33" s="2938" t="s">
        <v>1423</v>
      </c>
      <c r="F33" s="2974">
        <f>IF(D33="按票据","——",IF(D33="按租金收入计税",'数据-取费表'!B51,'数据-取费表'!B50))</f>
        <v>1.2E-2</v>
      </c>
      <c r="G33" s="1840"/>
      <c r="H33" s="1848"/>
      <c r="I33" s="1849"/>
      <c r="J33" s="1850"/>
      <c r="K33" s="1851"/>
      <c r="L33" s="1848"/>
      <c r="M33" s="1848"/>
    </row>
    <row r="34" spans="1:18" ht="18" customHeight="1">
      <c r="A34" s="1287" t="s">
        <v>1390</v>
      </c>
      <c r="B34" s="2951" t="s">
        <v>1442</v>
      </c>
      <c r="C34" s="23">
        <f ca="1">IF(项目基本情况!B11="自然人","——",ROUND(F34*F35,))</f>
        <v>87</v>
      </c>
      <c r="D34" s="366" t="s">
        <v>1443</v>
      </c>
      <c r="E34" s="2938" t="s">
        <v>1444</v>
      </c>
      <c r="F34" s="2977">
        <f>'数据-取费表'!B52</f>
        <v>10</v>
      </c>
      <c r="G34" s="1840"/>
      <c r="H34" s="738"/>
      <c r="I34" s="1849"/>
      <c r="J34" s="1850"/>
      <c r="K34" s="1852"/>
      <c r="L34" s="1853"/>
      <c r="M34" s="1853"/>
    </row>
    <row r="35" spans="1:18" ht="18" customHeight="1">
      <c r="A35" s="1342"/>
      <c r="B35" s="2983"/>
      <c r="C35" s="30"/>
      <c r="D35" s="369"/>
      <c r="E35" s="2938" t="s">
        <v>1448</v>
      </c>
      <c r="F35" s="2952">
        <f ca="1">INDIRECT("'数据-取费表'!r"&amp;$G$1)</f>
        <v>8.7100000000000009</v>
      </c>
      <c r="G35" s="1840"/>
      <c r="H35" s="738"/>
      <c r="I35" s="1849"/>
      <c r="J35" s="1850"/>
      <c r="K35" s="1851"/>
      <c r="L35" s="1848"/>
      <c r="M35" s="1848"/>
    </row>
    <row r="36" spans="1:18" ht="18" customHeight="1">
      <c r="A36" s="1341" t="s">
        <v>1039</v>
      </c>
      <c r="B36" s="2938" t="s">
        <v>1450</v>
      </c>
      <c r="C36" s="11">
        <f ca="1">ROUND(C29*F36,0)</f>
        <v>2717</v>
      </c>
      <c r="D36" s="2938" t="s">
        <v>1483</v>
      </c>
      <c r="E36" s="2938" t="s">
        <v>1423</v>
      </c>
      <c r="F36" s="2985">
        <f ca="1">INDIRECT("'数据-取费表'!Ak"&amp;$G$1)</f>
        <v>1.4999999999999999E-2</v>
      </c>
      <c r="G36" s="1840"/>
      <c r="H36" s="1848"/>
      <c r="I36" s="1849"/>
      <c r="J36" s="1850"/>
      <c r="K36" s="744"/>
      <c r="L36" s="1848"/>
      <c r="M36" s="1848"/>
    </row>
    <row r="37" spans="1:18" ht="18" customHeight="1">
      <c r="A37" s="1197" t="s">
        <v>1075</v>
      </c>
      <c r="B37" s="2938" t="s">
        <v>1454</v>
      </c>
      <c r="C37" s="11">
        <f ca="1">ROUND(C13*F37,0)</f>
        <v>0</v>
      </c>
      <c r="D37" s="2938" t="s">
        <v>1455</v>
      </c>
      <c r="E37" s="2938" t="s">
        <v>1456</v>
      </c>
      <c r="F37" s="2986">
        <f ca="1">INDIRECT("'数据-取费表'!Al"&amp;$G$1)</f>
        <v>2E-3</v>
      </c>
      <c r="G37" s="1840"/>
      <c r="H37" s="1848"/>
      <c r="I37" s="1849"/>
      <c r="J37" s="1850"/>
      <c r="K37" s="744"/>
      <c r="L37" s="1848"/>
      <c r="M37" s="1848"/>
    </row>
    <row r="38" spans="1:18" ht="18" customHeight="1" thickBot="1">
      <c r="A38" s="1330" t="s">
        <v>1394</v>
      </c>
      <c r="B38" s="1333" t="s">
        <v>1440</v>
      </c>
      <c r="C38" s="2980">
        <f ca="1">ROUND(C5*F38,1)</f>
        <v>816</v>
      </c>
      <c r="D38" s="1333" t="s">
        <v>1460</v>
      </c>
      <c r="E38" s="1333" t="s">
        <v>1456</v>
      </c>
      <c r="F38" s="2968">
        <f ca="1">INDIRECT("'数据-取费表'!Am"&amp;$G$1)</f>
        <v>0.02</v>
      </c>
      <c r="G38" s="1840"/>
      <c r="H38" s="1848"/>
      <c r="I38" s="1849"/>
      <c r="J38" s="1850"/>
      <c r="K38" s="1854"/>
      <c r="L38" s="1848"/>
      <c r="M38" s="1848"/>
    </row>
    <row r="39" spans="1:18" ht="24.6" customHeight="1" thickTop="1">
      <c r="A39" s="1323" t="s">
        <v>1031</v>
      </c>
      <c r="B39" s="1334" t="s">
        <v>1484</v>
      </c>
      <c r="C39" s="2970">
        <f ca="1">C5-C30</f>
        <v>33235</v>
      </c>
      <c r="D39" s="1335" t="s">
        <v>1485</v>
      </c>
      <c r="E39" s="1336"/>
      <c r="F39" s="1337"/>
      <c r="G39" s="1840"/>
      <c r="H39" s="1848"/>
      <c r="I39" s="1849"/>
      <c r="J39" s="1850"/>
      <c r="K39" s="1854"/>
      <c r="L39" s="1848"/>
      <c r="M39" s="1848"/>
    </row>
    <row r="40" spans="1:18" ht="18" customHeight="1">
      <c r="A40" s="344" t="s">
        <v>1032</v>
      </c>
      <c r="B40" s="345" t="s">
        <v>1486</v>
      </c>
      <c r="C40" s="2987">
        <f ca="1">ROUND(C39*(1-((1+F42)/(1+F40))^F41)/(F40-F42),0)</f>
        <v>775711</v>
      </c>
      <c r="D40" s="366" t="s">
        <v>1470</v>
      </c>
      <c r="E40" s="2938" t="s">
        <v>1471</v>
      </c>
      <c r="F40" s="2958">
        <f ca="1">INDIRECT("'数据-取费表'!I"&amp;$G$1)</f>
        <v>0.05</v>
      </c>
      <c r="G40" s="1840"/>
      <c r="H40" s="1828"/>
      <c r="I40" s="1849"/>
      <c r="J40" s="1850"/>
      <c r="K40" s="1854"/>
      <c r="L40" s="1828"/>
      <c r="M40" s="1828"/>
    </row>
    <row r="41" spans="1:18" ht="18" customHeight="1">
      <c r="A41" s="349"/>
      <c r="B41" s="350"/>
      <c r="C41" s="2957"/>
      <c r="D41" s="374" t="s">
        <v>1487</v>
      </c>
      <c r="E41" s="2938" t="s">
        <v>1475</v>
      </c>
      <c r="F41" s="2988">
        <f ca="1">IF(INDIRECT("'数据-取费表'!af"&amp;$G$1)=0,INDIRECT("'数据-取费表'!ae"&amp;$G$1),INDIRECT("'数据-取费表'!af"&amp;$G$1))</f>
        <v>32.700000000000003</v>
      </c>
      <c r="G41" s="1840"/>
      <c r="H41" s="725"/>
      <c r="I41" s="1849"/>
      <c r="J41" s="1850"/>
      <c r="K41" s="744"/>
      <c r="L41" s="725"/>
      <c r="M41" s="725"/>
    </row>
    <row r="42" spans="1:18" ht="18" customHeight="1">
      <c r="A42" s="353"/>
      <c r="B42" s="354"/>
      <c r="C42" s="2970"/>
      <c r="D42" s="369"/>
      <c r="E42" s="2938" t="s">
        <v>1478</v>
      </c>
      <c r="F42" s="2958">
        <f ca="1">INDIRECT("'数据-取费表'!v"&amp;$G$1)</f>
        <v>0.03</v>
      </c>
      <c r="G42" s="1840"/>
      <c r="H42" s="725"/>
      <c r="I42" s="1849"/>
      <c r="J42" s="1850"/>
      <c r="K42" s="744"/>
      <c r="L42" s="725"/>
      <c r="M42" s="725"/>
    </row>
    <row r="43" spans="1:18" ht="18" customHeight="1" thickBot="1">
      <c r="A43" s="376" t="s">
        <v>1033</v>
      </c>
      <c r="B43" s="2989" t="s">
        <v>1488</v>
      </c>
      <c r="C43" s="228">
        <f ca="1">ROUND(C40/F43,0)</f>
        <v>15636</v>
      </c>
      <c r="D43" s="2990" t="s">
        <v>1489</v>
      </c>
      <c r="E43" s="2942" t="s">
        <v>1490</v>
      </c>
      <c r="F43" s="2991">
        <f ca="1">INDIRECT("'数据-取费表'!k"&amp;$G$1)</f>
        <v>49.61</v>
      </c>
      <c r="G43" s="1840"/>
      <c r="H43" s="725"/>
      <c r="I43" s="725"/>
      <c r="J43" s="725"/>
      <c r="K43" s="744"/>
      <c r="L43" s="725"/>
      <c r="M43" s="725"/>
    </row>
    <row r="44" spans="1:18" s="1831" customFormat="1" ht="18" customHeight="1">
      <c r="A44" s="1855"/>
      <c r="B44" s="1855"/>
      <c r="C44" s="1856"/>
      <c r="D44" s="1855"/>
      <c r="E44" s="1855"/>
      <c r="F44" s="1855"/>
      <c r="K44" s="1857"/>
    </row>
    <row r="45" spans="1:18" s="1831" customFormat="1" ht="18" customHeight="1" thickBot="1">
      <c r="A45" s="1855"/>
      <c r="B45" s="1855"/>
      <c r="C45" s="1928">
        <f ca="1">C68-C40</f>
        <v>-876657</v>
      </c>
      <c r="D45" s="1929" t="s">
        <v>1604</v>
      </c>
      <c r="E45" s="1855"/>
      <c r="F45" s="1855"/>
      <c r="O45" s="1858" t="s">
        <v>1520</v>
      </c>
      <c r="P45" s="1828"/>
      <c r="Q45" s="1828"/>
      <c r="R45" s="1828"/>
    </row>
    <row r="46" spans="1:18" s="1831" customFormat="1" ht="13.5" thickBot="1">
      <c r="A46" s="1859" t="s">
        <v>1521</v>
      </c>
      <c r="C46" s="1860">
        <f ca="1">ROUND(C45/10000,0)</f>
        <v>-88</v>
      </c>
      <c r="D46" s="1861" t="str">
        <f>C2</f>
        <v>万元</v>
      </c>
      <c r="I46" s="1862" t="s">
        <v>1522</v>
      </c>
      <c r="J46" s="1863"/>
      <c r="K46" s="1864"/>
      <c r="L46" s="1865" t="str">
        <f ca="1">IF(M47="住宅",0,IF(L48&gt;J51,L60,J60))</f>
        <v>0</v>
      </c>
      <c r="O46" s="1866" t="s">
        <v>1523</v>
      </c>
      <c r="P46" s="1867" t="s">
        <v>1524</v>
      </c>
      <c r="Q46" s="1868" t="s">
        <v>1525</v>
      </c>
      <c r="R46" s="1868" t="s">
        <v>1526</v>
      </c>
    </row>
    <row r="47" spans="1:18" s="1831" customFormat="1" ht="13.5" thickBot="1">
      <c r="A47" s="1161" t="s">
        <v>1397</v>
      </c>
      <c r="B47" s="1193" t="s">
        <v>1398</v>
      </c>
      <c r="C47" s="1193" t="s">
        <v>1399</v>
      </c>
      <c r="D47" s="1193" t="s">
        <v>1400</v>
      </c>
      <c r="E47" s="1275" t="s">
        <v>1401</v>
      </c>
      <c r="F47" s="1276"/>
      <c r="G47" s="785"/>
      <c r="I47" s="1869" t="s">
        <v>1527</v>
      </c>
      <c r="J47" s="1870" t="s">
        <v>3073</v>
      </c>
      <c r="K47" s="1871" t="s">
        <v>1528</v>
      </c>
      <c r="L47" s="1872">
        <f ca="1">INDIRECT("'数据-取费表'!d"&amp;$G$1)</f>
        <v>50</v>
      </c>
      <c r="M47" s="1827" t="str">
        <f>IF(ISNUMBER(FIND("住宅",C1)),"住宅","非住宅")</f>
        <v>非住宅</v>
      </c>
      <c r="O47" s="1873" t="s">
        <v>1040</v>
      </c>
      <c r="P47" s="1874" t="s">
        <v>1529</v>
      </c>
      <c r="Q47" s="1875">
        <f ca="1">C40+J29</f>
        <v>775711</v>
      </c>
      <c r="R47" s="1875" t="s">
        <v>1530</v>
      </c>
    </row>
    <row r="48" spans="1:18" s="1831" customFormat="1" ht="28.5" thickBot="1">
      <c r="A48" s="1349" t="s">
        <v>1135</v>
      </c>
      <c r="B48" s="345" t="s">
        <v>1402</v>
      </c>
      <c r="C48" s="1807">
        <f ca="1">C49+C53+C55</f>
        <v>0</v>
      </c>
      <c r="D48" s="1351"/>
      <c r="E48" s="1352"/>
      <c r="F48" s="1177"/>
      <c r="G48" s="785"/>
      <c r="H48" s="786"/>
      <c r="I48" s="1876" t="s">
        <v>1531</v>
      </c>
      <c r="J48" s="1877" t="s">
        <v>3074</v>
      </c>
      <c r="K48" s="1878" t="s">
        <v>1532</v>
      </c>
      <c r="L48" s="1879">
        <f ca="1">INDIRECT("'数据-取费表'!f"&amp;$G$1)</f>
        <v>32.700000000000003</v>
      </c>
      <c r="O48" s="1873" t="s">
        <v>1041</v>
      </c>
      <c r="P48" s="1874" t="s">
        <v>1533</v>
      </c>
      <c r="Q48" s="1875" t="str">
        <f ca="1">J60</f>
        <v>0</v>
      </c>
      <c r="R48" s="1875" t="s">
        <v>1534</v>
      </c>
    </row>
    <row r="49" spans="1:18" s="1831" customFormat="1" ht="13.5" thickBot="1">
      <c r="A49" s="1190" t="s">
        <v>1136</v>
      </c>
      <c r="B49" s="1818" t="s">
        <v>1491</v>
      </c>
      <c r="C49" s="1353">
        <f ca="1">ROUND(F49*F51*F50*(1-F52),0)</f>
        <v>0</v>
      </c>
      <c r="D49" s="1272" t="s">
        <v>1405</v>
      </c>
      <c r="E49" s="1819" t="s">
        <v>1492</v>
      </c>
      <c r="F49" s="1277"/>
      <c r="G49" s="1880"/>
      <c r="H49" s="786"/>
      <c r="I49" s="1876" t="s">
        <v>1535</v>
      </c>
      <c r="J49" s="1881"/>
      <c r="K49" s="1878" t="s">
        <v>1536</v>
      </c>
      <c r="L49" s="1882"/>
      <c r="O49" s="1883" t="s">
        <v>1042</v>
      </c>
      <c r="P49" s="1874" t="s">
        <v>1537</v>
      </c>
      <c r="Q49" s="1875">
        <f ca="1">C29</f>
        <v>181125</v>
      </c>
      <c r="R49" s="1875" t="s">
        <v>1530</v>
      </c>
    </row>
    <row r="50" spans="1:18" s="1831" customFormat="1" ht="13.5" thickBot="1">
      <c r="A50" s="1191"/>
      <c r="B50" s="1194"/>
      <c r="C50" s="1195"/>
      <c r="D50" s="1168"/>
      <c r="E50" s="1273" t="s">
        <v>1407</v>
      </c>
      <c r="F50" s="1274">
        <f ca="1">F7</f>
        <v>49.61</v>
      </c>
      <c r="H50" s="786"/>
      <c r="I50" s="1876" t="s">
        <v>1538</v>
      </c>
      <c r="J50" s="1884">
        <f>SUMPRODUCT((I63:I65=J47)*(J62:L62=J48)*(J63:L65))</f>
        <v>60</v>
      </c>
      <c r="K50" s="1878" t="s">
        <v>1539</v>
      </c>
      <c r="L50" s="1882"/>
      <c r="M50" s="1885"/>
      <c r="O50" s="1883" t="s">
        <v>1043</v>
      </c>
      <c r="P50" s="1874" t="s">
        <v>1540</v>
      </c>
      <c r="Q50" s="1886" t="e">
        <f ca="1">J58</f>
        <v>#VALUE!</v>
      </c>
      <c r="R50" s="1875"/>
    </row>
    <row r="51" spans="1:18" s="1831" customFormat="1" ht="13.5" thickBot="1">
      <c r="A51" s="1192"/>
      <c r="B51" s="1194"/>
      <c r="C51" s="1195"/>
      <c r="D51" s="1168"/>
      <c r="E51" s="1196" t="s">
        <v>1408</v>
      </c>
      <c r="F51" s="348">
        <f ca="1">F8</f>
        <v>365</v>
      </c>
      <c r="I51" s="1887" t="s">
        <v>1541</v>
      </c>
      <c r="J51" s="1888">
        <f>IF(J49="",J50,J49+J50-YEAR('数据-取费表'!B2))</f>
        <v>60</v>
      </c>
      <c r="K51" s="1889" t="s">
        <v>1542</v>
      </c>
      <c r="L51" s="1890">
        <f ca="1">ROUND(-PV(INDIRECT("'数据-取费表'!h"&amp;$G$1),L48,(C39-C13*C76),0),0)</f>
        <v>563458</v>
      </c>
      <c r="M51" s="1891"/>
      <c r="O51" s="1883" t="s">
        <v>1044</v>
      </c>
      <c r="P51" s="1874" t="s">
        <v>1543</v>
      </c>
      <c r="Q51" s="1886">
        <f>J52</f>
        <v>0</v>
      </c>
      <c r="R51" s="1875"/>
    </row>
    <row r="52" spans="1:18" s="1831" customFormat="1" ht="13.5" thickBot="1">
      <c r="A52" s="1192"/>
      <c r="B52" s="1194"/>
      <c r="C52" s="1195"/>
      <c r="D52" s="1168"/>
      <c r="E52" s="1196" t="s">
        <v>1409</v>
      </c>
      <c r="F52" s="1271"/>
      <c r="I52" s="1892" t="s">
        <v>1544</v>
      </c>
      <c r="J52" s="1893"/>
      <c r="K52" s="1892" t="s">
        <v>1545</v>
      </c>
      <c r="L52" s="1893"/>
      <c r="O52" s="1883" t="s">
        <v>1045</v>
      </c>
      <c r="P52" s="1874" t="s">
        <v>1546</v>
      </c>
      <c r="Q52" s="1875" t="b">
        <f>J53</f>
        <v>0</v>
      </c>
      <c r="R52" s="1875" t="s">
        <v>1547</v>
      </c>
    </row>
    <row r="53" spans="1:18" s="1831" customFormat="1" ht="30.75" customHeight="1" thickBot="1">
      <c r="A53" s="1350" t="s">
        <v>1137</v>
      </c>
      <c r="B53" s="365" t="s">
        <v>1410</v>
      </c>
      <c r="C53" s="361">
        <f ca="1">ROUND(IF(F53="押一",F49*F51*F50/12*F11,IF(F53="押二",F49*F51*F50/12*2*F11,IF(F53="押三",F49*F51*F50/12*3*F11,C54*F11))),0)</f>
        <v>0</v>
      </c>
      <c r="D53" s="1814" t="s">
        <v>1411</v>
      </c>
      <c r="E53" s="358" t="s">
        <v>1412</v>
      </c>
      <c r="F53" s="1355"/>
      <c r="I53" s="1894" t="s">
        <v>1548</v>
      </c>
      <c r="J53" s="1895" t="b">
        <f>IF(M47="住宅",J51,IF(D1="——",MIN(J51,L48),IF(D1="在建（套用方法）",MIN(J51,L48-'数据-取费表'!B24),IF(D1="土地（套用方法）",MIN(J51,L48-'数据-取费表'!B20)))))</f>
        <v>0</v>
      </c>
      <c r="K53" s="3260" t="s">
        <v>1549</v>
      </c>
      <c r="L53" s="3261"/>
      <c r="O53" s="1873" t="s">
        <v>1046</v>
      </c>
      <c r="P53" s="1874" t="s">
        <v>1550</v>
      </c>
      <c r="Q53" s="1875">
        <f ca="1">Q47+Q48</f>
        <v>775711</v>
      </c>
      <c r="R53" s="1875" t="s">
        <v>1047</v>
      </c>
    </row>
    <row r="54" spans="1:18" s="1831" customFormat="1" ht="13.5" thickBot="1">
      <c r="A54" s="1190"/>
      <c r="B54" s="1930" t="s">
        <v>1603</v>
      </c>
      <c r="C54" s="1174"/>
      <c r="D54" s="1814"/>
      <c r="E54" s="1821"/>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0"/>
      <c r="O54" s="1858" t="s">
        <v>1551</v>
      </c>
      <c r="P54" s="1828"/>
      <c r="Q54" s="1828"/>
      <c r="R54" s="1828"/>
    </row>
    <row r="55" spans="1:18" s="1831" customFormat="1" ht="13.5" thickBot="1">
      <c r="A55" s="1325" t="s">
        <v>1075</v>
      </c>
      <c r="B55" s="1816" t="s">
        <v>1414</v>
      </c>
      <c r="C55" s="1326"/>
      <c r="D55" s="1814"/>
      <c r="E55" s="1821"/>
      <c r="F55" s="1896"/>
      <c r="I55" s="1899" t="s">
        <v>1552</v>
      </c>
      <c r="J55" s="1900" t="e">
        <f ca="1">ROUND(IF(J47="钢混",J57/J50,1-(1-2%)*(J50-J57)/J50),3)</f>
        <v>#VALUE!</v>
      </c>
      <c r="K55" s="1901" t="s">
        <v>1553</v>
      </c>
      <c r="L55" s="1902"/>
      <c r="O55" s="1866" t="s">
        <v>1523</v>
      </c>
      <c r="P55" s="1867" t="s">
        <v>1524</v>
      </c>
      <c r="Q55" s="1868" t="s">
        <v>1525</v>
      </c>
      <c r="R55" s="1868" t="s">
        <v>1526</v>
      </c>
    </row>
    <row r="56" spans="1:18" s="1831" customFormat="1" ht="36" customHeight="1" thickTop="1" thickBot="1">
      <c r="A56" s="1172">
        <v>2</v>
      </c>
      <c r="B56" s="1173" t="s">
        <v>1415</v>
      </c>
      <c r="C56" s="276">
        <f ca="1">C13</f>
        <v>0</v>
      </c>
      <c r="D56" s="1903"/>
      <c r="E56" s="1904"/>
      <c r="F56" s="1896"/>
      <c r="I56" s="1905" t="s">
        <v>1554</v>
      </c>
      <c r="J56" s="1906" t="s">
        <v>3065</v>
      </c>
      <c r="K56" s="1876" t="s">
        <v>1555</v>
      </c>
      <c r="L56" s="1879" t="str">
        <f ca="1">IF(L48&lt;J51,"——",L48-J51)</f>
        <v>——</v>
      </c>
      <c r="O56" s="1873" t="s">
        <v>1040</v>
      </c>
      <c r="P56" s="1874" t="s">
        <v>1529</v>
      </c>
      <c r="Q56" s="1875">
        <f ca="1">C40+J29</f>
        <v>775711</v>
      </c>
      <c r="R56" s="1875" t="s">
        <v>1530</v>
      </c>
    </row>
    <row r="57" spans="1:18" s="1831" customFormat="1" ht="24.75" thickBot="1">
      <c r="A57" s="1907"/>
      <c r="B57" s="1165" t="s">
        <v>1479</v>
      </c>
      <c r="C57" s="282">
        <f ca="1">C29</f>
        <v>181125</v>
      </c>
      <c r="D57" s="1908"/>
      <c r="E57" s="1909"/>
      <c r="F57" s="1910"/>
      <c r="I57" s="1911" t="s">
        <v>1556</v>
      </c>
      <c r="J57" s="1912" t="str">
        <f ca="1">IF(OR(M47="住宅",J51&lt;L48,J56="是"),"——",J51-L48)</f>
        <v>——</v>
      </c>
      <c r="K57" s="1876" t="s">
        <v>1605</v>
      </c>
      <c r="L57" s="1879" t="str">
        <f ca="1">IF(L48&lt;J51,"——",IF(L55="比较法",L49,IF(L55="基准地价",L50,L51)))</f>
        <v>——</v>
      </c>
      <c r="O57" s="1873" t="s">
        <v>1041</v>
      </c>
      <c r="P57" s="1874" t="s">
        <v>1606</v>
      </c>
      <c r="Q57" s="1875">
        <f ca="1">L60</f>
        <v>0</v>
      </c>
      <c r="R57" s="1875" t="s">
        <v>1607</v>
      </c>
    </row>
    <row r="58" spans="1:18" s="1831" customFormat="1" ht="24.75" thickBot="1">
      <c r="A58" s="360" t="s">
        <v>1030</v>
      </c>
      <c r="B58" s="1173" t="s">
        <v>1425</v>
      </c>
      <c r="C58" s="361">
        <f ca="1">ROUND(C59+C64+C65+C66,0)</f>
        <v>4325</v>
      </c>
      <c r="D58" s="1175" t="s">
        <v>1426</v>
      </c>
      <c r="E58" s="1176"/>
      <c r="F58" s="1177"/>
      <c r="I58" s="1911" t="s">
        <v>1560</v>
      </c>
      <c r="J58" s="1913" t="e">
        <f ca="1">IF(J55&lt;0.4,0.4,J55)</f>
        <v>#VALUE!</v>
      </c>
      <c r="K58" s="1889" t="s">
        <v>1608</v>
      </c>
      <c r="L58" s="1879" t="e">
        <f ca="1">ROUND(POWER(1+L52,L47-L48)*(POWER(1+L52,L48)-1)/(POWER(1+L52,L47)-1),4)</f>
        <v>#DIV/0!</v>
      </c>
      <c r="O58" s="1883" t="s">
        <v>1042</v>
      </c>
      <c r="P58" s="1874" t="s">
        <v>1562</v>
      </c>
      <c r="Q58" s="1875">
        <f>IF(L55="比较法",L49,IF(L55="基准地价",L50,0))</f>
        <v>0</v>
      </c>
      <c r="R58" s="1875" t="s">
        <v>1530</v>
      </c>
    </row>
    <row r="59" spans="1:18" s="1831" customFormat="1" ht="24.75" thickBot="1">
      <c r="A59" s="1197" t="s">
        <v>1035</v>
      </c>
      <c r="B59" s="1165" t="s">
        <v>1430</v>
      </c>
      <c r="C59" s="24">
        <f ca="1">ROUND(IF(项目基本情况!B11="自然人",C48*F59,C60+C61+C62),0)</f>
        <v>1608</v>
      </c>
      <c r="D59" s="1178" t="s">
        <v>1431</v>
      </c>
      <c r="E59" s="1179" t="s">
        <v>1432</v>
      </c>
      <c r="F59" s="364" t="str">
        <f ca="1">IF(项目基本情况!B11="企业","",IF(INDIRECT("'数据-取费表'!c"&amp;$G$1)="住宅",5%,IF(F49*F50*F51/12/(1+'数据-取费表'!C42)&gt;20000,12%,7%)))</f>
        <v/>
      </c>
      <c r="I59" s="1911" t="s">
        <v>1563</v>
      </c>
      <c r="J59" s="1912"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3" t="s">
        <v>1043</v>
      </c>
      <c r="P59" s="1874" t="s">
        <v>1564</v>
      </c>
      <c r="Q59" s="1886">
        <f>L52</f>
        <v>0</v>
      </c>
      <c r="R59" s="1875"/>
    </row>
    <row r="60" spans="1:18" s="1831" customFormat="1" ht="16.5" thickBot="1">
      <c r="A60" s="1197" t="s">
        <v>1034</v>
      </c>
      <c r="B60" s="1165" t="s">
        <v>1434</v>
      </c>
      <c r="C60" s="24">
        <f ca="1">IF(项目基本情况!B11="自然人","——",ROUND(C48*F60/(1+'数据-取费表'!C42),0))</f>
        <v>0</v>
      </c>
      <c r="D60" s="1179" t="s">
        <v>1435</v>
      </c>
      <c r="E60" s="1165" t="s">
        <v>1423</v>
      </c>
      <c r="F60" s="373">
        <f t="shared" ref="F60:F66" si="0">F32</f>
        <v>6.2719999999999998E-2</v>
      </c>
      <c r="I60" s="1914" t="s">
        <v>1565</v>
      </c>
      <c r="J60" s="1915" t="str">
        <f ca="1">IF(OR(M47="住宅",J51&lt;L48,J56="是"),"0",ROUND(J59/(1+J52)^J53,0))</f>
        <v>0</v>
      </c>
      <c r="K60" s="1916" t="s">
        <v>1566</v>
      </c>
      <c r="L60" s="1915">
        <f ca="1">IF(OR(M47="住宅",L48&lt;J51),0,ROUND(L57*(L58/L59-1),0))</f>
        <v>0</v>
      </c>
      <c r="O60" s="1883" t="s">
        <v>1044</v>
      </c>
      <c r="P60" s="1874" t="s">
        <v>1567</v>
      </c>
      <c r="Q60" s="1875" t="e">
        <f ca="1">L58</f>
        <v>#DIV/0!</v>
      </c>
      <c r="R60" s="1875" t="s">
        <v>1568</v>
      </c>
    </row>
    <row r="61" spans="1:18" s="1831" customFormat="1" ht="13.5" thickBot="1">
      <c r="A61" s="1197" t="s">
        <v>1493</v>
      </c>
      <c r="B61" s="1165" t="s">
        <v>1494</v>
      </c>
      <c r="C61" s="24">
        <f ca="1">IF(项目基本情况!B11="自然人","——",IF(D61="按租金收入计税",ROUND(C48*F61,0),IF(D61="按房产原值计税",ROUND(C57*F61*0.7,0),INDIRECT("'数据-取费表'!Aj"&amp;$G$1))))</f>
        <v>1521</v>
      </c>
      <c r="D61" s="1817" t="s">
        <v>1439</v>
      </c>
      <c r="E61" s="1165" t="s">
        <v>1495</v>
      </c>
      <c r="F61" s="363">
        <f t="shared" si="0"/>
        <v>1.2E-2</v>
      </c>
      <c r="I61" s="1917"/>
      <c r="J61" s="1917"/>
      <c r="K61" s="1917"/>
      <c r="L61" s="1917"/>
      <c r="O61" s="1883" t="s">
        <v>1045</v>
      </c>
      <c r="P61" s="1874" t="str">
        <f>K59</f>
        <v>建设期及建筑物耐用年限下的土地年期修正系数Kn</v>
      </c>
      <c r="Q61" s="1875" t="e">
        <f ca="1">L59</f>
        <v>#DIV/0!</v>
      </c>
      <c r="R61" s="1875" t="s">
        <v>1569</v>
      </c>
    </row>
    <row r="62" spans="1:18" s="1831" customFormat="1" ht="13.5" thickBot="1">
      <c r="A62" s="1197" t="s">
        <v>1496</v>
      </c>
      <c r="B62" s="1164" t="s">
        <v>1497</v>
      </c>
      <c r="C62" s="25">
        <f ca="1">IF(项目基本情况!B11="自然人","——",ROUND(F62*F63,0))</f>
        <v>87</v>
      </c>
      <c r="D62" s="1180" t="s">
        <v>1498</v>
      </c>
      <c r="E62" s="1165" t="s">
        <v>1499</v>
      </c>
      <c r="F62" s="367">
        <f t="shared" si="0"/>
        <v>10</v>
      </c>
      <c r="I62" s="1918" t="s">
        <v>1570</v>
      </c>
      <c r="J62" s="1919" t="s">
        <v>1571</v>
      </c>
      <c r="K62" s="1919" t="s">
        <v>1572</v>
      </c>
      <c r="L62" s="1919" t="s">
        <v>1573</v>
      </c>
      <c r="M62" s="1920" t="s">
        <v>1574</v>
      </c>
      <c r="O62" s="1873" t="s">
        <v>1046</v>
      </c>
      <c r="P62" s="1874" t="s">
        <v>1575</v>
      </c>
      <c r="Q62" s="1875">
        <f ca="1">Q56+Q57</f>
        <v>775711</v>
      </c>
      <c r="R62" s="1875" t="s">
        <v>1047</v>
      </c>
    </row>
    <row r="63" spans="1:18" s="1831" customFormat="1" ht="13.5" thickBot="1">
      <c r="A63" s="368"/>
      <c r="B63" s="1171"/>
      <c r="C63" s="29"/>
      <c r="D63" s="1181"/>
      <c r="E63" s="1165" t="s">
        <v>1500</v>
      </c>
      <c r="F63" s="348">
        <f t="shared" ca="1" si="0"/>
        <v>8.7100000000000009</v>
      </c>
      <c r="I63" s="1918" t="s">
        <v>1576</v>
      </c>
      <c r="J63" s="1919">
        <v>70</v>
      </c>
      <c r="K63" s="1919">
        <v>50</v>
      </c>
      <c r="L63" s="1919">
        <v>80</v>
      </c>
      <c r="M63" s="1921">
        <v>0.02</v>
      </c>
      <c r="O63" s="1858" t="s">
        <v>1577</v>
      </c>
      <c r="P63" s="1828"/>
      <c r="Q63" s="1828"/>
      <c r="R63" s="1828"/>
    </row>
    <row r="64" spans="1:18" s="1831" customFormat="1" ht="13.5" thickBot="1">
      <c r="A64" s="1197" t="s">
        <v>1501</v>
      </c>
      <c r="B64" s="1165" t="s">
        <v>1502</v>
      </c>
      <c r="C64" s="24">
        <f ca="1">ROUND(C57*F64,0)</f>
        <v>2717</v>
      </c>
      <c r="D64" s="1179" t="s">
        <v>1503</v>
      </c>
      <c r="E64" s="1165" t="s">
        <v>1495</v>
      </c>
      <c r="F64" s="370">
        <f t="shared" ca="1" si="0"/>
        <v>1.4999999999999999E-2</v>
      </c>
      <c r="I64" s="1918" t="s">
        <v>1578</v>
      </c>
      <c r="J64" s="1919">
        <v>50</v>
      </c>
      <c r="K64" s="1919">
        <v>35</v>
      </c>
      <c r="L64" s="1919">
        <v>60</v>
      </c>
      <c r="M64" s="1920">
        <v>0</v>
      </c>
      <c r="O64" s="1866" t="s">
        <v>1523</v>
      </c>
      <c r="P64" s="1867" t="s">
        <v>1524</v>
      </c>
      <c r="Q64" s="1868" t="s">
        <v>1525</v>
      </c>
      <c r="R64" s="1868" t="s">
        <v>1526</v>
      </c>
    </row>
    <row r="65" spans="1:18" s="1831" customFormat="1" ht="13.5" thickBot="1">
      <c r="A65" s="1197" t="s">
        <v>1504</v>
      </c>
      <c r="B65" s="1165" t="s">
        <v>1454</v>
      </c>
      <c r="C65" s="24">
        <f ca="1">ROUND(C56*F65,0)</f>
        <v>0</v>
      </c>
      <c r="D65" s="1179" t="s">
        <v>1455</v>
      </c>
      <c r="E65" s="1165" t="s">
        <v>1456</v>
      </c>
      <c r="F65" s="372">
        <f t="shared" ca="1" si="0"/>
        <v>2E-3</v>
      </c>
      <c r="I65" s="1918" t="s">
        <v>1579</v>
      </c>
      <c r="J65" s="1919">
        <v>40</v>
      </c>
      <c r="K65" s="1919">
        <v>30</v>
      </c>
      <c r="L65" s="1919">
        <v>50</v>
      </c>
      <c r="M65" s="1921">
        <v>0.02</v>
      </c>
      <c r="O65" s="1873" t="s">
        <v>1040</v>
      </c>
      <c r="P65" s="1874" t="s">
        <v>1580</v>
      </c>
      <c r="Q65" s="1875">
        <f ca="1">C40+J29</f>
        <v>775711</v>
      </c>
      <c r="R65" s="1875" t="s">
        <v>1530</v>
      </c>
    </row>
    <row r="66" spans="1:18" s="1831" customFormat="1" ht="16.5" thickBot="1">
      <c r="A66" s="1197" t="s">
        <v>1505</v>
      </c>
      <c r="B66" s="1165" t="s">
        <v>1440</v>
      </c>
      <c r="C66" s="24">
        <f ca="1">ROUND(C48*F66,0)</f>
        <v>0</v>
      </c>
      <c r="D66" s="1179" t="s">
        <v>1506</v>
      </c>
      <c r="E66" s="1165" t="s">
        <v>1423</v>
      </c>
      <c r="F66" s="357">
        <f t="shared" ca="1" si="0"/>
        <v>0.02</v>
      </c>
      <c r="O66" s="1873" t="s">
        <v>1041</v>
      </c>
      <c r="P66" s="1874" t="s">
        <v>1558</v>
      </c>
      <c r="Q66" s="1875">
        <f ca="1">L60</f>
        <v>0</v>
      </c>
      <c r="R66" s="1875" t="s">
        <v>1581</v>
      </c>
    </row>
    <row r="67" spans="1:18" s="1831" customFormat="1" ht="16.5" thickBot="1">
      <c r="A67" s="1172" t="s">
        <v>1031</v>
      </c>
      <c r="B67" s="1182" t="s">
        <v>1464</v>
      </c>
      <c r="C67" s="361">
        <f ca="1">C48-C58</f>
        <v>-4325</v>
      </c>
      <c r="D67" s="1178" t="s">
        <v>1465</v>
      </c>
      <c r="E67" s="1183"/>
      <c r="F67" s="1184"/>
      <c r="O67" s="1883" t="s">
        <v>1042</v>
      </c>
      <c r="P67" s="1874" t="s">
        <v>1562</v>
      </c>
      <c r="Q67" s="1922">
        <f ca="1">L51</f>
        <v>563458</v>
      </c>
      <c r="R67" s="1875" t="s">
        <v>1582</v>
      </c>
    </row>
    <row r="68" spans="1:18" s="1831" customFormat="1" ht="16.5" thickBot="1">
      <c r="A68" s="1162" t="s">
        <v>1032</v>
      </c>
      <c r="B68" s="1163" t="s">
        <v>1486</v>
      </c>
      <c r="C68" s="346">
        <f ca="1">ROUND(C67*(1-((1+F70)/(1+F68))^F69)/(F68-F70),0)</f>
        <v>-100946</v>
      </c>
      <c r="D68" s="1180" t="s">
        <v>1470</v>
      </c>
      <c r="E68" s="1165" t="s">
        <v>1471</v>
      </c>
      <c r="F68" s="357">
        <f ca="1">F40</f>
        <v>0.05</v>
      </c>
      <c r="O68" s="1883" t="s">
        <v>1043</v>
      </c>
      <c r="P68" s="1923" t="s">
        <v>1583</v>
      </c>
      <c r="Q68" s="1875">
        <f ca="1">ROUND(Q69-Q70*Q71,0)</f>
        <v>33235</v>
      </c>
      <c r="R68" s="1875" t="s">
        <v>1051</v>
      </c>
    </row>
    <row r="69" spans="1:18" s="1831" customFormat="1" ht="13.5" thickBot="1">
      <c r="A69" s="1166"/>
      <c r="B69" s="1167"/>
      <c r="C69" s="351"/>
      <c r="D69" s="1185" t="s">
        <v>1474</v>
      </c>
      <c r="E69" s="1165" t="s">
        <v>1475</v>
      </c>
      <c r="F69" s="375">
        <f ca="1">F41</f>
        <v>32.700000000000003</v>
      </c>
      <c r="O69" s="1883" t="s">
        <v>1048</v>
      </c>
      <c r="P69" s="1923" t="s">
        <v>1584</v>
      </c>
      <c r="Q69" s="1875">
        <f ca="1">C39</f>
        <v>33235</v>
      </c>
      <c r="R69" s="1875" t="s">
        <v>1530</v>
      </c>
    </row>
    <row r="70" spans="1:18" s="1831" customFormat="1" ht="13.5" thickBot="1">
      <c r="A70" s="1169"/>
      <c r="B70" s="1170"/>
      <c r="C70" s="355"/>
      <c r="D70" s="1181"/>
      <c r="E70" s="1165" t="s">
        <v>1478</v>
      </c>
      <c r="F70" s="1271">
        <f ca="1">F42</f>
        <v>0.03</v>
      </c>
      <c r="O70" s="1883" t="s">
        <v>1049</v>
      </c>
      <c r="P70" s="1923" t="s">
        <v>1585</v>
      </c>
      <c r="Q70" s="1875">
        <f ca="1">C13</f>
        <v>0</v>
      </c>
      <c r="R70" s="1875" t="s">
        <v>1530</v>
      </c>
    </row>
    <row r="71" spans="1:18" s="1831" customFormat="1" ht="13.5" thickBot="1">
      <c r="A71" s="1186" t="s">
        <v>1033</v>
      </c>
      <c r="B71" s="1187" t="s">
        <v>1488</v>
      </c>
      <c r="C71" s="378">
        <f ca="1">ROUND(C68/F71,0)</f>
        <v>-2035</v>
      </c>
      <c r="D71" s="1188" t="s">
        <v>1489</v>
      </c>
      <c r="E71" s="1189" t="s">
        <v>1490</v>
      </c>
      <c r="F71" s="381">
        <f ca="1">F43</f>
        <v>49.61</v>
      </c>
      <c r="O71" s="1883" t="s">
        <v>1050</v>
      </c>
      <c r="P71" s="1923" t="s">
        <v>1586</v>
      </c>
      <c r="Q71" s="1886">
        <f ca="1">C76</f>
        <v>8.5000000000000006E-2</v>
      </c>
      <c r="R71" s="1875"/>
    </row>
    <row r="72" spans="1:18" s="1831" customFormat="1" ht="13.5" thickBot="1">
      <c r="B72" s="789"/>
      <c r="C72" s="789"/>
      <c r="O72" s="1883" t="s">
        <v>1044</v>
      </c>
      <c r="P72" s="1874" t="s">
        <v>1564</v>
      </c>
      <c r="Q72" s="1886">
        <f>L52</f>
        <v>0</v>
      </c>
      <c r="R72" s="1875"/>
    </row>
    <row r="73" spans="1:18" ht="16.5" thickBot="1">
      <c r="A73" s="1831"/>
      <c r="B73" s="789"/>
      <c r="C73" s="789"/>
      <c r="D73" s="1831"/>
      <c r="E73" s="1831"/>
      <c r="F73" s="1831"/>
      <c r="O73" s="1883" t="s">
        <v>1045</v>
      </c>
      <c r="P73" s="1874" t="s">
        <v>1567</v>
      </c>
      <c r="Q73" s="1875" t="e">
        <f ca="1">L58</f>
        <v>#DIV/0!</v>
      </c>
      <c r="R73" s="1875" t="s">
        <v>1568</v>
      </c>
    </row>
    <row r="74" spans="1:18" ht="13.5" thickBot="1">
      <c r="A74" s="1831"/>
      <c r="B74" s="317" t="s">
        <v>1587</v>
      </c>
      <c r="C74" s="1925"/>
      <c r="D74" s="1831"/>
      <c r="E74" s="1831"/>
      <c r="F74" s="1831"/>
      <c r="O74" s="1883" t="s">
        <v>1052</v>
      </c>
      <c r="P74" s="1874" t="str">
        <f>K59</f>
        <v>建设期及建筑物耐用年限下的土地年期修正系数Kn</v>
      </c>
      <c r="Q74" s="1875" t="e">
        <f ca="1">L59</f>
        <v>#DIV/0!</v>
      </c>
      <c r="R74" s="1875" t="s">
        <v>1569</v>
      </c>
    </row>
    <row r="75" spans="1:18" ht="13.5" thickBot="1">
      <c r="A75" s="1831"/>
      <c r="B75" s="382" t="s">
        <v>1507</v>
      </c>
      <c r="C75" s="383">
        <f ca="1">ROUND(C13*C76,0)</f>
        <v>0</v>
      </c>
      <c r="D75" s="1831"/>
      <c r="E75" s="1831"/>
      <c r="F75" s="1831"/>
      <c r="K75" s="1857"/>
      <c r="L75" s="1831"/>
      <c r="O75" s="1873" t="s">
        <v>1046</v>
      </c>
      <c r="P75" s="1874" t="s">
        <v>1550</v>
      </c>
      <c r="Q75" s="1875">
        <f ca="1">Q65+Q66</f>
        <v>775711</v>
      </c>
      <c r="R75" s="1875" t="s">
        <v>1047</v>
      </c>
    </row>
    <row r="76" spans="1:18">
      <c r="B76" s="384" t="s">
        <v>1508</v>
      </c>
      <c r="C76" s="385">
        <f ca="1">INDIRECT("'数据-取费表'!j"&amp;$G$1)</f>
        <v>8.5000000000000006E-2</v>
      </c>
      <c r="I76" s="1831"/>
      <c r="J76" s="1831"/>
      <c r="K76" s="1857"/>
      <c r="L76" s="1831"/>
    </row>
    <row r="77" spans="1:18">
      <c r="B77" s="386" t="s">
        <v>1509</v>
      </c>
      <c r="C77" s="387"/>
      <c r="I77" s="1831"/>
      <c r="J77" s="1831"/>
      <c r="K77" s="1857"/>
      <c r="L77" s="1831"/>
    </row>
    <row r="78" spans="1:18">
      <c r="B78" s="314" t="s">
        <v>1510</v>
      </c>
      <c r="C78" s="388"/>
    </row>
    <row r="79" spans="1:18">
      <c r="B79" s="382" t="s">
        <v>1511</v>
      </c>
      <c r="C79" s="318">
        <f ca="1">1-C80</f>
        <v>1</v>
      </c>
    </row>
    <row r="80" spans="1:18">
      <c r="B80" s="382" t="s">
        <v>1512</v>
      </c>
      <c r="C80" s="318">
        <f ca="1">ROUND(C75/C39,3)</f>
        <v>0</v>
      </c>
    </row>
    <row r="81" spans="2:3">
      <c r="B81" s="314" t="s">
        <v>1513</v>
      </c>
      <c r="C81" s="282"/>
    </row>
    <row r="82" spans="2:3">
      <c r="B82" s="317" t="s">
        <v>1514</v>
      </c>
      <c r="C82" s="319">
        <f ca="1">1-C83</f>
        <v>1</v>
      </c>
    </row>
    <row r="83" spans="2:3">
      <c r="B83" s="317" t="s">
        <v>1515</v>
      </c>
      <c r="C83" s="318">
        <f ca="1">ROUND(C13/C40,3)</f>
        <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2" priority="4">
      <formula>$L$48&gt;$J$51</formula>
    </cfRule>
  </conditionalFormatting>
  <conditionalFormatting sqref="I55 I60">
    <cfRule type="expression" dxfId="91"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34" customWidth="1"/>
    <col min="2" max="2" width="12" style="1934" customWidth="1"/>
    <col min="3" max="3" width="9" style="1934"/>
    <col min="4" max="4" width="14.125" style="1934" customWidth="1"/>
    <col min="5" max="5" width="9" style="1934"/>
    <col min="6" max="6" width="12.875" style="1934" customWidth="1"/>
    <col min="7" max="16384" width="9" style="1934"/>
  </cols>
  <sheetData>
    <row r="1" spans="1:6" ht="21">
      <c r="A1" s="2548" t="s">
        <v>2523</v>
      </c>
      <c r="B1" s="2549"/>
      <c r="C1" s="2549"/>
      <c r="D1" s="2549"/>
      <c r="E1" s="2550"/>
    </row>
    <row r="2" spans="1:6" ht="15.75">
      <c r="A2" s="2551" t="s">
        <v>2324</v>
      </c>
      <c r="B2" s="2552">
        <f ca="1">SUMIF(B6:B13,"&lt;&gt;#ref!",B6:B13)</f>
        <v>70</v>
      </c>
      <c r="C2" s="2553" t="s">
        <v>2516</v>
      </c>
      <c r="D2" s="2554" t="s">
        <v>2517</v>
      </c>
      <c r="E2" s="2555">
        <f>SUM(E6:E13)</f>
        <v>49.61</v>
      </c>
    </row>
    <row r="3" spans="1:6" ht="15.75">
      <c r="A3" s="2551" t="s">
        <v>1396</v>
      </c>
      <c r="B3" s="2552">
        <f ca="1">ROUND(B2*10000/E2,0)</f>
        <v>14110</v>
      </c>
      <c r="C3" s="2553" t="s">
        <v>2524</v>
      </c>
      <c r="D3" s="2556"/>
      <c r="E3" s="2557"/>
    </row>
    <row r="4" spans="1:6" ht="15.75">
      <c r="A4" s="2558"/>
      <c r="B4" s="2556"/>
      <c r="C4" s="2556"/>
      <c r="D4" s="2556"/>
      <c r="E4" s="2557"/>
    </row>
    <row r="5" spans="1:6" ht="15">
      <c r="A5" s="2559" t="s">
        <v>2518</v>
      </c>
      <c r="B5" s="3265" t="s">
        <v>2519</v>
      </c>
      <c r="C5" s="3265"/>
      <c r="D5" s="2560"/>
      <c r="E5" s="2561" t="s">
        <v>2520</v>
      </c>
      <c r="F5" s="2562" t="s">
        <v>2521</v>
      </c>
    </row>
    <row r="6" spans="1:6">
      <c r="A6" s="2563" t="str">
        <f>'数据-取费表'!AN6</f>
        <v>收益法</v>
      </c>
      <c r="B6" s="2562">
        <f ca="1">IF(F6="是",'数据-取费表'!AO6,0)</f>
        <v>70</v>
      </c>
      <c r="C6" s="2553" t="s">
        <v>2516</v>
      </c>
      <c r="D6" s="2556"/>
      <c r="E6" s="2564">
        <f>IF(OR(A6=0,F6="否"),0,'数据-取费表'!K6+'数据-取费表'!S6)</f>
        <v>49.61</v>
      </c>
      <c r="F6" s="2565" t="s">
        <v>2522</v>
      </c>
    </row>
    <row r="7" spans="1:6">
      <c r="A7" s="2563">
        <f>'数据-取费表'!AN7</f>
        <v>0</v>
      </c>
      <c r="B7" s="2562" t="e">
        <f ca="1">IF(F7="是",'数据-取费表'!AO7,0)</f>
        <v>#REF!</v>
      </c>
      <c r="C7" s="2553" t="s">
        <v>2516</v>
      </c>
      <c r="D7" s="2556"/>
      <c r="E7" s="2564">
        <f>IF(OR(A7=0,F7="否"),0,'数据-取费表'!K7+'数据-取费表'!S7)</f>
        <v>0</v>
      </c>
      <c r="F7" s="2565" t="s">
        <v>2522</v>
      </c>
    </row>
    <row r="8" spans="1:6">
      <c r="A8" s="2563">
        <f>'数据-取费表'!AN8</f>
        <v>0</v>
      </c>
      <c r="B8" s="2562" t="e">
        <f ca="1">IF(F8="是",'数据-取费表'!AO8,0)</f>
        <v>#REF!</v>
      </c>
      <c r="C8" s="2553" t="s">
        <v>2516</v>
      </c>
      <c r="D8" s="2556"/>
      <c r="E8" s="2564">
        <f>IF(OR(A8=0,F8="否"),0,'数据-取费表'!K8+'数据-取费表'!S8)</f>
        <v>0</v>
      </c>
      <c r="F8" s="2565" t="s">
        <v>2522</v>
      </c>
    </row>
    <row r="9" spans="1:6">
      <c r="A9" s="2563">
        <f>'数据-取费表'!AN9</f>
        <v>0</v>
      </c>
      <c r="B9" s="2562" t="e">
        <f ca="1">IF(F9="是",'数据-取费表'!AO9,0)</f>
        <v>#REF!</v>
      </c>
      <c r="C9" s="2553" t="s">
        <v>2516</v>
      </c>
      <c r="D9" s="2556"/>
      <c r="E9" s="2564">
        <f>IF(OR(A9=0,F9="否"),0,'数据-取费表'!K9+'数据-取费表'!S9)</f>
        <v>0</v>
      </c>
      <c r="F9" s="2565" t="s">
        <v>2522</v>
      </c>
    </row>
    <row r="10" spans="1:6">
      <c r="A10" s="2563">
        <f>'数据-取费表'!AN10</f>
        <v>0</v>
      </c>
      <c r="B10" s="2562" t="e">
        <f ca="1">IF(F10="是",'数据-取费表'!AO10,0)</f>
        <v>#REF!</v>
      </c>
      <c r="C10" s="2553" t="s">
        <v>2516</v>
      </c>
      <c r="D10" s="2556"/>
      <c r="E10" s="2564">
        <f>IF(OR(A10=0,F10="否"),0,'数据-取费表'!K10+'数据-取费表'!S10)</f>
        <v>0</v>
      </c>
      <c r="F10" s="2565" t="s">
        <v>2522</v>
      </c>
    </row>
    <row r="11" spans="1:6">
      <c r="A11" s="2563">
        <f>'数据-取费表'!AN11</f>
        <v>0</v>
      </c>
      <c r="B11" s="2562" t="e">
        <f ca="1">IF(F11="是",'数据-取费表'!AO11,0)</f>
        <v>#REF!</v>
      </c>
      <c r="C11" s="2553" t="s">
        <v>2516</v>
      </c>
      <c r="D11" s="2556"/>
      <c r="E11" s="2564">
        <f>IF(OR(A11=0,F11="否"),0,'数据-取费表'!K11+'数据-取费表'!S11)</f>
        <v>0</v>
      </c>
      <c r="F11" s="2565" t="s">
        <v>2522</v>
      </c>
    </row>
    <row r="12" spans="1:6">
      <c r="A12" s="2563">
        <f>'数据-取费表'!AN12</f>
        <v>0</v>
      </c>
      <c r="B12" s="2562" t="e">
        <f ca="1">IF(F12="是",'数据-取费表'!AO12,0)</f>
        <v>#REF!</v>
      </c>
      <c r="C12" s="2553" t="s">
        <v>2516</v>
      </c>
      <c r="D12" s="2556"/>
      <c r="E12" s="2564">
        <f>IF(OR(A12=0,F12="否"),0,'数据-取费表'!K12+'数据-取费表'!S12)</f>
        <v>0</v>
      </c>
      <c r="F12" s="2565" t="s">
        <v>2522</v>
      </c>
    </row>
    <row r="13" spans="1:6" ht="15" thickBot="1">
      <c r="A13" s="2566">
        <f>'数据-取费表'!AN13</f>
        <v>0</v>
      </c>
      <c r="B13" s="2562" t="e">
        <f ca="1">IF(F13="是",'数据-取费表'!AO13,0)</f>
        <v>#REF!</v>
      </c>
      <c r="C13" s="2567" t="s">
        <v>2516</v>
      </c>
      <c r="D13" s="2568"/>
      <c r="E13" s="2564">
        <f>IF(OR(A13=0,F13="否"),0,'数据-取费表'!K13+'数据-取费表'!S13)</f>
        <v>0</v>
      </c>
      <c r="F13" s="2565" t="s">
        <v>2522</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6" t="s">
        <v>1076</v>
      </c>
      <c r="B1" s="3267"/>
      <c r="C1" s="3268"/>
      <c r="D1" s="3269">
        <f>SUM(I10,I15,I20,I21,I23)</f>
        <v>0</v>
      </c>
      <c r="E1" s="3269"/>
      <c r="F1" s="3269"/>
      <c r="G1" s="3269"/>
      <c r="H1" s="3269"/>
      <c r="I1" s="3270"/>
    </row>
    <row r="2" spans="1:9">
      <c r="A2" s="3271" t="s">
        <v>1077</v>
      </c>
      <c r="B2" s="3272" t="s">
        <v>1078</v>
      </c>
      <c r="C2" s="3272"/>
      <c r="D2" s="1295" t="s">
        <v>1079</v>
      </c>
      <c r="E2" s="1295" t="s">
        <v>1080</v>
      </c>
      <c r="F2" s="1295" t="s">
        <v>1081</v>
      </c>
      <c r="G2" s="1295" t="s">
        <v>1082</v>
      </c>
      <c r="H2" s="1295" t="s">
        <v>1083</v>
      </c>
      <c r="I2" s="1296" t="s">
        <v>1084</v>
      </c>
    </row>
    <row r="3" spans="1:9">
      <c r="A3" s="3271"/>
      <c r="B3" s="3272" t="s">
        <v>1085</v>
      </c>
      <c r="C3" s="3272"/>
      <c r="D3" s="1297"/>
      <c r="E3" s="1295"/>
      <c r="F3" s="1298"/>
      <c r="G3" s="1298"/>
      <c r="H3" s="1299"/>
      <c r="I3" s="1300">
        <f>ROUND(D3*E3*F3*G3*H3/10000,0)</f>
        <v>0</v>
      </c>
    </row>
    <row r="4" spans="1:9">
      <c r="A4" s="3271"/>
      <c r="B4" s="3272" t="s">
        <v>1086</v>
      </c>
      <c r="C4" s="3272"/>
      <c r="D4" s="1297"/>
      <c r="E4" s="1295"/>
      <c r="F4" s="1298"/>
      <c r="G4" s="1298"/>
      <c r="H4" s="1299"/>
      <c r="I4" s="1300">
        <f t="shared" ref="I4:I9" si="0">ROUND(D4*E4*F4*G4*H4/10000,0)</f>
        <v>0</v>
      </c>
    </row>
    <row r="5" spans="1:9">
      <c r="A5" s="3271"/>
      <c r="B5" s="3272" t="s">
        <v>1087</v>
      </c>
      <c r="C5" s="3272"/>
      <c r="D5" s="1297"/>
      <c r="E5" s="1295"/>
      <c r="F5" s="1298"/>
      <c r="G5" s="1298"/>
      <c r="H5" s="1299"/>
      <c r="I5" s="1300">
        <f t="shared" si="0"/>
        <v>0</v>
      </c>
    </row>
    <row r="6" spans="1:9">
      <c r="A6" s="3271"/>
      <c r="B6" s="3272" t="s">
        <v>1088</v>
      </c>
      <c r="C6" s="3272"/>
      <c r="D6" s="1297"/>
      <c r="E6" s="1295"/>
      <c r="F6" s="1298"/>
      <c r="G6" s="1298"/>
      <c r="H6" s="1299"/>
      <c r="I6" s="1300">
        <f t="shared" si="0"/>
        <v>0</v>
      </c>
    </row>
    <row r="7" spans="1:9">
      <c r="A7" s="3271"/>
      <c r="B7" s="3272" t="s">
        <v>1089</v>
      </c>
      <c r="C7" s="3272"/>
      <c r="D7" s="1297"/>
      <c r="E7" s="1295"/>
      <c r="F7" s="1298"/>
      <c r="G7" s="1298"/>
      <c r="H7" s="1299"/>
      <c r="I7" s="1300">
        <f t="shared" si="0"/>
        <v>0</v>
      </c>
    </row>
    <row r="8" spans="1:9">
      <c r="A8" s="3271"/>
      <c r="B8" s="3272" t="s">
        <v>1090</v>
      </c>
      <c r="C8" s="3272"/>
      <c r="D8" s="1297"/>
      <c r="E8" s="1295"/>
      <c r="F8" s="1298"/>
      <c r="G8" s="1298"/>
      <c r="H8" s="1299"/>
      <c r="I8" s="1300">
        <f t="shared" si="0"/>
        <v>0</v>
      </c>
    </row>
    <row r="9" spans="1:9">
      <c r="A9" s="3271"/>
      <c r="B9" s="3272" t="s">
        <v>1091</v>
      </c>
      <c r="C9" s="3272"/>
      <c r="D9" s="1297"/>
      <c r="E9" s="1295"/>
      <c r="F9" s="1298"/>
      <c r="G9" s="1298"/>
      <c r="H9" s="1299"/>
      <c r="I9" s="1300">
        <f t="shared" si="0"/>
        <v>0</v>
      </c>
    </row>
    <row r="10" spans="1:9">
      <c r="A10" s="3271"/>
      <c r="B10" s="3273" t="s">
        <v>1092</v>
      </c>
      <c r="C10" s="3273"/>
      <c r="D10" s="1301"/>
      <c r="E10" s="1301" t="e">
        <f>ROUND(D1*10000/D10/H9,0)</f>
        <v>#DIV/0!</v>
      </c>
      <c r="F10" s="1302"/>
      <c r="G10" s="1302"/>
      <c r="H10" s="1303"/>
      <c r="I10" s="1304">
        <f>SUM(I3:I9)</f>
        <v>0</v>
      </c>
    </row>
    <row r="11" spans="1:9" ht="14.25">
      <c r="A11" s="3271" t="s">
        <v>1093</v>
      </c>
      <c r="B11" s="3272" t="s">
        <v>1094</v>
      </c>
      <c r="C11" s="3272"/>
      <c r="D11" s="1297" t="s">
        <v>1095</v>
      </c>
      <c r="E11" s="1297" t="s">
        <v>1096</v>
      </c>
      <c r="F11" s="1298" t="s">
        <v>1097</v>
      </c>
      <c r="G11" s="1298" t="s">
        <v>1083</v>
      </c>
      <c r="H11" s="1305" t="s">
        <v>1098</v>
      </c>
      <c r="I11" s="1296" t="s">
        <v>1084</v>
      </c>
    </row>
    <row r="12" spans="1:9">
      <c r="A12" s="3271"/>
      <c r="B12" s="3272" t="s">
        <v>1099</v>
      </c>
      <c r="C12" s="3272"/>
      <c r="D12" s="1297"/>
      <c r="E12" s="1297"/>
      <c r="F12" s="1298"/>
      <c r="G12" s="1299"/>
      <c r="H12" s="1306"/>
      <c r="I12" s="1296">
        <f>ROUND(D12*E12*F12*G12/10000,0)</f>
        <v>0</v>
      </c>
    </row>
    <row r="13" spans="1:9">
      <c r="A13" s="3271"/>
      <c r="B13" s="3272" t="s">
        <v>1100</v>
      </c>
      <c r="C13" s="3272"/>
      <c r="D13" s="1297"/>
      <c r="E13" s="1297"/>
      <c r="F13" s="1298"/>
      <c r="G13" s="1299"/>
      <c r="H13" s="1306"/>
      <c r="I13" s="1296">
        <f>ROUND(D13*E13*F13*G13/10000,0)</f>
        <v>0</v>
      </c>
    </row>
    <row r="14" spans="1:9">
      <c r="A14" s="3271"/>
      <c r="B14" s="3272" t="s">
        <v>1101</v>
      </c>
      <c r="C14" s="3272"/>
      <c r="D14" s="1297"/>
      <c r="E14" s="1297"/>
      <c r="F14" s="1298"/>
      <c r="G14" s="1299"/>
      <c r="H14" s="1306"/>
      <c r="I14" s="1296">
        <f>ROUND(D14*E14*F14*G14/10000,0)</f>
        <v>0</v>
      </c>
    </row>
    <row r="15" spans="1:9">
      <c r="A15" s="3271"/>
      <c r="B15" s="3273" t="s">
        <v>1092</v>
      </c>
      <c r="C15" s="3273"/>
      <c r="D15" s="1301"/>
      <c r="E15" s="1301">
        <f>SUM(E12:E14)</f>
        <v>0</v>
      </c>
      <c r="F15" s="1302"/>
      <c r="G15" s="1299"/>
      <c r="H15" s="1306"/>
      <c r="I15" s="1307">
        <f>SUM(I12:I14)</f>
        <v>0</v>
      </c>
    </row>
    <row r="16" spans="1:9" ht="24">
      <c r="A16" s="3271" t="s">
        <v>1102</v>
      </c>
      <c r="B16" s="3272" t="s">
        <v>1103</v>
      </c>
      <c r="C16" s="3272"/>
      <c r="D16" s="1297" t="s">
        <v>1079</v>
      </c>
      <c r="E16" s="1308" t="s">
        <v>1104</v>
      </c>
      <c r="F16" s="1298" t="s">
        <v>1105</v>
      </c>
      <c r="G16" s="1299" t="s">
        <v>1083</v>
      </c>
      <c r="H16" s="1305" t="s">
        <v>1098</v>
      </c>
      <c r="I16" s="1296" t="s">
        <v>1084</v>
      </c>
    </row>
    <row r="17" spans="1:9" ht="14.25">
      <c r="A17" s="3271"/>
      <c r="B17" s="3272" t="s">
        <v>1106</v>
      </c>
      <c r="C17" s="3272"/>
      <c r="D17" s="1297"/>
      <c r="E17" s="1297"/>
      <c r="F17" s="1298"/>
      <c r="G17" s="1299"/>
      <c r="H17" s="1309"/>
      <c r="I17" s="1310">
        <f>ROUND(D17*E17*F17*G17/10000,0)</f>
        <v>0</v>
      </c>
    </row>
    <row r="18" spans="1:9" ht="14.25">
      <c r="A18" s="3271"/>
      <c r="B18" s="3272" t="s">
        <v>1107</v>
      </c>
      <c r="C18" s="3272"/>
      <c r="D18" s="1297"/>
      <c r="E18" s="1297"/>
      <c r="F18" s="1298"/>
      <c r="G18" s="1299"/>
      <c r="H18" s="1309"/>
      <c r="I18" s="1310">
        <f>ROUND(D18*E18*F18*G18/10000,0)</f>
        <v>0</v>
      </c>
    </row>
    <row r="19" spans="1:9" ht="14.25">
      <c r="A19" s="3271"/>
      <c r="B19" s="3272" t="s">
        <v>1108</v>
      </c>
      <c r="C19" s="3272"/>
      <c r="D19" s="1297"/>
      <c r="E19" s="1297"/>
      <c r="F19" s="1298"/>
      <c r="G19" s="1299"/>
      <c r="H19" s="1309"/>
      <c r="I19" s="1310">
        <f>ROUND(D19*E19*F19*G19/10000,0)</f>
        <v>0</v>
      </c>
    </row>
    <row r="20" spans="1:9">
      <c r="A20" s="3271"/>
      <c r="B20" s="3273" t="s">
        <v>1092</v>
      </c>
      <c r="C20" s="3273"/>
      <c r="D20" s="1301">
        <f>SUM(D17:D19)</f>
        <v>0</v>
      </c>
      <c r="E20" s="1301"/>
      <c r="F20" s="1302"/>
      <c r="G20" s="1299"/>
      <c r="H20" s="1306"/>
      <c r="I20" s="1307">
        <f>SUM(I17:I19)</f>
        <v>0</v>
      </c>
    </row>
    <row r="21" spans="1:9">
      <c r="A21" s="3271" t="s">
        <v>1109</v>
      </c>
      <c r="B21" s="3275"/>
      <c r="C21" s="3275"/>
      <c r="D21" s="3275"/>
      <c r="E21" s="3275"/>
      <c r="F21" s="3275"/>
      <c r="G21" s="3275"/>
      <c r="H21" s="1755">
        <v>0.1</v>
      </c>
      <c r="I21" s="1304">
        <f>ROUND(I10*H21,0)</f>
        <v>0</v>
      </c>
    </row>
    <row r="22" spans="1:9" ht="14.25">
      <c r="A22" s="3276" t="s">
        <v>1110</v>
      </c>
      <c r="B22" s="3277"/>
      <c r="C22" s="3278"/>
      <c r="D22" s="1311" t="s">
        <v>1111</v>
      </c>
      <c r="E22" s="1311" t="s">
        <v>1112</v>
      </c>
      <c r="F22" s="1312" t="s">
        <v>1113</v>
      </c>
      <c r="G22" s="1312" t="s">
        <v>1114</v>
      </c>
      <c r="H22" s="1305" t="s">
        <v>1115</v>
      </c>
      <c r="I22" s="1296" t="s">
        <v>1116</v>
      </c>
    </row>
    <row r="23" spans="1:9" ht="14.25" thickBot="1">
      <c r="A23" s="3279"/>
      <c r="B23" s="3280"/>
      <c r="C23" s="3281"/>
      <c r="D23" s="1313"/>
      <c r="E23" s="1313"/>
      <c r="F23" s="1313"/>
      <c r="G23" s="1314"/>
      <c r="H23" s="1315"/>
      <c r="I23" s="1316">
        <f>ROUND(E23*D23*F23*(1-G23)/10000,0)</f>
        <v>0</v>
      </c>
    </row>
    <row r="26" spans="1:9">
      <c r="A26" s="1317" t="s">
        <v>1117</v>
      </c>
      <c r="B26" s="1317"/>
      <c r="C26" s="1317"/>
      <c r="D26" s="1317"/>
      <c r="E26" s="3282">
        <f>C27-C30-C31-C32</f>
        <v>0</v>
      </c>
      <c r="F26" s="3282"/>
      <c r="G26" s="3282"/>
      <c r="H26" s="1727" t="s">
        <v>1341</v>
      </c>
    </row>
    <row r="27" spans="1:9">
      <c r="A27" s="1318">
        <v>1</v>
      </c>
      <c r="B27" s="1319" t="s">
        <v>1118</v>
      </c>
      <c r="C27" s="1319">
        <f>C28+C29</f>
        <v>0</v>
      </c>
      <c r="D27" s="1319"/>
      <c r="E27" s="3283"/>
      <c r="F27" s="3283"/>
      <c r="G27" s="3283"/>
    </row>
    <row r="28" spans="1:9">
      <c r="A28" s="1320" t="s">
        <v>1119</v>
      </c>
      <c r="B28" s="1319" t="s">
        <v>1120</v>
      </c>
      <c r="C28" s="1319"/>
      <c r="D28" s="1319"/>
      <c r="E28" s="3283"/>
      <c r="F28" s="3283"/>
      <c r="G28" s="3283"/>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274"/>
      <c r="F32" s="3274"/>
      <c r="G32" s="3274"/>
    </row>
    <row r="33" spans="1:7" hidden="1">
      <c r="A33" s="3284" t="s">
        <v>1129</v>
      </c>
      <c r="B33" s="3285"/>
      <c r="C33" s="3285"/>
      <c r="D33" s="3286"/>
      <c r="E33" s="3282"/>
      <c r="F33" s="3282"/>
      <c r="G33" s="3282"/>
    </row>
    <row r="34" spans="1:7" hidden="1">
      <c r="A34" s="1322">
        <v>1</v>
      </c>
      <c r="B34" s="1319" t="s">
        <v>1130</v>
      </c>
      <c r="C34" s="1319"/>
      <c r="D34" s="1319"/>
      <c r="E34" s="3283"/>
      <c r="F34" s="3283"/>
      <c r="G34" s="3283"/>
    </row>
    <row r="35" spans="1:7" hidden="1">
      <c r="A35" s="1322">
        <v>2</v>
      </c>
      <c r="B35" s="1319" t="s">
        <v>1131</v>
      </c>
      <c r="C35" s="1319"/>
      <c r="D35" s="1319"/>
      <c r="E35" s="3283"/>
      <c r="F35" s="3283"/>
      <c r="G35" s="3283"/>
    </row>
    <row r="36" spans="1:7" hidden="1">
      <c r="A36" s="1322">
        <v>3</v>
      </c>
      <c r="B36" s="1319" t="s">
        <v>1132</v>
      </c>
      <c r="C36" s="1319"/>
      <c r="D36" s="1319"/>
      <c r="E36" s="3283"/>
      <c r="F36" s="3283"/>
      <c r="G36" s="3283"/>
    </row>
    <row r="37" spans="1:7" hidden="1">
      <c r="A37" s="1322">
        <v>4</v>
      </c>
      <c r="B37" s="1319" t="s">
        <v>1133</v>
      </c>
      <c r="C37" s="1319"/>
      <c r="D37" s="1319"/>
      <c r="E37" s="3283"/>
      <c r="F37" s="3283"/>
      <c r="G37" s="3283"/>
    </row>
    <row r="38" spans="1:7" hidden="1">
      <c r="A38" s="3284" t="s">
        <v>1134</v>
      </c>
      <c r="B38" s="3285"/>
      <c r="C38" s="3285"/>
      <c r="D38" s="3286"/>
      <c r="E38" s="3282"/>
      <c r="F38" s="3282"/>
      <c r="G38" s="32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11"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9" customFormat="1" ht="28.5" customHeight="1" thickBot="1">
      <c r="A1" s="1608" t="s">
        <v>2525</v>
      </c>
      <c r="B1" s="2569" t="s">
        <v>2526</v>
      </c>
      <c r="C1" s="1624" t="s">
        <v>2527</v>
      </c>
      <c r="D1" s="1611"/>
      <c r="E1" s="2570"/>
      <c r="F1" s="2571" t="s">
        <v>2528</v>
      </c>
      <c r="G1" s="1621" t="s">
        <v>2529</v>
      </c>
      <c r="H1" s="1620"/>
      <c r="I1" s="1620"/>
      <c r="J1" s="1620"/>
      <c r="K1" s="1622"/>
      <c r="L1" s="1623"/>
      <c r="M1" s="1624"/>
      <c r="N1" s="1624"/>
      <c r="O1" s="1624"/>
      <c r="P1" s="2572"/>
      <c r="Q1" s="1610"/>
      <c r="R1" s="1610"/>
      <c r="S1" s="1610"/>
      <c r="T1" s="1610"/>
      <c r="U1" s="1610"/>
      <c r="V1" s="1610"/>
      <c r="W1" s="1610"/>
      <c r="X1" s="1610"/>
      <c r="Y1" s="1610"/>
      <c r="Z1" s="1610"/>
      <c r="AA1" s="1610"/>
      <c r="AB1" s="1610"/>
      <c r="AC1" s="1618"/>
    </row>
    <row r="2" spans="1:29" s="389" customFormat="1" ht="28.5" customHeight="1" thickTop="1">
      <c r="A2" s="1607" t="s">
        <v>1395</v>
      </c>
      <c r="B2" s="1407" t="e">
        <f ca="1">IF(C2="——",ROUND(C49*D3/10000,0),ROUND(C49*D3/10000,0)-D2)</f>
        <v>#DIV/0!</v>
      </c>
      <c r="C2" s="2573"/>
      <c r="D2" s="1354" t="e">
        <f ca="1">SUMIF(INDIRECT("'"&amp;F2&amp;"'"&amp;"!A:A"),"承租人权益价值",INDIRECT("'"&amp;F2&amp;"'"&amp;"!c:c"))</f>
        <v>#REF!</v>
      </c>
      <c r="E2" s="2574" t="s">
        <v>2530</v>
      </c>
      <c r="F2" s="2575"/>
      <c r="G2" s="1120"/>
      <c r="H2" s="1120"/>
      <c r="I2" s="1120"/>
      <c r="J2" s="1120"/>
      <c r="K2" s="2576"/>
      <c r="L2" s="2577"/>
      <c r="M2" s="2578"/>
      <c r="N2" s="2578"/>
      <c r="O2" s="2578"/>
      <c r="P2" s="2579"/>
      <c r="Q2" s="2580"/>
      <c r="R2" s="2580"/>
      <c r="S2" s="2580"/>
      <c r="T2" s="2580"/>
      <c r="U2" s="2580"/>
      <c r="V2" s="2580"/>
      <c r="W2" s="2580"/>
      <c r="X2" s="2580"/>
      <c r="Y2" s="2580"/>
      <c r="Z2" s="2580"/>
      <c r="AA2" s="2580"/>
      <c r="AB2" s="2580"/>
      <c r="AC2" s="2581"/>
    </row>
    <row r="3" spans="1:29" s="389" customFormat="1" ht="28.5" customHeight="1" thickBot="1">
      <c r="A3" s="247" t="s">
        <v>1396</v>
      </c>
      <c r="B3" s="395" t="e">
        <f ca="1">IF(C2="——",C49,ROUND(B2*10000/D3,0))</f>
        <v>#DIV/0!</v>
      </c>
      <c r="C3" s="396" t="s">
        <v>2531</v>
      </c>
      <c r="D3" s="395">
        <f>IF(D1="",'数据-汇总表'!E3,SUMIF('数据-汇总表'!$C19:$C33,D1,'数据-汇总表'!$E19:$E33))</f>
        <v>49.61</v>
      </c>
      <c r="E3" s="1120"/>
      <c r="F3" s="2582"/>
      <c r="G3" s="1120"/>
      <c r="H3" s="1120"/>
      <c r="I3" s="1120"/>
      <c r="J3" s="1120"/>
      <c r="K3" s="2576"/>
      <c r="L3" s="2577"/>
      <c r="M3" s="2578"/>
      <c r="N3" s="2578"/>
      <c r="O3" s="2578"/>
      <c r="P3" s="2579"/>
      <c r="Q3" s="2580"/>
      <c r="R3" s="2580"/>
      <c r="S3" s="2580"/>
      <c r="T3" s="2580"/>
      <c r="U3" s="2580"/>
      <c r="V3" s="2580"/>
      <c r="W3" s="2580"/>
      <c r="X3" s="2580"/>
      <c r="Y3" s="2580"/>
      <c r="Z3" s="2580"/>
      <c r="AA3" s="2580"/>
      <c r="AB3" s="2580"/>
      <c r="AC3" s="1278"/>
    </row>
    <row r="4" spans="1:29" ht="15">
      <c r="A4" s="397" t="s">
        <v>2532</v>
      </c>
      <c r="B4" s="398"/>
      <c r="C4" s="3215" t="s">
        <v>2533</v>
      </c>
      <c r="D4" s="3216"/>
      <c r="E4" s="3217" t="s">
        <v>2534</v>
      </c>
      <c r="F4" s="3218"/>
      <c r="G4" s="3215" t="s">
        <v>2535</v>
      </c>
      <c r="H4" s="3216"/>
      <c r="I4" s="3215" t="s">
        <v>2536</v>
      </c>
      <c r="J4" s="3216"/>
      <c r="K4" s="2583" t="s">
        <v>2537</v>
      </c>
      <c r="L4" s="1126"/>
      <c r="M4" s="1127"/>
      <c r="N4" s="1127"/>
      <c r="O4" s="1127"/>
      <c r="P4" s="3219" t="s">
        <v>2538</v>
      </c>
      <c r="Q4" s="3220"/>
      <c r="R4" s="3201" t="s">
        <v>2534</v>
      </c>
      <c r="S4" s="3202"/>
      <c r="T4" s="3201" t="s">
        <v>2535</v>
      </c>
      <c r="U4" s="3202"/>
      <c r="V4" s="3198" t="s">
        <v>2536</v>
      </c>
      <c r="W4" s="3198"/>
      <c r="X4" s="1803"/>
      <c r="Y4" s="3201" t="s">
        <v>2538</v>
      </c>
      <c r="Z4" s="3202"/>
      <c r="AA4" s="3195" t="s">
        <v>2534</v>
      </c>
      <c r="AB4" s="3195" t="s">
        <v>2535</v>
      </c>
      <c r="AC4" s="3195" t="s">
        <v>2536</v>
      </c>
    </row>
    <row r="5" spans="1:29" ht="15">
      <c r="A5" s="400"/>
      <c r="B5" s="401"/>
      <c r="C5" s="3207" t="s">
        <v>2539</v>
      </c>
      <c r="D5" s="3208"/>
      <c r="E5" s="3205" t="s">
        <v>2540</v>
      </c>
      <c r="F5" s="3206"/>
      <c r="G5" s="3207" t="s">
        <v>2541</v>
      </c>
      <c r="H5" s="3208"/>
      <c r="I5" s="3207" t="s">
        <v>2542</v>
      </c>
      <c r="J5" s="3208"/>
      <c r="K5" s="2584"/>
      <c r="L5" s="1126"/>
      <c r="M5" s="1127"/>
      <c r="N5" s="1127"/>
      <c r="O5" s="1127"/>
      <c r="P5" s="3221"/>
      <c r="Q5" s="3222"/>
      <c r="R5" s="3203"/>
      <c r="S5" s="3204"/>
      <c r="T5" s="3203"/>
      <c r="U5" s="3204"/>
      <c r="V5" s="3198"/>
      <c r="W5" s="3198"/>
      <c r="X5" s="1803"/>
      <c r="Y5" s="3203"/>
      <c r="Z5" s="3204"/>
      <c r="AA5" s="3196"/>
      <c r="AB5" s="3196"/>
      <c r="AC5" s="3196"/>
    </row>
    <row r="6" spans="1:29" ht="15.75" thickBot="1">
      <c r="A6" s="402"/>
      <c r="B6" s="403"/>
      <c r="C6" s="3209" t="s">
        <v>2543</v>
      </c>
      <c r="D6" s="3210"/>
      <c r="E6" s="3212" t="s">
        <v>2543</v>
      </c>
      <c r="F6" s="3213"/>
      <c r="G6" s="3209" t="s">
        <v>2543</v>
      </c>
      <c r="H6" s="3210"/>
      <c r="I6" s="3209" t="s">
        <v>2543</v>
      </c>
      <c r="J6" s="3210"/>
      <c r="K6" s="2584" t="s">
        <v>2544</v>
      </c>
      <c r="L6" s="1126"/>
      <c r="M6" s="1127"/>
      <c r="N6" s="1127"/>
      <c r="O6" s="1127"/>
      <c r="P6" s="3223"/>
      <c r="Q6" s="3224"/>
      <c r="R6" s="3203"/>
      <c r="S6" s="3204"/>
      <c r="T6" s="3225"/>
      <c r="U6" s="3226"/>
      <c r="V6" s="3198"/>
      <c r="W6" s="3198"/>
      <c r="X6" s="1803"/>
      <c r="Y6" s="3225"/>
      <c r="Z6" s="3226"/>
      <c r="AA6" s="3197"/>
      <c r="AB6" s="3197"/>
      <c r="AC6" s="3197"/>
    </row>
    <row r="7" spans="1:29" s="116" customFormat="1" ht="15.75" thickBot="1">
      <c r="A7" s="404" t="s">
        <v>2545</v>
      </c>
      <c r="B7" s="405"/>
      <c r="C7" s="406">
        <f>'数据-取费表'!B2</f>
        <v>43028</v>
      </c>
      <c r="D7" s="407">
        <v>100</v>
      </c>
      <c r="E7" s="408"/>
      <c r="F7" s="409">
        <f>SUMIF(58:58,YEAR(E7)&amp;"-"&amp;MONTH(E7),59:59)</f>
        <v>0</v>
      </c>
      <c r="G7" s="408"/>
      <c r="H7" s="407">
        <f>SUMIF(58:58,YEAR(G7)&amp;"-"&amp;MONTH(G7),59:59)</f>
        <v>0</v>
      </c>
      <c r="I7" s="408"/>
      <c r="J7" s="407">
        <f>SUMIF(58:58,YEAR(I7)&amp;"-"&amp;MONTH(I7),59:59)</f>
        <v>0</v>
      </c>
      <c r="K7" s="2585"/>
      <c r="L7" s="1128"/>
      <c r="M7" s="1129"/>
      <c r="N7" s="1129"/>
      <c r="O7" s="1129"/>
      <c r="P7" s="3199" t="s">
        <v>2546</v>
      </c>
      <c r="Q7" s="3228"/>
      <c r="R7" s="763" t="s">
        <v>23</v>
      </c>
      <c r="S7" s="764">
        <f t="shared" ref="S7:S15" si="0">F7</f>
        <v>0</v>
      </c>
      <c r="T7" s="763" t="s">
        <v>23</v>
      </c>
      <c r="U7" s="764">
        <f t="shared" ref="U7:U15" si="1">H7</f>
        <v>0</v>
      </c>
      <c r="V7" s="763" t="s">
        <v>23</v>
      </c>
      <c r="W7" s="764">
        <f t="shared" ref="W7:W15" si="2">J7</f>
        <v>0</v>
      </c>
      <c r="X7" s="765"/>
      <c r="Y7" s="3199" t="s">
        <v>2546</v>
      </c>
      <c r="Z7" s="3200"/>
      <c r="AA7" s="766" t="e">
        <f>D7/F7</f>
        <v>#DIV/0!</v>
      </c>
      <c r="AB7" s="766" t="e">
        <f>D7/H7</f>
        <v>#DIV/0!</v>
      </c>
      <c r="AC7" s="766" t="e">
        <f>D7/J7</f>
        <v>#DIV/0!</v>
      </c>
    </row>
    <row r="8" spans="1:29" s="116" customFormat="1" ht="15.75" thickBot="1">
      <c r="A8" s="404" t="s">
        <v>2547</v>
      </c>
      <c r="B8" s="405"/>
      <c r="C8" s="410" t="s">
        <v>2548</v>
      </c>
      <c r="D8" s="407">
        <v>100</v>
      </c>
      <c r="E8" s="2586"/>
      <c r="F8" s="409">
        <f>SUMIF(61:61,E8,62:62)-SUMIF(61:61,C8,62:62)+100</f>
        <v>0</v>
      </c>
      <c r="G8" s="410"/>
      <c r="H8" s="407">
        <f>SUMIF(61:61,G8,62:62)-SUMIF(61:61,C8,62:62)+100</f>
        <v>0</v>
      </c>
      <c r="I8" s="2586"/>
      <c r="J8" s="407">
        <f>SUMIF(61:61,I8,62:62)-SUMIF(61:61,C8,62:62)+100</f>
        <v>0</v>
      </c>
      <c r="K8" s="2585"/>
      <c r="L8" s="1128"/>
      <c r="M8" s="1129"/>
      <c r="N8" s="1129"/>
      <c r="O8" s="1129"/>
      <c r="P8" s="3199" t="s">
        <v>2549</v>
      </c>
      <c r="Q8" s="3200"/>
      <c r="R8" s="763" t="s">
        <v>23</v>
      </c>
      <c r="S8" s="764">
        <f t="shared" si="0"/>
        <v>0</v>
      </c>
      <c r="T8" s="763" t="s">
        <v>23</v>
      </c>
      <c r="U8" s="764">
        <f t="shared" si="1"/>
        <v>0</v>
      </c>
      <c r="V8" s="763" t="s">
        <v>23</v>
      </c>
      <c r="W8" s="764">
        <f t="shared" si="2"/>
        <v>0</v>
      </c>
      <c r="X8" s="765"/>
      <c r="Y8" s="3199" t="s">
        <v>2549</v>
      </c>
      <c r="Z8" s="3200"/>
      <c r="AA8" s="766" t="e">
        <f t="shared" ref="AA8:AA19" si="3">D8/F8</f>
        <v>#DIV/0!</v>
      </c>
      <c r="AB8" s="766" t="e">
        <f t="shared" ref="AB8:AB19" si="4">D8/H8</f>
        <v>#DIV/0!</v>
      </c>
      <c r="AC8" s="766" t="e">
        <f t="shared" ref="AC8:AC19" si="5">D8/J8</f>
        <v>#DIV/0!</v>
      </c>
    </row>
    <row r="9" spans="1:29" s="116" customFormat="1">
      <c r="A9" s="411" t="s">
        <v>2550</v>
      </c>
      <c r="B9" s="70" t="s">
        <v>2551</v>
      </c>
      <c r="C9" s="412"/>
      <c r="D9" s="134">
        <v>100</v>
      </c>
      <c r="E9" s="413"/>
      <c r="F9" s="414">
        <f>SUMIF(63:63,E9,64:64)-SUMIF(63:63,C9,64:64)+100</f>
        <v>100</v>
      </c>
      <c r="G9" s="415"/>
      <c r="H9" s="134">
        <f>SUMIF(63:63,G9,64:64)-SUMIF(63:63,C9,64:64)+100</f>
        <v>100</v>
      </c>
      <c r="I9" s="415"/>
      <c r="J9" s="134">
        <f>SUMIF(63:63,I9,64:64)-SUMIF(63:63,C9,64:64)+100</f>
        <v>100</v>
      </c>
      <c r="K9" s="2585"/>
      <c r="L9" s="1128"/>
      <c r="M9" s="1129"/>
      <c r="N9" s="1129"/>
      <c r="O9" s="1129"/>
      <c r="P9" s="3214" t="s">
        <v>2552</v>
      </c>
      <c r="Q9" s="1785" t="str">
        <f t="shared" ref="Q9:Q15" si="6">B9</f>
        <v>用途</v>
      </c>
      <c r="R9" s="763" t="s">
        <v>17</v>
      </c>
      <c r="S9" s="764">
        <f t="shared" si="0"/>
        <v>100</v>
      </c>
      <c r="T9" s="763" t="s">
        <v>17</v>
      </c>
      <c r="U9" s="764">
        <f t="shared" si="1"/>
        <v>100</v>
      </c>
      <c r="V9" s="763" t="s">
        <v>17</v>
      </c>
      <c r="W9" s="764">
        <f t="shared" si="2"/>
        <v>100</v>
      </c>
      <c r="X9" s="765"/>
      <c r="Y9" s="3072" t="s">
        <v>2553</v>
      </c>
      <c r="Z9" s="55" t="str">
        <f t="shared" ref="Z9:Z15" si="7">Q9</f>
        <v>用途</v>
      </c>
      <c r="AA9" s="766">
        <f t="shared" si="3"/>
        <v>1</v>
      </c>
      <c r="AB9" s="766">
        <f t="shared" si="4"/>
        <v>1</v>
      </c>
      <c r="AC9" s="766">
        <f t="shared" si="5"/>
        <v>1</v>
      </c>
    </row>
    <row r="10" spans="1:29" s="423" customFormat="1" ht="27">
      <c r="A10" s="417"/>
      <c r="B10" s="418" t="s">
        <v>2554</v>
      </c>
      <c r="C10" s="419"/>
      <c r="D10" s="135">
        <v>100</v>
      </c>
      <c r="E10" s="420"/>
      <c r="F10" s="421">
        <f>SUMIF(65:65,E10,66:66)-SUMIF(65:65,C10,66:66)+100</f>
        <v>100</v>
      </c>
      <c r="G10" s="419"/>
      <c r="H10" s="135">
        <f>SUMIF(65:65,G10,66:66)-SUMIF(65:65,C10,66:66)+100</f>
        <v>100</v>
      </c>
      <c r="I10" s="419"/>
      <c r="J10" s="135">
        <f>SUMIF(65:65,I10,66:66)-SUMIF(65:65,C10,66:66)+100</f>
        <v>100</v>
      </c>
      <c r="K10" s="422"/>
      <c r="L10" s="1131"/>
      <c r="M10" s="1132"/>
      <c r="N10" s="1132"/>
      <c r="O10" s="1132"/>
      <c r="P10" s="3214"/>
      <c r="Q10" s="1785" t="str">
        <f t="shared" si="6"/>
        <v>土地使用年限（年）</v>
      </c>
      <c r="R10" s="763" t="s">
        <v>17</v>
      </c>
      <c r="S10" s="764">
        <f t="shared" si="0"/>
        <v>100</v>
      </c>
      <c r="T10" s="763" t="s">
        <v>17</v>
      </c>
      <c r="U10" s="764">
        <f t="shared" si="1"/>
        <v>100</v>
      </c>
      <c r="V10" s="763" t="s">
        <v>17</v>
      </c>
      <c r="W10" s="764">
        <f t="shared" si="2"/>
        <v>100</v>
      </c>
      <c r="X10" s="765"/>
      <c r="Y10" s="3072"/>
      <c r="Z10" s="55" t="str">
        <f t="shared" si="7"/>
        <v>土地使用年限（年）</v>
      </c>
      <c r="AA10" s="766">
        <f t="shared" si="3"/>
        <v>1</v>
      </c>
      <c r="AB10" s="766">
        <f t="shared" si="4"/>
        <v>1</v>
      </c>
      <c r="AC10" s="766">
        <f t="shared" si="5"/>
        <v>1</v>
      </c>
    </row>
    <row r="11" spans="1:29" ht="15">
      <c r="A11" s="424"/>
      <c r="B11" s="418" t="s">
        <v>2555</v>
      </c>
      <c r="C11" s="425"/>
      <c r="D11" s="135">
        <v>100</v>
      </c>
      <c r="E11" s="426"/>
      <c r="F11" s="421" t="e">
        <f>LOOKUP(E11,68:68,69:69)-LOOKUP(C11,68:68,69:69)+100</f>
        <v>#N/A</v>
      </c>
      <c r="G11" s="425"/>
      <c r="H11" s="135" t="e">
        <f>LOOKUP(G11,68:68,69:69)-LOOKUP(C11,68:68,69:69)+100</f>
        <v>#N/A</v>
      </c>
      <c r="I11" s="425"/>
      <c r="J11" s="135" t="e">
        <f>LOOKUP(I11,68:68,69:69)-LOOKUP(C11,68:68,69:69)+100</f>
        <v>#N/A</v>
      </c>
      <c r="K11" s="422"/>
      <c r="L11" s="1134"/>
      <c r="M11" s="1127"/>
      <c r="N11" s="1127"/>
      <c r="O11" s="1127"/>
      <c r="P11" s="3214"/>
      <c r="Q11" s="1785" t="str">
        <f t="shared" si="6"/>
        <v>容积率</v>
      </c>
      <c r="R11" s="763" t="s">
        <v>21</v>
      </c>
      <c r="S11" s="764" t="e">
        <f t="shared" si="0"/>
        <v>#N/A</v>
      </c>
      <c r="T11" s="763" t="s">
        <v>21</v>
      </c>
      <c r="U11" s="764" t="e">
        <f t="shared" si="1"/>
        <v>#N/A</v>
      </c>
      <c r="V11" s="763" t="s">
        <v>21</v>
      </c>
      <c r="W11" s="764" t="e">
        <f t="shared" si="2"/>
        <v>#N/A</v>
      </c>
      <c r="X11" s="765"/>
      <c r="Y11" s="3072"/>
      <c r="Z11" s="55" t="str">
        <f t="shared" si="7"/>
        <v>容积率</v>
      </c>
      <c r="AA11" s="766" t="e">
        <f t="shared" si="3"/>
        <v>#N/A</v>
      </c>
      <c r="AB11" s="766" t="e">
        <f t="shared" si="4"/>
        <v>#N/A</v>
      </c>
      <c r="AC11" s="766" t="e">
        <f t="shared" si="5"/>
        <v>#N/A</v>
      </c>
    </row>
    <row r="12" spans="1:29" s="116" customFormat="1" ht="15">
      <c r="A12" s="427"/>
      <c r="B12" s="2587">
        <v>111</v>
      </c>
      <c r="C12" s="428"/>
      <c r="D12" s="429">
        <v>100</v>
      </c>
      <c r="E12" s="428"/>
      <c r="F12" s="421">
        <f>SUMIF(70:70,E12,71:71)-SUMIF(70:70,C12,71:71)+100</f>
        <v>100</v>
      </c>
      <c r="G12" s="428"/>
      <c r="H12" s="135">
        <f>SUMIF(70:70,G12,71:71)-SUMIF(70:70,C12,71:71)+100</f>
        <v>100</v>
      </c>
      <c r="I12" s="428"/>
      <c r="J12" s="135">
        <f>SUMIF(70:70,I12,71:71)-SUMIF(70:70,C12,71:71)+100</f>
        <v>100</v>
      </c>
      <c r="K12" s="2588"/>
      <c r="L12" s="1128"/>
      <c r="M12" s="1129"/>
      <c r="N12" s="1129"/>
      <c r="O12" s="1129"/>
      <c r="P12" s="3214"/>
      <c r="Q12" s="1785">
        <f t="shared" si="6"/>
        <v>111</v>
      </c>
      <c r="R12" s="763" t="s">
        <v>21</v>
      </c>
      <c r="S12" s="764">
        <f t="shared" si="0"/>
        <v>100</v>
      </c>
      <c r="T12" s="763" t="s">
        <v>21</v>
      </c>
      <c r="U12" s="764">
        <f t="shared" si="1"/>
        <v>100</v>
      </c>
      <c r="V12" s="763" t="s">
        <v>21</v>
      </c>
      <c r="W12" s="764">
        <f t="shared" si="2"/>
        <v>100</v>
      </c>
      <c r="X12" s="765"/>
      <c r="Y12" s="3072"/>
      <c r="Z12" s="55">
        <f t="shared" si="7"/>
        <v>111</v>
      </c>
      <c r="AA12" s="766">
        <f>D12/F12</f>
        <v>1</v>
      </c>
      <c r="AB12" s="766">
        <f>D12/H12</f>
        <v>1</v>
      </c>
      <c r="AC12" s="766">
        <f>D12/J12</f>
        <v>1</v>
      </c>
    </row>
    <row r="13" spans="1:29" ht="15">
      <c r="A13" s="424"/>
      <c r="B13" s="2587">
        <v>111</v>
      </c>
      <c r="C13" s="430"/>
      <c r="D13" s="431">
        <v>100</v>
      </c>
      <c r="E13" s="430"/>
      <c r="F13" s="421">
        <f>SUMIF(72:72,E13,73:73)-SUMIF(72:72,C13,73:73)+100</f>
        <v>100</v>
      </c>
      <c r="G13" s="430"/>
      <c r="H13" s="431">
        <f>SUMIF(72:72,G13,73:73)-SUMIF(72:72,C13,73:73)+100</f>
        <v>100</v>
      </c>
      <c r="I13" s="430"/>
      <c r="J13" s="431">
        <f>SUMIF(72:72,I13,73:73)-SUMIF(72:72,C13,73:73)+100</f>
        <v>100</v>
      </c>
      <c r="K13" s="2588"/>
      <c r="L13" s="1136"/>
      <c r="M13" s="1127"/>
      <c r="N13" s="1127"/>
      <c r="O13" s="1127"/>
      <c r="P13" s="3214"/>
      <c r="Q13" s="1785">
        <f t="shared" si="6"/>
        <v>111</v>
      </c>
      <c r="R13" s="763" t="s">
        <v>21</v>
      </c>
      <c r="S13" s="764">
        <f t="shared" si="0"/>
        <v>100</v>
      </c>
      <c r="T13" s="763" t="s">
        <v>21</v>
      </c>
      <c r="U13" s="764">
        <f t="shared" si="1"/>
        <v>100</v>
      </c>
      <c r="V13" s="763" t="s">
        <v>21</v>
      </c>
      <c r="W13" s="764">
        <f t="shared" si="2"/>
        <v>100</v>
      </c>
      <c r="X13" s="765"/>
      <c r="Y13" s="3072"/>
      <c r="Z13" s="55">
        <f t="shared" si="7"/>
        <v>111</v>
      </c>
      <c r="AA13" s="766">
        <f t="shared" si="3"/>
        <v>1</v>
      </c>
      <c r="AB13" s="766">
        <f t="shared" si="4"/>
        <v>1</v>
      </c>
      <c r="AC13" s="766">
        <f t="shared" si="5"/>
        <v>1</v>
      </c>
    </row>
    <row r="14" spans="1:29" ht="15.75" thickBot="1">
      <c r="A14" s="432"/>
      <c r="B14" s="2589">
        <v>111</v>
      </c>
      <c r="C14" s="433"/>
      <c r="D14" s="434">
        <v>100</v>
      </c>
      <c r="E14" s="433"/>
      <c r="F14" s="435">
        <f>SUMIF(74:74,E14,75:75)-SUMIF(74:74,C14,75:75)+100</f>
        <v>100</v>
      </c>
      <c r="G14" s="433"/>
      <c r="H14" s="434">
        <f>SUMIF(74:74,G14,75:75)-SUMIF(74:74,C14,75:75)+100</f>
        <v>100</v>
      </c>
      <c r="I14" s="433"/>
      <c r="J14" s="434">
        <f>SUMIF(74:74,I14,75:75)-SUMIF(74:74,C14,75:75)+100</f>
        <v>100</v>
      </c>
      <c r="K14" s="2588"/>
      <c r="L14" s="1136"/>
      <c r="M14" s="1127"/>
      <c r="N14" s="1127"/>
      <c r="O14" s="1127"/>
      <c r="P14" s="3214"/>
      <c r="Q14" s="1785">
        <f t="shared" si="6"/>
        <v>111</v>
      </c>
      <c r="R14" s="763" t="s">
        <v>21</v>
      </c>
      <c r="S14" s="764">
        <f t="shared" si="0"/>
        <v>100</v>
      </c>
      <c r="T14" s="763" t="s">
        <v>21</v>
      </c>
      <c r="U14" s="764">
        <f t="shared" si="1"/>
        <v>100</v>
      </c>
      <c r="V14" s="763" t="s">
        <v>21</v>
      </c>
      <c r="W14" s="764">
        <f t="shared" si="2"/>
        <v>100</v>
      </c>
      <c r="X14" s="765"/>
      <c r="Y14" s="3072"/>
      <c r="Z14" s="55">
        <f t="shared" si="7"/>
        <v>111</v>
      </c>
      <c r="AA14" s="766">
        <f t="shared" si="3"/>
        <v>1</v>
      </c>
      <c r="AB14" s="766">
        <f t="shared" si="4"/>
        <v>1</v>
      </c>
      <c r="AC14" s="766">
        <f t="shared" si="5"/>
        <v>1</v>
      </c>
    </row>
    <row r="15" spans="1:29" ht="99.75">
      <c r="A15" s="436" t="s">
        <v>2556</v>
      </c>
      <c r="B15" s="68" t="s">
        <v>2081</v>
      </c>
      <c r="C15" s="2590" t="str">
        <f>估价对象房地状况!C3</f>
        <v>估价对象周边居住用地比例、居住小区规模和社区发展完善程度，综合评价居住社区成熟度一般</v>
      </c>
      <c r="D15" s="437">
        <v>100</v>
      </c>
      <c r="E15" s="440"/>
      <c r="F15" s="437">
        <f>SUMIF(76:76,E16,77:77)-SUMIF(76:76,C16,77:77)+100</f>
        <v>100</v>
      </c>
      <c r="G15" s="438"/>
      <c r="H15" s="437">
        <f>SUMIF(76:76,G16,77:77)-SUMIF(76:76,C16,77:77)+100</f>
        <v>100</v>
      </c>
      <c r="I15" s="438"/>
      <c r="J15" s="437">
        <f>SUMIF(76:76,I16,77:77)-SUMIF(76:76,C16,77:77)+100</f>
        <v>100</v>
      </c>
      <c r="K15" s="441"/>
      <c r="L15" s="1136"/>
      <c r="M15" s="1127"/>
      <c r="N15" s="1127"/>
      <c r="O15" s="1127"/>
      <c r="P15" s="3229" t="s">
        <v>2557</v>
      </c>
      <c r="Q15" s="1800" t="str">
        <f t="shared" si="6"/>
        <v>居住社区成熟度</v>
      </c>
      <c r="R15" s="767" t="s">
        <v>21</v>
      </c>
      <c r="S15" s="768">
        <f t="shared" si="0"/>
        <v>100</v>
      </c>
      <c r="T15" s="767" t="s">
        <v>21</v>
      </c>
      <c r="U15" s="768">
        <f t="shared" si="1"/>
        <v>100</v>
      </c>
      <c r="V15" s="767" t="s">
        <v>21</v>
      </c>
      <c r="W15" s="768">
        <f t="shared" si="2"/>
        <v>100</v>
      </c>
      <c r="X15" s="1803"/>
      <c r="Y15" s="3231" t="s">
        <v>2557</v>
      </c>
      <c r="Z15" s="1804" t="str">
        <f t="shared" si="7"/>
        <v>居住社区成熟度</v>
      </c>
      <c r="AA15" s="1801">
        <f t="shared" si="3"/>
        <v>1</v>
      </c>
      <c r="AB15" s="1801">
        <f t="shared" si="4"/>
        <v>1</v>
      </c>
      <c r="AC15" s="1801">
        <f t="shared" si="5"/>
        <v>1</v>
      </c>
    </row>
    <row r="16" spans="1:29" ht="15">
      <c r="A16" s="424"/>
      <c r="B16" s="442"/>
      <c r="C16" s="443"/>
      <c r="D16" s="444"/>
      <c r="E16" s="2591"/>
      <c r="F16" s="444"/>
      <c r="G16" s="2592"/>
      <c r="H16" s="446"/>
      <c r="I16" s="2592"/>
      <c r="J16" s="444"/>
      <c r="K16" s="2593"/>
      <c r="L16" s="1136"/>
      <c r="M16" s="1127"/>
      <c r="N16" s="1127"/>
      <c r="O16" s="1127"/>
      <c r="P16" s="3230"/>
      <c r="Q16" s="1800"/>
      <c r="R16" s="767"/>
      <c r="S16" s="768"/>
      <c r="T16" s="767"/>
      <c r="U16" s="768"/>
      <c r="V16" s="767"/>
      <c r="W16" s="768"/>
      <c r="X16" s="1803"/>
      <c r="Y16" s="3232"/>
      <c r="Z16" s="1804"/>
      <c r="AA16" s="1801">
        <v>1</v>
      </c>
      <c r="AB16" s="1801">
        <v>1</v>
      </c>
      <c r="AC16" s="1801">
        <v>1</v>
      </c>
    </row>
    <row r="17" spans="1:29" ht="85.5">
      <c r="A17" s="424"/>
      <c r="B17" s="447" t="s">
        <v>2093</v>
      </c>
      <c r="C17" s="2594" t="str">
        <f>估价对象房地状况!C6</f>
        <v>估价对象周边道路状况、公共交通通达情况、停车便捷程度，综合评价交通便捷度较好</v>
      </c>
      <c r="D17" s="446">
        <v>100</v>
      </c>
      <c r="E17" s="450"/>
      <c r="F17" s="446">
        <f>SUMIF(78:78,E18,79:79)-SUMIF(78:78,C18,79:79)+100</f>
        <v>100</v>
      </c>
      <c r="G17" s="448"/>
      <c r="H17" s="451">
        <f>SUMIF(78:78,G18,79:79)-SUMIF(78:78,C18,79:79)+100</f>
        <v>100</v>
      </c>
      <c r="I17" s="448"/>
      <c r="J17" s="451">
        <f>SUMIF(78:78,I18,79:79)-SUMIF(78:78,C18,79:79)+100</f>
        <v>100</v>
      </c>
      <c r="K17" s="441"/>
      <c r="L17" s="1136"/>
      <c r="M17" s="1127"/>
      <c r="N17" s="1127"/>
      <c r="O17" s="1127"/>
      <c r="P17" s="3230"/>
      <c r="Q17" s="1800" t="str">
        <f>B17</f>
        <v>交通便捷度</v>
      </c>
      <c r="R17" s="767" t="s">
        <v>21</v>
      </c>
      <c r="S17" s="768">
        <f>F17</f>
        <v>100</v>
      </c>
      <c r="T17" s="767" t="s">
        <v>21</v>
      </c>
      <c r="U17" s="768">
        <f>H17</f>
        <v>100</v>
      </c>
      <c r="V17" s="767" t="s">
        <v>21</v>
      </c>
      <c r="W17" s="768">
        <f>J17</f>
        <v>100</v>
      </c>
      <c r="X17" s="1803"/>
      <c r="Y17" s="3232"/>
      <c r="Z17" s="1804" t="str">
        <f>Q17</f>
        <v>交通便捷度</v>
      </c>
      <c r="AA17" s="1801">
        <f t="shared" si="3"/>
        <v>1</v>
      </c>
      <c r="AB17" s="1801">
        <f t="shared" si="4"/>
        <v>1</v>
      </c>
      <c r="AC17" s="1801">
        <f t="shared" si="5"/>
        <v>1</v>
      </c>
    </row>
    <row r="18" spans="1:29" ht="15">
      <c r="A18" s="424"/>
      <c r="B18" s="452"/>
      <c r="C18" s="2595"/>
      <c r="D18" s="446"/>
      <c r="E18" s="2596"/>
      <c r="F18" s="446"/>
      <c r="G18" s="2597"/>
      <c r="H18" s="444"/>
      <c r="I18" s="2597"/>
      <c r="J18" s="444"/>
      <c r="K18" s="2593"/>
      <c r="L18" s="1136"/>
      <c r="M18" s="1127"/>
      <c r="N18" s="1127"/>
      <c r="O18" s="1127"/>
      <c r="P18" s="3230"/>
      <c r="Q18" s="1800"/>
      <c r="R18" s="767"/>
      <c r="S18" s="768"/>
      <c r="T18" s="767"/>
      <c r="U18" s="768"/>
      <c r="V18" s="767"/>
      <c r="W18" s="768"/>
      <c r="X18" s="1803"/>
      <c r="Y18" s="3232"/>
      <c r="Z18" s="1804"/>
      <c r="AA18" s="1801">
        <v>1</v>
      </c>
      <c r="AB18" s="1801">
        <v>1</v>
      </c>
      <c r="AC18" s="1801">
        <v>1</v>
      </c>
    </row>
    <row r="19" spans="1:29" ht="42.75">
      <c r="A19" s="424"/>
      <c r="B19" s="447" t="s">
        <v>2091</v>
      </c>
      <c r="C19" s="2594" t="str">
        <f>估价对象房地状况!C7</f>
        <v>估价对象所在区域公共配套设施齐备情况</v>
      </c>
      <c r="D19" s="451">
        <v>100</v>
      </c>
      <c r="E19" s="455"/>
      <c r="F19" s="451">
        <f>SUMIF(80:80,E20,81:81)-SUMIF(80:80,C20,81:81)+100</f>
        <v>100</v>
      </c>
      <c r="G19" s="453"/>
      <c r="H19" s="446">
        <f>SUMIF(80:80,G20,81:81)-SUMIF(80:80,C20,81:81)+100</f>
        <v>100</v>
      </c>
      <c r="I19" s="453"/>
      <c r="J19" s="446">
        <f>SUMIF(80:80,I20,81:81)-SUMIF(80:80,C20,81:81)+100</f>
        <v>100</v>
      </c>
      <c r="K19" s="441"/>
      <c r="L19" s="1136"/>
      <c r="M19" s="1127"/>
      <c r="N19" s="1127"/>
      <c r="O19" s="1127"/>
      <c r="P19" s="3230"/>
      <c r="Q19" s="1800" t="str">
        <f>B19</f>
        <v>公共配套设施</v>
      </c>
      <c r="R19" s="767" t="s">
        <v>21</v>
      </c>
      <c r="S19" s="768">
        <f>F19</f>
        <v>100</v>
      </c>
      <c r="T19" s="767" t="s">
        <v>21</v>
      </c>
      <c r="U19" s="768">
        <f>H19</f>
        <v>100</v>
      </c>
      <c r="V19" s="767" t="s">
        <v>21</v>
      </c>
      <c r="W19" s="768">
        <f>J19</f>
        <v>100</v>
      </c>
      <c r="X19" s="1803"/>
      <c r="Y19" s="3232"/>
      <c r="Z19" s="1804" t="str">
        <f>Q19</f>
        <v>公共配套设施</v>
      </c>
      <c r="AA19" s="1801">
        <f t="shared" si="3"/>
        <v>1</v>
      </c>
      <c r="AB19" s="1801">
        <f t="shared" si="4"/>
        <v>1</v>
      </c>
      <c r="AC19" s="1801">
        <f t="shared" si="5"/>
        <v>1</v>
      </c>
    </row>
    <row r="20" spans="1:29" ht="15">
      <c r="A20" s="424"/>
      <c r="B20" s="452"/>
      <c r="C20" s="443"/>
      <c r="D20" s="444"/>
      <c r="E20" s="2591"/>
      <c r="F20" s="444"/>
      <c r="G20" s="2592"/>
      <c r="H20" s="444"/>
      <c r="I20" s="2592"/>
      <c r="J20" s="444"/>
      <c r="K20" s="2593"/>
      <c r="L20" s="1136"/>
      <c r="M20" s="1127"/>
      <c r="N20" s="1127"/>
      <c r="O20" s="1127"/>
      <c r="P20" s="3230"/>
      <c r="Q20" s="1800"/>
      <c r="R20" s="767"/>
      <c r="S20" s="768"/>
      <c r="T20" s="767"/>
      <c r="U20" s="768"/>
      <c r="V20" s="767"/>
      <c r="W20" s="768"/>
      <c r="X20" s="1803"/>
      <c r="Y20" s="3232"/>
      <c r="Z20" s="1804"/>
      <c r="AA20" s="1801">
        <v>1</v>
      </c>
      <c r="AB20" s="1801">
        <v>1</v>
      </c>
      <c r="AC20" s="1801">
        <v>1</v>
      </c>
    </row>
    <row r="21" spans="1:29" ht="28.5">
      <c r="A21" s="424"/>
      <c r="B21" s="1373" t="s">
        <v>2094</v>
      </c>
      <c r="C21" s="2594" t="str">
        <f>估价对象房地状况!C8</f>
        <v>估价对象所在区域基础设施水平</v>
      </c>
      <c r="D21" s="446">
        <v>100</v>
      </c>
      <c r="E21" s="455"/>
      <c r="F21" s="451">
        <f>SUMIF(82:82,E22,83:83)-SUMIF(82:82,C22,83:83)+100</f>
        <v>100</v>
      </c>
      <c r="G21" s="453"/>
      <c r="H21" s="446">
        <f>SUMIF(82:82,G22,83:83)-SUMIF(82:82,C22,83:83)+100</f>
        <v>100</v>
      </c>
      <c r="I21" s="453"/>
      <c r="J21" s="446">
        <f>SUMIF(82:82,I22,83:83)-SUMIF(82:82,C22,83:83)+100</f>
        <v>100</v>
      </c>
      <c r="K21" s="441"/>
      <c r="L21" s="1136"/>
      <c r="M21" s="1127"/>
      <c r="N21" s="1127"/>
      <c r="O21" s="1127"/>
      <c r="P21" s="3230"/>
      <c r="Q21" s="1800" t="str">
        <f>B21</f>
        <v>基础设施水平</v>
      </c>
      <c r="R21" s="767" t="s">
        <v>17</v>
      </c>
      <c r="S21" s="768">
        <f>F21</f>
        <v>100</v>
      </c>
      <c r="T21" s="767" t="s">
        <v>17</v>
      </c>
      <c r="U21" s="768">
        <f>H21</f>
        <v>100</v>
      </c>
      <c r="V21" s="767" t="s">
        <v>17</v>
      </c>
      <c r="W21" s="768">
        <f>J21</f>
        <v>100</v>
      </c>
      <c r="X21" s="1803"/>
      <c r="Y21" s="3232"/>
      <c r="Z21" s="1804" t="str">
        <f>Q21</f>
        <v>基础设施水平</v>
      </c>
      <c r="AA21" s="1801">
        <f>D21/F21</f>
        <v>1</v>
      </c>
      <c r="AB21" s="1801">
        <f>D21/H21</f>
        <v>1</v>
      </c>
      <c r="AC21" s="1801">
        <f>D21/J21</f>
        <v>1</v>
      </c>
    </row>
    <row r="22" spans="1:29" ht="15">
      <c r="A22" s="424"/>
      <c r="B22" s="1373"/>
      <c r="C22" s="2595"/>
      <c r="D22" s="444"/>
      <c r="E22" s="443"/>
      <c r="F22" s="444"/>
      <c r="G22" s="2598"/>
      <c r="H22" s="444"/>
      <c r="I22" s="443"/>
      <c r="J22" s="444"/>
      <c r="K22" s="2599"/>
      <c r="L22" s="1136"/>
      <c r="M22" s="1127"/>
      <c r="N22" s="1127"/>
      <c r="O22" s="1127"/>
      <c r="P22" s="3230"/>
      <c r="Q22" s="1800"/>
      <c r="R22" s="767"/>
      <c r="S22" s="768"/>
      <c r="T22" s="767"/>
      <c r="U22" s="768"/>
      <c r="V22" s="767"/>
      <c r="W22" s="768"/>
      <c r="X22" s="1803"/>
      <c r="Y22" s="3232"/>
      <c r="Z22" s="1804"/>
      <c r="AA22" s="1801">
        <v>1</v>
      </c>
      <c r="AB22" s="1801">
        <v>1</v>
      </c>
      <c r="AC22" s="1801">
        <v>1</v>
      </c>
    </row>
    <row r="23" spans="1:29" ht="57">
      <c r="A23" s="424"/>
      <c r="B23" s="447" t="s">
        <v>2098</v>
      </c>
      <c r="C23" s="2594" t="str">
        <f>估价对象房地状况!C9</f>
        <v>区域自然环境：；人文环境；综合评价环境状况一般</v>
      </c>
      <c r="D23" s="446">
        <v>100</v>
      </c>
      <c r="E23" s="450"/>
      <c r="F23" s="446">
        <f>SUMIF(84:84,E24,85:85)-SUMIF(84:84,C24,85:85)+100</f>
        <v>100</v>
      </c>
      <c r="G23" s="448"/>
      <c r="H23" s="446">
        <f>SUMIF(84:84,G24,85:85)-SUMIF(84:84,C24,85:85)+100</f>
        <v>100</v>
      </c>
      <c r="I23" s="448"/>
      <c r="J23" s="446">
        <f>SUMIF(84:84,I24,85:85)-SUMIF(84:84,C24,85:85)+100</f>
        <v>100</v>
      </c>
      <c r="K23" s="441"/>
      <c r="L23" s="1136"/>
      <c r="M23" s="1127"/>
      <c r="N23" s="1127"/>
      <c r="O23" s="1127"/>
      <c r="P23" s="3230"/>
      <c r="Q23" s="1800" t="str">
        <f>B23</f>
        <v>自然及人文环境</v>
      </c>
      <c r="R23" s="767" t="s">
        <v>21</v>
      </c>
      <c r="S23" s="768">
        <f>F23</f>
        <v>100</v>
      </c>
      <c r="T23" s="767" t="s">
        <v>21</v>
      </c>
      <c r="U23" s="768">
        <f>H23</f>
        <v>100</v>
      </c>
      <c r="V23" s="767" t="s">
        <v>21</v>
      </c>
      <c r="W23" s="768">
        <f>J23</f>
        <v>100</v>
      </c>
      <c r="X23" s="1803"/>
      <c r="Y23" s="3232"/>
      <c r="Z23" s="1804" t="str">
        <f>Q23</f>
        <v>自然及人文环境</v>
      </c>
      <c r="AA23" s="1801">
        <f>D23/F23</f>
        <v>1</v>
      </c>
      <c r="AB23" s="1801">
        <f>D23/H23</f>
        <v>1</v>
      </c>
      <c r="AC23" s="1801">
        <f>D23/J23</f>
        <v>1</v>
      </c>
    </row>
    <row r="24" spans="1:29" ht="15">
      <c r="A24" s="424"/>
      <c r="B24" s="452"/>
      <c r="C24" s="443"/>
      <c r="D24" s="444"/>
      <c r="E24" s="2591"/>
      <c r="F24" s="444"/>
      <c r="G24" s="2592"/>
      <c r="H24" s="444"/>
      <c r="I24" s="2592"/>
      <c r="J24" s="444"/>
      <c r="K24" s="2593"/>
      <c r="L24" s="1136"/>
      <c r="M24" s="1127"/>
      <c r="N24" s="1127"/>
      <c r="O24" s="1127"/>
      <c r="P24" s="3230"/>
      <c r="Q24" s="1800"/>
      <c r="R24" s="767"/>
      <c r="S24" s="768"/>
      <c r="T24" s="767"/>
      <c r="U24" s="768"/>
      <c r="V24" s="767"/>
      <c r="W24" s="768"/>
      <c r="X24" s="1803"/>
      <c r="Y24" s="3232"/>
      <c r="Z24" s="1804"/>
      <c r="AA24" s="1801">
        <v>1</v>
      </c>
      <c r="AB24" s="1801">
        <v>1</v>
      </c>
      <c r="AC24" s="1801">
        <v>1</v>
      </c>
    </row>
    <row r="25" spans="1:29" ht="15">
      <c r="A25" s="424"/>
      <c r="B25" s="418" t="s">
        <v>2558</v>
      </c>
      <c r="C25" s="456"/>
      <c r="D25" s="431">
        <v>100</v>
      </c>
      <c r="E25" s="2600"/>
      <c r="F25" s="431">
        <f>SUMIF(86:86,E25,87:87)-SUMIF(86:86,C25,87:87)+100</f>
        <v>100</v>
      </c>
      <c r="G25" s="2601"/>
      <c r="H25" s="431">
        <f>SUMIF(86:86,G25,87:87)-SUMIF(86:86,C25,87:87)+100</f>
        <v>100</v>
      </c>
      <c r="I25" s="2601"/>
      <c r="J25" s="431">
        <f>SUMIF(86:86,I25,87:87)-SUMIF(86:86,C25,87:87)+100</f>
        <v>100</v>
      </c>
      <c r="K25" s="422"/>
      <c r="L25" s="1136"/>
      <c r="M25" s="1127"/>
      <c r="N25" s="1127"/>
      <c r="O25" s="1127"/>
      <c r="P25" s="3230"/>
      <c r="Q25" s="1800" t="str">
        <f t="shared" ref="Q25:Q46" si="8">B25</f>
        <v>楼层-1</v>
      </c>
      <c r="R25" s="767" t="s">
        <v>21</v>
      </c>
      <c r="S25" s="768">
        <f t="shared" ref="S25:S46" si="9">F25</f>
        <v>100</v>
      </c>
      <c r="T25" s="767" t="s">
        <v>21</v>
      </c>
      <c r="U25" s="768">
        <f t="shared" ref="U25:U46" si="10">H25</f>
        <v>100</v>
      </c>
      <c r="V25" s="767" t="s">
        <v>21</v>
      </c>
      <c r="W25" s="768">
        <f t="shared" ref="W25:W46" si="11">J25</f>
        <v>100</v>
      </c>
      <c r="X25" s="1803"/>
      <c r="Y25" s="3232"/>
      <c r="Z25" s="1804" t="str">
        <f>Q25</f>
        <v>楼层-1</v>
      </c>
      <c r="AA25" s="1801">
        <f t="shared" ref="AA25:AA46" si="12">D25/F25</f>
        <v>1</v>
      </c>
      <c r="AB25" s="1801">
        <f t="shared" ref="AB25:AB46" si="13">D25/H25</f>
        <v>1</v>
      </c>
      <c r="AC25" s="1801">
        <f t="shared" ref="AC25:AC46" si="14">D25/J25</f>
        <v>1</v>
      </c>
    </row>
    <row r="26" spans="1:29" ht="15">
      <c r="A26" s="424"/>
      <c r="B26" s="418" t="s">
        <v>2559</v>
      </c>
      <c r="C26" s="456"/>
      <c r="D26" s="431">
        <v>100</v>
      </c>
      <c r="E26" s="2600"/>
      <c r="F26" s="431">
        <f>SUMIF(88:88,E26,89:89)-SUMIF(88:88,C26,89:89)+100</f>
        <v>100</v>
      </c>
      <c r="G26" s="2601"/>
      <c r="H26" s="431">
        <f>SUMIF(88:88,G26,89:89)-SUMIF(88:88,C26,89:89)+100</f>
        <v>100</v>
      </c>
      <c r="I26" s="2601"/>
      <c r="J26" s="431">
        <f>SUMIF(88:88,I26,89:89)-SUMIF(88:88,C26,89:89)+100</f>
        <v>100</v>
      </c>
      <c r="K26" s="422"/>
      <c r="L26" s="1136"/>
      <c r="M26" s="1127"/>
      <c r="N26" s="1127"/>
      <c r="O26" s="1127"/>
      <c r="P26" s="3230"/>
      <c r="Q26" s="1800" t="str">
        <f t="shared" si="8"/>
        <v>朝向</v>
      </c>
      <c r="R26" s="767" t="s">
        <v>21</v>
      </c>
      <c r="S26" s="768">
        <f t="shared" si="9"/>
        <v>100</v>
      </c>
      <c r="T26" s="767" t="s">
        <v>21</v>
      </c>
      <c r="U26" s="768">
        <f t="shared" si="10"/>
        <v>100</v>
      </c>
      <c r="V26" s="767" t="s">
        <v>21</v>
      </c>
      <c r="W26" s="768">
        <f t="shared" si="11"/>
        <v>100</v>
      </c>
      <c r="X26" s="1803"/>
      <c r="Y26" s="3232"/>
      <c r="Z26" s="1804" t="str">
        <f>Q26</f>
        <v>朝向</v>
      </c>
      <c r="AA26" s="1801">
        <f t="shared" si="12"/>
        <v>1</v>
      </c>
      <c r="AB26" s="1801">
        <f t="shared" si="13"/>
        <v>1</v>
      </c>
      <c r="AC26" s="1801">
        <f t="shared" si="14"/>
        <v>1</v>
      </c>
    </row>
    <row r="27" spans="1:29" s="116" customFormat="1" ht="15">
      <c r="A27" s="427"/>
      <c r="B27" s="1375">
        <v>111</v>
      </c>
      <c r="C27" s="428"/>
      <c r="D27" s="458">
        <v>100</v>
      </c>
      <c r="E27" s="461"/>
      <c r="F27" s="458">
        <f>SUMIF(90:90,E27,91:91)-SUMIF(90:90,C27,91:91)+100</f>
        <v>100</v>
      </c>
      <c r="G27" s="459"/>
      <c r="H27" s="458">
        <f>SUMIF(90:90,G27,91:91)-SUMIF(90:90,C27,91:91)+100</f>
        <v>100</v>
      </c>
      <c r="I27" s="459"/>
      <c r="J27" s="458">
        <f>SUMIF(90:90,I27,91:91)-SUMIF(90:90,C27,91:91)+100</f>
        <v>100</v>
      </c>
      <c r="K27" s="2588"/>
      <c r="L27" s="1128"/>
      <c r="M27" s="1129"/>
      <c r="N27" s="1129"/>
      <c r="O27" s="1129"/>
      <c r="P27" s="3230"/>
      <c r="Q27" s="1785">
        <f t="shared" si="8"/>
        <v>111</v>
      </c>
      <c r="R27" s="763" t="s">
        <v>21</v>
      </c>
      <c r="S27" s="764">
        <f t="shared" si="9"/>
        <v>100</v>
      </c>
      <c r="T27" s="763" t="s">
        <v>21</v>
      </c>
      <c r="U27" s="764">
        <f t="shared" si="10"/>
        <v>100</v>
      </c>
      <c r="V27" s="763" t="s">
        <v>21</v>
      </c>
      <c r="W27" s="764">
        <f t="shared" si="11"/>
        <v>100</v>
      </c>
      <c r="X27" s="765"/>
      <c r="Y27" s="3232"/>
      <c r="Z27" s="55">
        <f>Q27</f>
        <v>111</v>
      </c>
      <c r="AA27" s="1801">
        <f t="shared" si="12"/>
        <v>1</v>
      </c>
      <c r="AB27" s="1801">
        <f t="shared" si="13"/>
        <v>1</v>
      </c>
      <c r="AC27" s="1801">
        <f t="shared" si="14"/>
        <v>1</v>
      </c>
    </row>
    <row r="28" spans="1:29" ht="15">
      <c r="A28" s="424"/>
      <c r="B28" s="1375">
        <v>111</v>
      </c>
      <c r="C28" s="430"/>
      <c r="D28" s="431">
        <v>100</v>
      </c>
      <c r="E28" s="430"/>
      <c r="F28" s="431">
        <f>SUMIF(92:92,E28,93:93)-SUMIF(92:92,C28,93:93)+100</f>
        <v>100</v>
      </c>
      <c r="G28" s="2602"/>
      <c r="H28" s="431">
        <f>SUMIF(92:92,G28,93:93)-SUMIF(92:92,C28,93:93)+100</f>
        <v>100</v>
      </c>
      <c r="I28" s="430"/>
      <c r="J28" s="431">
        <f>SUMIF(92:92,I28,93:93)-SUMIF(92:92,C28,93:93)+100</f>
        <v>100</v>
      </c>
      <c r="K28" s="2588"/>
      <c r="L28" s="1136"/>
      <c r="M28" s="1127"/>
      <c r="N28" s="1127"/>
      <c r="O28" s="1127"/>
      <c r="P28" s="3230"/>
      <c r="Q28" s="1800">
        <f t="shared" si="8"/>
        <v>111</v>
      </c>
      <c r="R28" s="767" t="s">
        <v>21</v>
      </c>
      <c r="S28" s="768">
        <f t="shared" si="9"/>
        <v>100</v>
      </c>
      <c r="T28" s="767" t="s">
        <v>21</v>
      </c>
      <c r="U28" s="768">
        <f t="shared" si="10"/>
        <v>100</v>
      </c>
      <c r="V28" s="767" t="s">
        <v>21</v>
      </c>
      <c r="W28" s="768">
        <f t="shared" si="11"/>
        <v>100</v>
      </c>
      <c r="X28" s="1803"/>
      <c r="Y28" s="3232"/>
      <c r="Z28" s="1804">
        <f t="shared" ref="Z28:Z46" si="15">Q28</f>
        <v>111</v>
      </c>
      <c r="AA28" s="1801">
        <f t="shared" si="12"/>
        <v>1</v>
      </c>
      <c r="AB28" s="1801">
        <f t="shared" si="13"/>
        <v>1</v>
      </c>
      <c r="AC28" s="1801">
        <f t="shared" si="14"/>
        <v>1</v>
      </c>
    </row>
    <row r="29" spans="1:29" ht="15">
      <c r="A29" s="424"/>
      <c r="B29" s="1375">
        <v>111</v>
      </c>
      <c r="C29" s="430"/>
      <c r="D29" s="431">
        <v>100</v>
      </c>
      <c r="E29" s="430"/>
      <c r="F29" s="431">
        <f>SUMIF(94:94,E29,95:95)-SUMIF(94:94,C29,95:95)+100</f>
        <v>100</v>
      </c>
      <c r="G29" s="2602"/>
      <c r="H29" s="431">
        <f>SUMIF(94:94,G29,95:95)-SUMIF(94:94,C29,95:95)+100</f>
        <v>100</v>
      </c>
      <c r="I29" s="430"/>
      <c r="J29" s="431">
        <f>SUMIF(94:94,I29,95:95)-SUMIF(94:94,C29,95:95)+100</f>
        <v>100</v>
      </c>
      <c r="K29" s="2588"/>
      <c r="L29" s="1136"/>
      <c r="M29" s="1127"/>
      <c r="N29" s="1127"/>
      <c r="O29" s="1127"/>
      <c r="P29" s="3230"/>
      <c r="Q29" s="1800">
        <f t="shared" si="8"/>
        <v>111</v>
      </c>
      <c r="R29" s="767" t="s">
        <v>21</v>
      </c>
      <c r="S29" s="768">
        <f t="shared" si="9"/>
        <v>100</v>
      </c>
      <c r="T29" s="767" t="s">
        <v>21</v>
      </c>
      <c r="U29" s="768">
        <f t="shared" si="10"/>
        <v>100</v>
      </c>
      <c r="V29" s="767" t="s">
        <v>21</v>
      </c>
      <c r="W29" s="768">
        <f t="shared" si="11"/>
        <v>100</v>
      </c>
      <c r="X29" s="1803"/>
      <c r="Y29" s="3232"/>
      <c r="Z29" s="1804">
        <f t="shared" si="15"/>
        <v>111</v>
      </c>
      <c r="AA29" s="1801">
        <f t="shared" si="12"/>
        <v>1</v>
      </c>
      <c r="AB29" s="1801">
        <f t="shared" si="13"/>
        <v>1</v>
      </c>
      <c r="AC29" s="1801">
        <f t="shared" si="14"/>
        <v>1</v>
      </c>
    </row>
    <row r="30" spans="1:29" ht="15">
      <c r="A30" s="424"/>
      <c r="B30" s="1375">
        <v>111</v>
      </c>
      <c r="C30" s="430"/>
      <c r="D30" s="431">
        <v>100</v>
      </c>
      <c r="E30" s="430"/>
      <c r="F30" s="431">
        <f>SUMIF(96:96,E30,97:97)-SUMIF(96:96,C30,97:97)+100</f>
        <v>100</v>
      </c>
      <c r="G30" s="2602"/>
      <c r="H30" s="431">
        <f>SUMIF(96:96,G30,97:97)-SUMIF(96:96,C30,97:97)+100</f>
        <v>100</v>
      </c>
      <c r="I30" s="430"/>
      <c r="J30" s="431">
        <f>SUMIF(96:96,I30,97:97)-SUMIF(96:96,C30,97:97)+100</f>
        <v>100</v>
      </c>
      <c r="K30" s="2588"/>
      <c r="L30" s="1136"/>
      <c r="M30" s="1127"/>
      <c r="N30" s="1127"/>
      <c r="O30" s="1127"/>
      <c r="P30" s="3230"/>
      <c r="Q30" s="1800">
        <f t="shared" si="8"/>
        <v>111</v>
      </c>
      <c r="R30" s="767" t="s">
        <v>21</v>
      </c>
      <c r="S30" s="768">
        <f t="shared" si="9"/>
        <v>100</v>
      </c>
      <c r="T30" s="767" t="s">
        <v>21</v>
      </c>
      <c r="U30" s="768">
        <f t="shared" si="10"/>
        <v>100</v>
      </c>
      <c r="V30" s="767" t="s">
        <v>21</v>
      </c>
      <c r="W30" s="768">
        <f t="shared" si="11"/>
        <v>100</v>
      </c>
      <c r="X30" s="1803"/>
      <c r="Y30" s="3232"/>
      <c r="Z30" s="1804">
        <f t="shared" si="15"/>
        <v>111</v>
      </c>
      <c r="AA30" s="1801">
        <f t="shared" si="12"/>
        <v>1</v>
      </c>
      <c r="AB30" s="1801">
        <f t="shared" si="13"/>
        <v>1</v>
      </c>
      <c r="AC30" s="1801">
        <f t="shared" si="14"/>
        <v>1</v>
      </c>
    </row>
    <row r="31" spans="1:29" ht="15.75" thickBot="1">
      <c r="A31" s="432"/>
      <c r="B31" s="1375">
        <v>111</v>
      </c>
      <c r="C31" s="433"/>
      <c r="D31" s="434">
        <v>100</v>
      </c>
      <c r="E31" s="433"/>
      <c r="F31" s="434">
        <f>SUMIF(98:98,E31,99:99)-SUMIF(98:98,C31,99:99)+100</f>
        <v>100</v>
      </c>
      <c r="G31" s="2603"/>
      <c r="H31" s="434">
        <f>SUMIF(98:98,G31,99:99)-SUMIF(98:98,C31,99:99)+100</f>
        <v>100</v>
      </c>
      <c r="I31" s="433"/>
      <c r="J31" s="434">
        <f>SUMIF(98:98,I31,99:99)-SUMIF(98:98,C31,99:99)+100</f>
        <v>100</v>
      </c>
      <c r="K31" s="2588"/>
      <c r="L31" s="1136"/>
      <c r="M31" s="1127"/>
      <c r="N31" s="1127"/>
      <c r="O31" s="1127"/>
      <c r="P31" s="3230"/>
      <c r="Q31" s="1800">
        <f t="shared" si="8"/>
        <v>111</v>
      </c>
      <c r="R31" s="767" t="s">
        <v>21</v>
      </c>
      <c r="S31" s="768">
        <f t="shared" si="9"/>
        <v>100</v>
      </c>
      <c r="T31" s="767" t="s">
        <v>21</v>
      </c>
      <c r="U31" s="768">
        <f t="shared" si="10"/>
        <v>100</v>
      </c>
      <c r="V31" s="767" t="s">
        <v>21</v>
      </c>
      <c r="W31" s="768">
        <f t="shared" si="11"/>
        <v>100</v>
      </c>
      <c r="X31" s="1803"/>
      <c r="Y31" s="3232"/>
      <c r="Z31" s="1804">
        <f t="shared" si="15"/>
        <v>111</v>
      </c>
      <c r="AA31" s="1801">
        <f t="shared" si="12"/>
        <v>1</v>
      </c>
      <c r="AB31" s="1801">
        <f t="shared" si="13"/>
        <v>1</v>
      </c>
      <c r="AC31" s="1801">
        <f t="shared" si="14"/>
        <v>1</v>
      </c>
    </row>
    <row r="32" spans="1:29" ht="15">
      <c r="A32" s="436" t="s">
        <v>2560</v>
      </c>
      <c r="B32" s="70" t="s">
        <v>2561</v>
      </c>
      <c r="C32" s="2604"/>
      <c r="D32" s="463">
        <v>100</v>
      </c>
      <c r="E32" s="2605"/>
      <c r="F32" s="457">
        <f>SUMIF(100:100,E32,101:101)-SUMIF(100:100,C32,101:101)+100</f>
        <v>100</v>
      </c>
      <c r="G32" s="2604"/>
      <c r="H32" s="463">
        <f>SUMIF(100:100,G32,101:101)-SUMIF(100:100,C32,101:101)+100</f>
        <v>100</v>
      </c>
      <c r="I32" s="2605"/>
      <c r="J32" s="431">
        <f>SUMIF(100:100,I32,101:101)-SUMIF(100:100,C32,101:101)+100</f>
        <v>100</v>
      </c>
      <c r="K32" s="422"/>
      <c r="L32" s="1136"/>
      <c r="M32" s="1127"/>
      <c r="N32" s="1127"/>
      <c r="O32" s="1127"/>
      <c r="P32" s="3233" t="s">
        <v>2562</v>
      </c>
      <c r="Q32" s="1800" t="str">
        <f t="shared" si="8"/>
        <v>建筑类型</v>
      </c>
      <c r="R32" s="767" t="s">
        <v>21</v>
      </c>
      <c r="S32" s="768">
        <f t="shared" si="9"/>
        <v>100</v>
      </c>
      <c r="T32" s="767" t="s">
        <v>21</v>
      </c>
      <c r="U32" s="768">
        <f t="shared" si="10"/>
        <v>100</v>
      </c>
      <c r="V32" s="767" t="s">
        <v>21</v>
      </c>
      <c r="W32" s="768">
        <f t="shared" si="11"/>
        <v>100</v>
      </c>
      <c r="X32" s="1803"/>
      <c r="Y32" s="3236" t="s">
        <v>2562</v>
      </c>
      <c r="Z32" s="1804" t="str">
        <f t="shared" si="15"/>
        <v>建筑类型</v>
      </c>
      <c r="AA32" s="1801">
        <f t="shared" si="12"/>
        <v>1</v>
      </c>
      <c r="AB32" s="1801">
        <f t="shared" si="13"/>
        <v>1</v>
      </c>
      <c r="AC32" s="1801">
        <f t="shared" si="14"/>
        <v>1</v>
      </c>
    </row>
    <row r="33" spans="1:29" s="467" customFormat="1" ht="15">
      <c r="A33" s="464"/>
      <c r="B33" s="418" t="s">
        <v>2563</v>
      </c>
      <c r="C33" s="465"/>
      <c r="D33" s="135">
        <v>100</v>
      </c>
      <c r="E33" s="426"/>
      <c r="F33" s="421" t="e">
        <f>LOOKUP(E33,103:103,104:104)-LOOKUP(C33,103:103,104:104)+100</f>
        <v>#N/A</v>
      </c>
      <c r="G33" s="425"/>
      <c r="H33" s="135" t="e">
        <f>LOOKUP(G33,103:103,104:104)-LOOKUP(C33,103:103,104:104)+100</f>
        <v>#N/A</v>
      </c>
      <c r="I33" s="426"/>
      <c r="J33" s="135" t="e">
        <f>LOOKUP(I33,103:103,104:104)-LOOKUP(C33,103:103,104:104)+100</f>
        <v>#N/A</v>
      </c>
      <c r="K33" s="2588"/>
      <c r="L33" s="1134"/>
      <c r="M33" s="1137"/>
      <c r="N33" s="1137"/>
      <c r="O33" s="1137"/>
      <c r="P33" s="3234"/>
      <c r="Q33" s="769" t="str">
        <f t="shared" si="8"/>
        <v>项目建筑规模</v>
      </c>
      <c r="R33" s="770" t="s">
        <v>21</v>
      </c>
      <c r="S33" s="771" t="e">
        <f t="shared" si="9"/>
        <v>#N/A</v>
      </c>
      <c r="T33" s="770" t="s">
        <v>21</v>
      </c>
      <c r="U33" s="771" t="e">
        <f t="shared" si="10"/>
        <v>#N/A</v>
      </c>
      <c r="V33" s="770" t="s">
        <v>21</v>
      </c>
      <c r="W33" s="771" t="e">
        <f t="shared" si="11"/>
        <v>#N/A</v>
      </c>
      <c r="X33" s="772"/>
      <c r="Y33" s="3236"/>
      <c r="Z33" s="773" t="str">
        <f t="shared" si="15"/>
        <v>项目建筑规模</v>
      </c>
      <c r="AA33" s="1801" t="e">
        <f t="shared" si="12"/>
        <v>#N/A</v>
      </c>
      <c r="AB33" s="1801" t="e">
        <f t="shared" si="13"/>
        <v>#N/A</v>
      </c>
      <c r="AC33" s="1801" t="e">
        <f t="shared" si="14"/>
        <v>#N/A</v>
      </c>
    </row>
    <row r="34" spans="1:29" ht="15">
      <c r="A34" s="468"/>
      <c r="B34" s="418" t="s">
        <v>2564</v>
      </c>
      <c r="C34" s="2606"/>
      <c r="D34" s="431">
        <v>100</v>
      </c>
      <c r="E34" s="2607"/>
      <c r="F34" s="457">
        <f>SUMIF(105:105,E34,106:106)-SUMIF(105:105,C34,106:106)+100</f>
        <v>100</v>
      </c>
      <c r="G34" s="2606"/>
      <c r="H34" s="431">
        <f>SUMIF(105:105,G34,106:106)-SUMIF(105:105,C34,106:106)+100</f>
        <v>100</v>
      </c>
      <c r="I34" s="2607"/>
      <c r="J34" s="431">
        <f>SUMIF(105:105,I34,106:106)-SUMIF(105:105,C34,106:106)+100</f>
        <v>100</v>
      </c>
      <c r="K34" s="422"/>
      <c r="L34" s="1136"/>
      <c r="M34" s="1127"/>
      <c r="N34" s="1127"/>
      <c r="O34" s="1127"/>
      <c r="P34" s="3234"/>
      <c r="Q34" s="1800" t="str">
        <f t="shared" si="8"/>
        <v>建筑结构</v>
      </c>
      <c r="R34" s="767" t="s">
        <v>21</v>
      </c>
      <c r="S34" s="768">
        <f t="shared" si="9"/>
        <v>100</v>
      </c>
      <c r="T34" s="767" t="s">
        <v>21</v>
      </c>
      <c r="U34" s="768">
        <f t="shared" si="10"/>
        <v>100</v>
      </c>
      <c r="V34" s="767" t="s">
        <v>21</v>
      </c>
      <c r="W34" s="768">
        <f t="shared" si="11"/>
        <v>100</v>
      </c>
      <c r="X34" s="1803"/>
      <c r="Y34" s="3236"/>
      <c r="Z34" s="1804" t="str">
        <f t="shared" si="15"/>
        <v>建筑结构</v>
      </c>
      <c r="AA34" s="1801">
        <f t="shared" si="12"/>
        <v>1</v>
      </c>
      <c r="AB34" s="1801">
        <f t="shared" si="13"/>
        <v>1</v>
      </c>
      <c r="AC34" s="1801">
        <f t="shared" si="14"/>
        <v>1</v>
      </c>
    </row>
    <row r="35" spans="1:29" ht="15">
      <c r="A35" s="468"/>
      <c r="B35" s="418" t="s">
        <v>2565</v>
      </c>
      <c r="C35" s="2600"/>
      <c r="D35" s="431">
        <v>100</v>
      </c>
      <c r="E35" s="2601"/>
      <c r="F35" s="457">
        <f>SUMIF(107:107,E35,108:108)-SUMIF(107:107,C35,108:108)+100</f>
        <v>100</v>
      </c>
      <c r="G35" s="2600"/>
      <c r="H35" s="431">
        <f>SUMIF(107:107,G35,108:108)-SUMIF(107:107,C35,108:108)+100</f>
        <v>100</v>
      </c>
      <c r="I35" s="2601"/>
      <c r="J35" s="431">
        <f>SUMIF(107:107,I35,108:108)-SUMIF(107:107,C35,108:108)+100</f>
        <v>100</v>
      </c>
      <c r="K35" s="422"/>
      <c r="L35" s="1136"/>
      <c r="M35" s="1127"/>
      <c r="N35" s="1127"/>
      <c r="O35" s="1127"/>
      <c r="P35" s="3234"/>
      <c r="Q35" s="1800" t="str">
        <f t="shared" si="8"/>
        <v>建筑品质</v>
      </c>
      <c r="R35" s="767" t="s">
        <v>21</v>
      </c>
      <c r="S35" s="768">
        <f t="shared" si="9"/>
        <v>100</v>
      </c>
      <c r="T35" s="767" t="s">
        <v>21</v>
      </c>
      <c r="U35" s="768">
        <f t="shared" si="10"/>
        <v>100</v>
      </c>
      <c r="V35" s="767" t="s">
        <v>21</v>
      </c>
      <c r="W35" s="768">
        <f t="shared" si="11"/>
        <v>100</v>
      </c>
      <c r="X35" s="1803"/>
      <c r="Y35" s="3236"/>
      <c r="Z35" s="1804" t="str">
        <f t="shared" si="15"/>
        <v>建筑品质</v>
      </c>
      <c r="AA35" s="1801">
        <f t="shared" si="12"/>
        <v>1</v>
      </c>
      <c r="AB35" s="1801">
        <f t="shared" si="13"/>
        <v>1</v>
      </c>
      <c r="AC35" s="1801">
        <f t="shared" si="14"/>
        <v>1</v>
      </c>
    </row>
    <row r="36" spans="1:29" ht="15">
      <c r="A36" s="468"/>
      <c r="B36" s="418" t="s">
        <v>2566</v>
      </c>
      <c r="C36" s="2600"/>
      <c r="D36" s="431">
        <v>100</v>
      </c>
      <c r="E36" s="2601"/>
      <c r="F36" s="457">
        <f>SUMIF(109:109,E36,110:110)-SUMIF(109:109,C36,110:110)+100</f>
        <v>100</v>
      </c>
      <c r="G36" s="2600"/>
      <c r="H36" s="431">
        <f>SUMIF(109:109,G36,110:110)-SUMIF(109:109,C36,110:110)+100</f>
        <v>100</v>
      </c>
      <c r="I36" s="2601"/>
      <c r="J36" s="431">
        <f>SUMIF(109:109,I36,110:110)-SUMIF(109:109,C36,110:110)+100</f>
        <v>100</v>
      </c>
      <c r="K36" s="422"/>
      <c r="L36" s="1136"/>
      <c r="M36" s="1127"/>
      <c r="N36" s="1127"/>
      <c r="O36" s="1127"/>
      <c r="P36" s="3234"/>
      <c r="Q36" s="1800" t="str">
        <f t="shared" si="8"/>
        <v>公共部分装修</v>
      </c>
      <c r="R36" s="767" t="s">
        <v>21</v>
      </c>
      <c r="S36" s="768">
        <f t="shared" si="9"/>
        <v>100</v>
      </c>
      <c r="T36" s="767" t="s">
        <v>21</v>
      </c>
      <c r="U36" s="768">
        <f t="shared" si="10"/>
        <v>100</v>
      </c>
      <c r="V36" s="767" t="s">
        <v>21</v>
      </c>
      <c r="W36" s="768">
        <f t="shared" si="11"/>
        <v>100</v>
      </c>
      <c r="X36" s="1803"/>
      <c r="Y36" s="3236"/>
      <c r="Z36" s="1804" t="str">
        <f t="shared" si="15"/>
        <v>公共部分装修</v>
      </c>
      <c r="AA36" s="1801">
        <f t="shared" si="12"/>
        <v>1</v>
      </c>
      <c r="AB36" s="1801">
        <f t="shared" si="13"/>
        <v>1</v>
      </c>
      <c r="AC36" s="1801">
        <f t="shared" si="14"/>
        <v>1</v>
      </c>
    </row>
    <row r="37" spans="1:29" s="116" customFormat="1" ht="15">
      <c r="A37" s="469"/>
      <c r="B37" s="418" t="s">
        <v>2567</v>
      </c>
      <c r="C37" s="470"/>
      <c r="D37" s="135">
        <v>100</v>
      </c>
      <c r="E37" s="470"/>
      <c r="F37" s="421" t="e">
        <f>LOOKUP(E37,112:112,113:113)-LOOKUP(C37,112:112,113:113)+100</f>
        <v>#N/A</v>
      </c>
      <c r="G37" s="472"/>
      <c r="H37" s="135" t="e">
        <f>LOOKUP(G37,112:112,113:113)-LOOKUP(C37,112:112,113:113)+100</f>
        <v>#N/A</v>
      </c>
      <c r="I37" s="471"/>
      <c r="J37" s="135" t="e">
        <f>LOOKUP(I37,112:112,113:113)-LOOKUP(C37,112:112,113:113)+100</f>
        <v>#N/A</v>
      </c>
      <c r="K37" s="422"/>
      <c r="L37" s="1128"/>
      <c r="M37" s="1129"/>
      <c r="N37" s="1129"/>
      <c r="O37" s="1129"/>
      <c r="P37" s="3234"/>
      <c r="Q37" s="1785" t="str">
        <f t="shared" si="8"/>
        <v>成新度</v>
      </c>
      <c r="R37" s="763" t="s">
        <v>21</v>
      </c>
      <c r="S37" s="764" t="e">
        <f t="shared" si="9"/>
        <v>#N/A</v>
      </c>
      <c r="T37" s="763" t="s">
        <v>21</v>
      </c>
      <c r="U37" s="764" t="e">
        <f t="shared" si="10"/>
        <v>#N/A</v>
      </c>
      <c r="V37" s="763" t="s">
        <v>21</v>
      </c>
      <c r="W37" s="764" t="e">
        <f t="shared" si="11"/>
        <v>#N/A</v>
      </c>
      <c r="X37" s="765"/>
      <c r="Y37" s="3236"/>
      <c r="Z37" s="55" t="str">
        <f t="shared" si="15"/>
        <v>成新度</v>
      </c>
      <c r="AA37" s="766" t="e">
        <f t="shared" si="12"/>
        <v>#N/A</v>
      </c>
      <c r="AB37" s="766" t="e">
        <f t="shared" si="13"/>
        <v>#N/A</v>
      </c>
      <c r="AC37" s="766" t="e">
        <f t="shared" si="14"/>
        <v>#N/A</v>
      </c>
    </row>
    <row r="38" spans="1:29" ht="15">
      <c r="A38" s="468"/>
      <c r="B38" s="418" t="s">
        <v>2568</v>
      </c>
      <c r="C38" s="2600"/>
      <c r="D38" s="431">
        <v>100</v>
      </c>
      <c r="E38" s="2601"/>
      <c r="F38" s="457">
        <f>SUMIF(114:114,E38,115:115)-SUMIF(114:114,C38,115:115)+100</f>
        <v>100</v>
      </c>
      <c r="G38" s="2600"/>
      <c r="H38" s="431">
        <f>SUMIF(114:114,G38,115:115)-SUMIF(114:114,C38,115:115)+100</f>
        <v>100</v>
      </c>
      <c r="I38" s="2601"/>
      <c r="J38" s="431">
        <f>SUMIF(114:114,I38,115:115)-SUMIF(114:114,C38,115:115)+100</f>
        <v>100</v>
      </c>
      <c r="K38" s="422"/>
      <c r="L38" s="1136"/>
      <c r="M38" s="1127"/>
      <c r="N38" s="1127"/>
      <c r="O38" s="1127"/>
      <c r="P38" s="3234" t="s">
        <v>2562</v>
      </c>
      <c r="Q38" s="1800" t="str">
        <f t="shared" si="8"/>
        <v>物业管理</v>
      </c>
      <c r="R38" s="767" t="s">
        <v>21</v>
      </c>
      <c r="S38" s="768">
        <f t="shared" si="9"/>
        <v>100</v>
      </c>
      <c r="T38" s="767" t="s">
        <v>21</v>
      </c>
      <c r="U38" s="768">
        <f t="shared" si="10"/>
        <v>100</v>
      </c>
      <c r="V38" s="767" t="s">
        <v>21</v>
      </c>
      <c r="W38" s="768">
        <f t="shared" si="11"/>
        <v>100</v>
      </c>
      <c r="X38" s="1803"/>
      <c r="Y38" s="3236" t="s">
        <v>2562</v>
      </c>
      <c r="Z38" s="1804" t="str">
        <f t="shared" si="15"/>
        <v>物业管理</v>
      </c>
      <c r="AA38" s="1801">
        <f t="shared" si="12"/>
        <v>1</v>
      </c>
      <c r="AB38" s="1801">
        <f t="shared" si="13"/>
        <v>1</v>
      </c>
      <c r="AC38" s="1801">
        <f t="shared" si="14"/>
        <v>1</v>
      </c>
    </row>
    <row r="39" spans="1:29" ht="15">
      <c r="A39" s="468"/>
      <c r="B39" s="418" t="s">
        <v>2569</v>
      </c>
      <c r="C39" s="2600"/>
      <c r="D39" s="431">
        <v>100</v>
      </c>
      <c r="E39" s="2601"/>
      <c r="F39" s="457">
        <f>SUMIF(116:116,E39,117:117)-SUMIF(116:116,C39,117:117)+100</f>
        <v>100</v>
      </c>
      <c r="G39" s="2600"/>
      <c r="H39" s="431">
        <f>SUMIF(116:116,G39,117:117)-SUMIF(116:116,C39,117:117)+100</f>
        <v>100</v>
      </c>
      <c r="I39" s="2601"/>
      <c r="J39" s="431">
        <f>SUMIF(116:116,I39,117:117)-SUMIF(116:116,C39,117:117)+100</f>
        <v>100</v>
      </c>
      <c r="K39" s="422"/>
      <c r="L39" s="1136"/>
      <c r="M39" s="1127"/>
      <c r="N39" s="1127"/>
      <c r="O39" s="1127"/>
      <c r="P39" s="3234"/>
      <c r="Q39" s="1800" t="str">
        <f t="shared" si="8"/>
        <v>市政基础设施</v>
      </c>
      <c r="R39" s="767" t="s">
        <v>21</v>
      </c>
      <c r="S39" s="768">
        <f t="shared" si="9"/>
        <v>100</v>
      </c>
      <c r="T39" s="767" t="s">
        <v>21</v>
      </c>
      <c r="U39" s="768">
        <f t="shared" si="10"/>
        <v>100</v>
      </c>
      <c r="V39" s="767" t="s">
        <v>21</v>
      </c>
      <c r="W39" s="768">
        <f t="shared" si="11"/>
        <v>100</v>
      </c>
      <c r="X39" s="1803"/>
      <c r="Y39" s="3236"/>
      <c r="Z39" s="1804" t="str">
        <f t="shared" si="15"/>
        <v>市政基础设施</v>
      </c>
      <c r="AA39" s="1801">
        <f t="shared" si="12"/>
        <v>1</v>
      </c>
      <c r="AB39" s="1801">
        <f t="shared" si="13"/>
        <v>1</v>
      </c>
      <c r="AC39" s="1801">
        <f t="shared" si="14"/>
        <v>1</v>
      </c>
    </row>
    <row r="40" spans="1:29" ht="15">
      <c r="A40" s="468"/>
      <c r="B40" s="418" t="s">
        <v>2570</v>
      </c>
      <c r="C40" s="2600"/>
      <c r="D40" s="431">
        <v>100</v>
      </c>
      <c r="E40" s="2601"/>
      <c r="F40" s="457">
        <f>SUMIF(118:118,E40,119:119)-SUMIF(118:118,C40,119:119)+100</f>
        <v>100</v>
      </c>
      <c r="G40" s="2600"/>
      <c r="H40" s="431">
        <f>SUMIF(118:118,G40,119:119)-SUMIF(118:118,C40,119:119)+100</f>
        <v>100</v>
      </c>
      <c r="I40" s="2601"/>
      <c r="J40" s="431">
        <f>SUMIF(118:118,I40,119:119)-SUMIF(118:118,C40,119:119)+100</f>
        <v>100</v>
      </c>
      <c r="K40" s="422"/>
      <c r="L40" s="1136"/>
      <c r="M40" s="1127"/>
      <c r="N40" s="1127"/>
      <c r="O40" s="1127"/>
      <c r="P40" s="3234"/>
      <c r="Q40" s="1800" t="str">
        <f t="shared" si="8"/>
        <v>房型</v>
      </c>
      <c r="R40" s="767" t="s">
        <v>21</v>
      </c>
      <c r="S40" s="768">
        <f t="shared" si="9"/>
        <v>100</v>
      </c>
      <c r="T40" s="767" t="s">
        <v>21</v>
      </c>
      <c r="U40" s="768">
        <f t="shared" si="10"/>
        <v>100</v>
      </c>
      <c r="V40" s="767" t="s">
        <v>21</v>
      </c>
      <c r="W40" s="768">
        <f t="shared" si="11"/>
        <v>100</v>
      </c>
      <c r="X40" s="1803"/>
      <c r="Y40" s="3236"/>
      <c r="Z40" s="1804" t="str">
        <f t="shared" si="15"/>
        <v>房型</v>
      </c>
      <c r="AA40" s="1801">
        <f t="shared" si="12"/>
        <v>1</v>
      </c>
      <c r="AB40" s="1801">
        <f t="shared" si="13"/>
        <v>1</v>
      </c>
      <c r="AC40" s="1801">
        <f t="shared" si="14"/>
        <v>1</v>
      </c>
    </row>
    <row r="41" spans="1:29" s="467" customFormat="1" ht="28.5">
      <c r="A41" s="464"/>
      <c r="B41" s="418" t="s">
        <v>2571</v>
      </c>
      <c r="C41" s="465"/>
      <c r="D41" s="135">
        <v>100</v>
      </c>
      <c r="E41" s="426"/>
      <c r="F41" s="421">
        <f>SUMIF(120:120,E41,121:121)-SUMIF(120:120,C41,121:121)+100</f>
        <v>100</v>
      </c>
      <c r="G41" s="425"/>
      <c r="H41" s="135">
        <f>SUMIF(120:120,G41,121:121)-SUMIF(120:120,C41,121:121)+100</f>
        <v>100</v>
      </c>
      <c r="I41" s="473"/>
      <c r="J41" s="431">
        <f>SUMIF(120:120,I41,121:121)-SUMIF(120:120,C41,121:121)+100</f>
        <v>100</v>
      </c>
      <c r="K41" s="2588"/>
      <c r="L41" s="1134"/>
      <c r="M41" s="1137"/>
      <c r="N41" s="1137"/>
      <c r="O41" s="1137"/>
      <c r="P41" s="3234"/>
      <c r="Q41" s="769" t="str">
        <f t="shared" si="8"/>
        <v>单套/主力户型建筑面积</v>
      </c>
      <c r="R41" s="770" t="s">
        <v>21</v>
      </c>
      <c r="S41" s="771">
        <f t="shared" si="9"/>
        <v>100</v>
      </c>
      <c r="T41" s="770" t="s">
        <v>21</v>
      </c>
      <c r="U41" s="771">
        <f t="shared" si="10"/>
        <v>100</v>
      </c>
      <c r="V41" s="770" t="s">
        <v>21</v>
      </c>
      <c r="W41" s="771">
        <f t="shared" si="11"/>
        <v>100</v>
      </c>
      <c r="X41" s="772"/>
      <c r="Y41" s="3236"/>
      <c r="Z41" s="773" t="str">
        <f t="shared" si="15"/>
        <v>单套/主力户型建筑面积</v>
      </c>
      <c r="AA41" s="1801">
        <f t="shared" si="12"/>
        <v>1</v>
      </c>
      <c r="AB41" s="1801">
        <f t="shared" si="13"/>
        <v>1</v>
      </c>
      <c r="AC41" s="1801">
        <f t="shared" si="14"/>
        <v>1</v>
      </c>
    </row>
    <row r="42" spans="1:29" ht="15">
      <c r="A42" s="468"/>
      <c r="B42" s="418" t="s">
        <v>2572</v>
      </c>
      <c r="C42" s="2600"/>
      <c r="D42" s="431">
        <v>100</v>
      </c>
      <c r="E42" s="2601"/>
      <c r="F42" s="457">
        <f>SUMIF(122:122,E42,123:123)-SUMIF(122:122,C42,123:123)+100</f>
        <v>100</v>
      </c>
      <c r="G42" s="2600"/>
      <c r="H42" s="431">
        <f>SUMIF(122:122,G42,123:123)-SUMIF(122:122,C42,123:123)+100</f>
        <v>100</v>
      </c>
      <c r="I42" s="2601"/>
      <c r="J42" s="431">
        <f>SUMIF(122:122,I42,123:123)-SUMIF(122:122,C42,123:123)+100</f>
        <v>100</v>
      </c>
      <c r="K42" s="422"/>
      <c r="L42" s="1136"/>
      <c r="M42" s="1127"/>
      <c r="N42" s="1127"/>
      <c r="O42" s="1127"/>
      <c r="P42" s="3234"/>
      <c r="Q42" s="1800" t="str">
        <f t="shared" si="8"/>
        <v>内部装修</v>
      </c>
      <c r="R42" s="767" t="s">
        <v>21</v>
      </c>
      <c r="S42" s="768">
        <f t="shared" si="9"/>
        <v>100</v>
      </c>
      <c r="T42" s="767" t="s">
        <v>21</v>
      </c>
      <c r="U42" s="768">
        <f t="shared" si="10"/>
        <v>100</v>
      </c>
      <c r="V42" s="767" t="s">
        <v>21</v>
      </c>
      <c r="W42" s="768">
        <f t="shared" si="11"/>
        <v>100</v>
      </c>
      <c r="X42" s="1803"/>
      <c r="Y42" s="3236"/>
      <c r="Z42" s="1804" t="str">
        <f t="shared" si="15"/>
        <v>内部装修</v>
      </c>
      <c r="AA42" s="1801">
        <f t="shared" si="12"/>
        <v>1</v>
      </c>
      <c r="AB42" s="1801">
        <f t="shared" si="13"/>
        <v>1</v>
      </c>
      <c r="AC42" s="1801">
        <f t="shared" si="14"/>
        <v>1</v>
      </c>
    </row>
    <row r="43" spans="1:29" ht="15">
      <c r="A43" s="468"/>
      <c r="B43" s="418" t="s">
        <v>2573</v>
      </c>
      <c r="C43" s="2600"/>
      <c r="D43" s="431">
        <v>100</v>
      </c>
      <c r="E43" s="2601"/>
      <c r="F43" s="457">
        <f>SUMIF(124:124,E43,125:125)-SUMIF(124:124,C43,125:125)+100</f>
        <v>100</v>
      </c>
      <c r="G43" s="2600"/>
      <c r="H43" s="431">
        <f>SUMIF(124:124,G43,125:125)-SUMIF(124:124,C43,125:125)+100</f>
        <v>100</v>
      </c>
      <c r="I43" s="2601"/>
      <c r="J43" s="431">
        <f>SUMIF(124:124,I43,125:125)-SUMIF(124:124,C43,125:125)+100</f>
        <v>100</v>
      </c>
      <c r="K43" s="422"/>
      <c r="L43" s="1136"/>
      <c r="M43" s="1127"/>
      <c r="N43" s="1127"/>
      <c r="O43" s="1127"/>
      <c r="P43" s="3234"/>
      <c r="Q43" s="1800" t="str">
        <f t="shared" si="8"/>
        <v>内部装修维护情况</v>
      </c>
      <c r="R43" s="767" t="s">
        <v>21</v>
      </c>
      <c r="S43" s="768">
        <f t="shared" si="9"/>
        <v>100</v>
      </c>
      <c r="T43" s="767" t="s">
        <v>21</v>
      </c>
      <c r="U43" s="768">
        <f t="shared" si="10"/>
        <v>100</v>
      </c>
      <c r="V43" s="767" t="s">
        <v>21</v>
      </c>
      <c r="W43" s="768">
        <f t="shared" si="11"/>
        <v>100</v>
      </c>
      <c r="X43" s="1803"/>
      <c r="Y43" s="3236"/>
      <c r="Z43" s="1804" t="str">
        <f t="shared" si="15"/>
        <v>内部装修维护情况</v>
      </c>
      <c r="AA43" s="1801">
        <f t="shared" si="12"/>
        <v>1</v>
      </c>
      <c r="AB43" s="1801">
        <f t="shared" si="13"/>
        <v>1</v>
      </c>
      <c r="AC43" s="1801">
        <f t="shared" si="14"/>
        <v>1</v>
      </c>
    </row>
    <row r="44" spans="1:29" s="116" customFormat="1" ht="15">
      <c r="A44" s="469"/>
      <c r="B44" s="1375">
        <v>111</v>
      </c>
      <c r="C44" s="465"/>
      <c r="D44" s="135">
        <v>100</v>
      </c>
      <c r="E44" s="465"/>
      <c r="F44" s="421">
        <f>SUMIF(126:126,E44,127:127)-SUMIF(126:126,C44,127:127)+100</f>
        <v>100</v>
      </c>
      <c r="G44" s="465"/>
      <c r="H44" s="135">
        <f>SUMIF(126:126,G44,127:127)-SUMIF(126:126,C44,127:127)+100</f>
        <v>100</v>
      </c>
      <c r="I44" s="465"/>
      <c r="J44" s="135">
        <f>SUMIF(126:126,I44,127:127)-SUMIF(126:126,C44,127:127)+100</f>
        <v>100</v>
      </c>
      <c r="K44" s="2588"/>
      <c r="L44" s="1128"/>
      <c r="M44" s="1129"/>
      <c r="N44" s="1129"/>
      <c r="O44" s="1129"/>
      <c r="P44" s="3234"/>
      <c r="Q44" s="1785">
        <f t="shared" si="8"/>
        <v>111</v>
      </c>
      <c r="R44" s="763" t="s">
        <v>21</v>
      </c>
      <c r="S44" s="764">
        <f t="shared" si="9"/>
        <v>100</v>
      </c>
      <c r="T44" s="763" t="s">
        <v>21</v>
      </c>
      <c r="U44" s="764">
        <f t="shared" si="10"/>
        <v>100</v>
      </c>
      <c r="V44" s="763" t="s">
        <v>21</v>
      </c>
      <c r="W44" s="764">
        <f t="shared" si="11"/>
        <v>100</v>
      </c>
      <c r="X44" s="765"/>
      <c r="Y44" s="3236"/>
      <c r="Z44" s="55">
        <f t="shared" si="15"/>
        <v>111</v>
      </c>
      <c r="AA44" s="766">
        <f t="shared" si="12"/>
        <v>1</v>
      </c>
      <c r="AB44" s="766">
        <f t="shared" si="13"/>
        <v>1</v>
      </c>
      <c r="AC44" s="766">
        <f t="shared" si="14"/>
        <v>1</v>
      </c>
    </row>
    <row r="45" spans="1:29" ht="15">
      <c r="A45" s="468"/>
      <c r="B45" s="1375">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88"/>
      <c r="L45" s="1136"/>
      <c r="M45" s="1127"/>
      <c r="N45" s="1127"/>
      <c r="O45" s="1127"/>
      <c r="P45" s="3234"/>
      <c r="Q45" s="1800">
        <f t="shared" si="8"/>
        <v>111</v>
      </c>
      <c r="R45" s="767" t="s">
        <v>21</v>
      </c>
      <c r="S45" s="768">
        <f t="shared" si="9"/>
        <v>100</v>
      </c>
      <c r="T45" s="767" t="s">
        <v>21</v>
      </c>
      <c r="U45" s="768">
        <f t="shared" si="10"/>
        <v>100</v>
      </c>
      <c r="V45" s="767" t="s">
        <v>21</v>
      </c>
      <c r="W45" s="768">
        <f t="shared" si="11"/>
        <v>100</v>
      </c>
      <c r="X45" s="1803"/>
      <c r="Y45" s="3236"/>
      <c r="Z45" s="1804">
        <f t="shared" si="15"/>
        <v>111</v>
      </c>
      <c r="AA45" s="1801">
        <f t="shared" si="12"/>
        <v>1</v>
      </c>
      <c r="AB45" s="1801">
        <f t="shared" si="13"/>
        <v>1</v>
      </c>
      <c r="AC45" s="1801">
        <f t="shared" si="14"/>
        <v>1</v>
      </c>
    </row>
    <row r="46" spans="1:29" ht="15.75" thickBot="1">
      <c r="A46" s="474"/>
      <c r="B46" s="2589">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88"/>
      <c r="L46" s="1136"/>
      <c r="M46" s="1127"/>
      <c r="N46" s="1127"/>
      <c r="O46" s="1127"/>
      <c r="P46" s="3235"/>
      <c r="Q46" s="1800">
        <f t="shared" si="8"/>
        <v>111</v>
      </c>
      <c r="R46" s="767" t="s">
        <v>20</v>
      </c>
      <c r="S46" s="768">
        <f t="shared" si="9"/>
        <v>100</v>
      </c>
      <c r="T46" s="767" t="s">
        <v>20</v>
      </c>
      <c r="U46" s="768">
        <f t="shared" si="10"/>
        <v>100</v>
      </c>
      <c r="V46" s="767" t="s">
        <v>20</v>
      </c>
      <c r="W46" s="768">
        <f t="shared" si="11"/>
        <v>100</v>
      </c>
      <c r="X46" s="1803"/>
      <c r="Y46" s="3237"/>
      <c r="Z46" s="1804">
        <f t="shared" si="15"/>
        <v>111</v>
      </c>
      <c r="AA46" s="1801">
        <f t="shared" si="12"/>
        <v>1</v>
      </c>
      <c r="AB46" s="1801">
        <f t="shared" si="13"/>
        <v>1</v>
      </c>
      <c r="AC46" s="1801">
        <f t="shared" si="14"/>
        <v>1</v>
      </c>
    </row>
    <row r="47" spans="1:29" ht="15">
      <c r="A47" s="475" t="s">
        <v>2574</v>
      </c>
      <c r="B47" s="476"/>
      <c r="C47" s="1396" t="s">
        <v>19</v>
      </c>
      <c r="D47" s="1397"/>
      <c r="E47" s="1398"/>
      <c r="F47" s="1399"/>
      <c r="G47" s="1400"/>
      <c r="H47" s="1401"/>
      <c r="I47" s="1398"/>
      <c r="J47" s="1401"/>
      <c r="K47" s="2608"/>
      <c r="L47" s="1139"/>
      <c r="M47" s="1140"/>
      <c r="N47" s="1127"/>
      <c r="O47" s="1140"/>
      <c r="P47" s="3238" t="str">
        <f>A47</f>
        <v>成交单价（元/平方米）</v>
      </c>
      <c r="Q47" s="3238"/>
      <c r="R47" s="3239">
        <f>E47</f>
        <v>0</v>
      </c>
      <c r="S47" s="3239"/>
      <c r="T47" s="3239">
        <f>G47</f>
        <v>0</v>
      </c>
      <c r="U47" s="3239"/>
      <c r="V47" s="3239">
        <f>I47</f>
        <v>0</v>
      </c>
      <c r="W47" s="3239"/>
      <c r="X47" s="752"/>
      <c r="Y47" s="774"/>
      <c r="Z47" s="752"/>
      <c r="AA47" s="752"/>
      <c r="AB47" s="752"/>
      <c r="AC47" s="752"/>
    </row>
    <row r="48" spans="1:29" ht="15.75" thickBot="1">
      <c r="A48" s="482" t="s">
        <v>2575</v>
      </c>
      <c r="B48" s="483"/>
      <c r="C48" s="1402" t="e">
        <f>R49</f>
        <v>#DIV/0!</v>
      </c>
      <c r="D48" s="1403"/>
      <c r="E48" s="1404" t="e">
        <f>R48</f>
        <v>#DIV/0!</v>
      </c>
      <c r="F48" s="1404"/>
      <c r="G48" s="1402" t="e">
        <f>T48</f>
        <v>#DIV/0!</v>
      </c>
      <c r="H48" s="1403"/>
      <c r="I48" s="1404" t="e">
        <f>V48</f>
        <v>#DIV/0!</v>
      </c>
      <c r="J48" s="1403"/>
      <c r="K48" s="2609"/>
      <c r="L48" s="1139"/>
      <c r="M48" s="1140"/>
      <c r="N48" s="1140"/>
      <c r="O48" s="1140"/>
      <c r="P48" s="3238" t="str">
        <f>A48</f>
        <v>比较价值（元/平方米）</v>
      </c>
      <c r="Q48" s="3238"/>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2"/>
      <c r="Y48" s="752"/>
      <c r="Z48" s="752"/>
      <c r="AA48" s="752"/>
      <c r="AB48" s="752"/>
      <c r="AC48" s="752"/>
    </row>
    <row r="49" spans="1:29" ht="15.75" thickBot="1">
      <c r="A49" s="488" t="s">
        <v>2576</v>
      </c>
      <c r="B49" s="489"/>
      <c r="C49" s="1405" t="e">
        <f>R49</f>
        <v>#DIV/0!</v>
      </c>
      <c r="D49" s="1406"/>
      <c r="E49" s="1406"/>
      <c r="F49" s="1406"/>
      <c r="G49" s="1406"/>
      <c r="H49" s="1406"/>
      <c r="I49" s="1406"/>
      <c r="J49" s="1406"/>
      <c r="K49" s="2610"/>
      <c r="L49" s="1139"/>
      <c r="M49" s="1140"/>
      <c r="N49" s="1140"/>
      <c r="O49" s="1140"/>
      <c r="P49" s="3240" t="str">
        <f>A49</f>
        <v>估价对象XX用房的比较价值（楼面单价，元/平方米）</v>
      </c>
      <c r="Q49" s="3241"/>
      <c r="R49" s="3242" t="e">
        <f>IF(F1="售价",ROUND(AVERAGE(R48:V48),0),ROUND(AVERAGE(R48:V48),1))</f>
        <v>#DIV/0!</v>
      </c>
      <c r="S49" s="3242"/>
      <c r="T49" s="3242"/>
      <c r="U49" s="3242"/>
      <c r="V49" s="3242"/>
      <c r="W49" s="3242"/>
      <c r="X49" s="752"/>
      <c r="Y49" s="752"/>
      <c r="Z49" s="752"/>
      <c r="AA49" s="752"/>
      <c r="AB49" s="752"/>
      <c r="AC49" s="752"/>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3" t="s">
        <v>2577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101"/>
      <c r="L52" s="1102"/>
      <c r="M52" s="1140"/>
      <c r="N52" s="1140"/>
      <c r="O52" s="1140"/>
    </row>
    <row r="53" spans="1:29" ht="13.5" customHeight="1">
      <c r="A53" s="1140"/>
      <c r="B53" s="1140"/>
      <c r="C53" s="493" t="s">
        <v>2578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101"/>
      <c r="L53" s="1102"/>
      <c r="M53" s="1140"/>
      <c r="N53" s="1140"/>
      <c r="O53" s="1140"/>
    </row>
    <row r="54" spans="1:29" s="498" customFormat="1" ht="13.5" customHeight="1">
      <c r="A54" s="1141"/>
      <c r="B54" s="1141"/>
      <c r="C54" s="493" t="s">
        <v>2579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4"/>
      <c r="L54" s="1145"/>
      <c r="M54" s="1141"/>
      <c r="N54" s="1141"/>
      <c r="O54" s="1141"/>
      <c r="P54" s="2612"/>
    </row>
    <row r="55" spans="1:29" s="498" customFormat="1">
      <c r="A55" s="1141"/>
      <c r="B55" s="1142"/>
      <c r="C55" s="1146"/>
      <c r="D55" s="1141"/>
      <c r="E55" s="1141"/>
      <c r="F55" s="1141"/>
      <c r="G55" s="1141"/>
      <c r="H55" s="1141"/>
      <c r="I55" s="1141"/>
      <c r="J55" s="1141"/>
      <c r="K55" s="1144"/>
      <c r="L55" s="1145"/>
      <c r="M55" s="1141"/>
      <c r="N55" s="1141"/>
      <c r="O55" s="1141"/>
      <c r="P55" s="2612"/>
    </row>
    <row r="56" spans="1:29">
      <c r="A56" s="1140"/>
      <c r="B56" s="1142"/>
      <c r="C56" s="1146"/>
      <c r="D56" s="1140"/>
      <c r="E56" s="1140"/>
      <c r="F56" s="1140"/>
      <c r="G56" s="1140"/>
      <c r="H56" s="1140"/>
      <c r="I56" s="1140"/>
      <c r="J56" s="1140"/>
      <c r="K56" s="1101"/>
      <c r="L56" s="1102"/>
      <c r="M56" s="1140"/>
      <c r="N56" s="1140"/>
      <c r="O56" s="1140"/>
    </row>
    <row r="57" spans="1:29" ht="21.75" thickBot="1">
      <c r="A57" s="756" t="s">
        <v>2580</v>
      </c>
      <c r="B57" s="752"/>
      <c r="C57" s="757"/>
      <c r="D57" s="757"/>
      <c r="E57" s="757"/>
      <c r="F57" s="758"/>
      <c r="G57" s="758"/>
      <c r="H57" s="757"/>
      <c r="I57" s="757"/>
      <c r="J57" s="757"/>
      <c r="K57" s="1156"/>
      <c r="L57" s="1157"/>
      <c r="M57" s="1155"/>
      <c r="N57" s="1155"/>
      <c r="O57" s="1155"/>
      <c r="P57" s="2613"/>
      <c r="Q57" s="500"/>
    </row>
    <row r="58" spans="1:29" s="504" customFormat="1" ht="15">
      <c r="A58" s="501" t="s">
        <v>2581</v>
      </c>
      <c r="B58" s="502"/>
      <c r="C58" s="1566" t="str">
        <f>YEAR(C7)&amp;"-"&amp;MONTH(C7)</f>
        <v>2017-10</v>
      </c>
      <c r="D58" s="1565">
        <f>EDATE(C58,-1)</f>
        <v>42979</v>
      </c>
      <c r="E58" s="1565">
        <f>EDATE(D58,-1)</f>
        <v>42948</v>
      </c>
      <c r="F58" s="1565">
        <f t="shared" ref="F58:O58" si="16">EDATE(E58,-1)</f>
        <v>42917</v>
      </c>
      <c r="G58" s="1565">
        <f t="shared" si="16"/>
        <v>42887</v>
      </c>
      <c r="H58" s="1565">
        <f t="shared" si="16"/>
        <v>42856</v>
      </c>
      <c r="I58" s="1565">
        <f t="shared" si="16"/>
        <v>42826</v>
      </c>
      <c r="J58" s="1565">
        <f t="shared" si="16"/>
        <v>42795</v>
      </c>
      <c r="K58" s="1565">
        <f t="shared" si="16"/>
        <v>42767</v>
      </c>
      <c r="L58" s="1565">
        <f t="shared" si="16"/>
        <v>42736</v>
      </c>
      <c r="M58" s="1565">
        <f t="shared" si="16"/>
        <v>42705</v>
      </c>
      <c r="N58" s="1565">
        <f t="shared" si="16"/>
        <v>42675</v>
      </c>
      <c r="O58" s="1565">
        <f t="shared" si="16"/>
        <v>42644</v>
      </c>
      <c r="P58" s="1560"/>
    </row>
    <row r="59" spans="1:29" s="116" customFormat="1" ht="15">
      <c r="A59" s="505"/>
      <c r="B59" s="2614"/>
      <c r="C59" s="1563">
        <v>100</v>
      </c>
      <c r="D59" s="507"/>
      <c r="E59" s="508"/>
      <c r="F59" s="508"/>
      <c r="G59" s="508"/>
      <c r="H59" s="508"/>
      <c r="I59" s="508"/>
      <c r="J59" s="508"/>
      <c r="K59" s="508"/>
      <c r="L59" s="508"/>
      <c r="M59" s="509"/>
      <c r="N59" s="508"/>
      <c r="O59" s="509"/>
      <c r="P59" s="2615"/>
    </row>
    <row r="60" spans="1:29" s="116" customFormat="1" ht="15.75" thickBot="1">
      <c r="A60" s="511" t="s">
        <v>2582</v>
      </c>
      <c r="B60" s="512"/>
      <c r="C60" s="513"/>
      <c r="D60" s="514"/>
      <c r="E60" s="514"/>
      <c r="F60" s="514"/>
      <c r="G60" s="514"/>
      <c r="H60" s="514"/>
      <c r="I60" s="514"/>
      <c r="J60" s="514"/>
      <c r="K60" s="514"/>
      <c r="L60" s="514"/>
      <c r="M60" s="515"/>
      <c r="N60" s="514"/>
      <c r="O60" s="515"/>
      <c r="P60" s="2615"/>
      <c r="Q60" s="500"/>
    </row>
    <row r="61" spans="1:29" s="116" customFormat="1" ht="15">
      <c r="A61" s="517" t="s">
        <v>2583</v>
      </c>
      <c r="B61" s="506"/>
      <c r="C61" s="518" t="s">
        <v>2584</v>
      </c>
      <c r="D61" s="519"/>
      <c r="E61" s="519"/>
      <c r="F61" s="519"/>
      <c r="G61" s="519"/>
      <c r="H61" s="519"/>
      <c r="I61" s="519"/>
      <c r="J61" s="519"/>
      <c r="K61" s="519"/>
      <c r="L61" s="520"/>
      <c r="M61" s="521"/>
      <c r="N61" s="1147"/>
      <c r="O61" s="1147"/>
      <c r="P61" s="2616"/>
      <c r="Q61" s="500"/>
    </row>
    <row r="62" spans="1:29" s="116" customFormat="1" ht="15.75" thickBot="1">
      <c r="A62" s="517"/>
      <c r="B62" s="506"/>
      <c r="C62" s="507">
        <v>100</v>
      </c>
      <c r="D62" s="508"/>
      <c r="E62" s="508"/>
      <c r="F62" s="508"/>
      <c r="G62" s="508"/>
      <c r="H62" s="508"/>
      <c r="I62" s="508"/>
      <c r="J62" s="508"/>
      <c r="K62" s="508"/>
      <c r="L62" s="508"/>
      <c r="M62" s="510"/>
      <c r="N62" s="1147"/>
      <c r="O62" s="1147"/>
      <c r="P62" s="2615"/>
      <c r="Q62" s="500"/>
    </row>
    <row r="63" spans="1:29">
      <c r="A63" s="523" t="s">
        <v>2585</v>
      </c>
      <c r="B63" s="524" t="s">
        <v>2551</v>
      </c>
      <c r="C63" s="525">
        <f>C9</f>
        <v>0</v>
      </c>
      <c r="D63" s="526"/>
      <c r="E63" s="526"/>
      <c r="F63" s="526"/>
      <c r="G63" s="526"/>
      <c r="H63" s="526"/>
      <c r="I63" s="526"/>
      <c r="J63" s="526"/>
      <c r="K63" s="527"/>
      <c r="L63" s="528"/>
      <c r="M63" s="529"/>
      <c r="N63" s="1148"/>
      <c r="O63" s="1148"/>
      <c r="P63" s="2617"/>
      <c r="Q63" s="500"/>
    </row>
    <row r="64" spans="1:29" ht="15.75" thickBot="1">
      <c r="A64" s="530"/>
      <c r="B64" s="531"/>
      <c r="C64" s="532">
        <v>100</v>
      </c>
      <c r="D64" s="532"/>
      <c r="E64" s="532"/>
      <c r="F64" s="532"/>
      <c r="G64" s="532"/>
      <c r="H64" s="532"/>
      <c r="I64" s="532"/>
      <c r="J64" s="532"/>
      <c r="K64" s="532"/>
      <c r="L64" s="532"/>
      <c r="M64" s="533"/>
      <c r="N64" s="1149"/>
      <c r="O64" s="1149"/>
      <c r="P64" s="2617"/>
      <c r="Q64" s="500"/>
    </row>
    <row r="65" spans="1:17" ht="27.75" thickTop="1">
      <c r="A65" s="530"/>
      <c r="B65" s="534" t="s">
        <v>2554</v>
      </c>
      <c r="C65" s="535" t="s">
        <v>2586</v>
      </c>
      <c r="D65" s="535" t="s">
        <v>2587</v>
      </c>
      <c r="E65" s="535" t="s">
        <v>2588</v>
      </c>
      <c r="F65" s="535" t="s">
        <v>2589</v>
      </c>
      <c r="G65" s="535" t="s">
        <v>2590</v>
      </c>
      <c r="H65" s="535" t="s">
        <v>2591</v>
      </c>
      <c r="I65" s="535" t="s">
        <v>2592</v>
      </c>
      <c r="J65" s="535"/>
      <c r="K65" s="536"/>
      <c r="L65" s="537"/>
      <c r="M65" s="538"/>
      <c r="N65" s="1148"/>
      <c r="O65" s="1148"/>
      <c r="P65" s="2617"/>
      <c r="Q65" s="500"/>
    </row>
    <row r="66" spans="1:17" ht="15.75" thickBot="1">
      <c r="A66" s="530"/>
      <c r="B66" s="539"/>
      <c r="C66" s="540">
        <v>100</v>
      </c>
      <c r="D66" s="540">
        <f t="shared" ref="D66:I66" si="17">C66-$K10</f>
        <v>100</v>
      </c>
      <c r="E66" s="540">
        <f t="shared" si="17"/>
        <v>100</v>
      </c>
      <c r="F66" s="540">
        <f t="shared" si="17"/>
        <v>100</v>
      </c>
      <c r="G66" s="540">
        <f t="shared" si="17"/>
        <v>100</v>
      </c>
      <c r="H66" s="540">
        <f t="shared" si="17"/>
        <v>100</v>
      </c>
      <c r="I66" s="540">
        <f t="shared" si="17"/>
        <v>100</v>
      </c>
      <c r="J66" s="540"/>
      <c r="K66" s="540"/>
      <c r="L66" s="540"/>
      <c r="M66" s="541"/>
      <c r="N66" s="1149"/>
      <c r="O66" s="1149"/>
      <c r="P66" s="2617"/>
      <c r="Q66" s="500"/>
    </row>
    <row r="67" spans="1:17" ht="15.75" thickTop="1">
      <c r="A67" s="530"/>
      <c r="B67" s="542" t="s">
        <v>2555</v>
      </c>
      <c r="C67" s="543" t="str">
        <f>C68&amp;"（含）"&amp;"-"&amp;D68</f>
        <v>（含）-</v>
      </c>
      <c r="D67" s="543" t="str">
        <f t="shared" ref="D67:L67" si="18">D68&amp;"（含）"&amp;"-"&amp;E68</f>
        <v>（含）-</v>
      </c>
      <c r="E67" s="543" t="str">
        <f t="shared" si="18"/>
        <v>（含）-</v>
      </c>
      <c r="F67" s="543" t="str">
        <f t="shared" si="18"/>
        <v>（含）-</v>
      </c>
      <c r="G67" s="543" t="str">
        <f t="shared" si="18"/>
        <v>（含）-</v>
      </c>
      <c r="H67" s="543" t="str">
        <f t="shared" si="18"/>
        <v>（含）-</v>
      </c>
      <c r="I67" s="543" t="str">
        <f t="shared" si="18"/>
        <v>（含）-</v>
      </c>
      <c r="J67" s="543" t="str">
        <f t="shared" si="18"/>
        <v>（含）-</v>
      </c>
      <c r="K67" s="543" t="str">
        <f>K68&amp;"（含）"&amp;"-"&amp;L68</f>
        <v>（含）-</v>
      </c>
      <c r="L67" s="543" t="str">
        <f t="shared" si="18"/>
        <v>（含）-</v>
      </c>
      <c r="M67" s="444" t="str">
        <f>M68&amp;"（含）"&amp;"-"&amp;P68</f>
        <v>（含）-</v>
      </c>
      <c r="N67" s="1149"/>
      <c r="O67" s="1149"/>
      <c r="P67" s="2617"/>
      <c r="Q67" s="500"/>
    </row>
    <row r="68" spans="1:17" ht="15">
      <c r="A68" s="530"/>
      <c r="B68" s="544"/>
      <c r="C68" s="545"/>
      <c r="D68" s="545"/>
      <c r="E68" s="545"/>
      <c r="F68" s="545"/>
      <c r="G68" s="545"/>
      <c r="H68" s="545"/>
      <c r="I68" s="545"/>
      <c r="J68" s="545"/>
      <c r="K68" s="546"/>
      <c r="L68" s="547"/>
      <c r="M68" s="548"/>
      <c r="N68" s="1148"/>
      <c r="O68" s="1148"/>
      <c r="P68" s="2617"/>
      <c r="Q68" s="500"/>
    </row>
    <row r="69" spans="1:17" ht="15.75" thickBot="1">
      <c r="A69" s="530"/>
      <c r="B69" s="531"/>
      <c r="C69" s="540">
        <v>100</v>
      </c>
      <c r="D69" s="540">
        <f t="shared" ref="D69:M69" si="19">C69-$K11</f>
        <v>100</v>
      </c>
      <c r="E69" s="540">
        <f t="shared" si="19"/>
        <v>100</v>
      </c>
      <c r="F69" s="540">
        <f t="shared" si="19"/>
        <v>100</v>
      </c>
      <c r="G69" s="540">
        <f t="shared" si="19"/>
        <v>100</v>
      </c>
      <c r="H69" s="540">
        <f t="shared" si="19"/>
        <v>100</v>
      </c>
      <c r="I69" s="540">
        <f t="shared" si="19"/>
        <v>100</v>
      </c>
      <c r="J69" s="540">
        <f t="shared" si="19"/>
        <v>100</v>
      </c>
      <c r="K69" s="540">
        <f t="shared" si="19"/>
        <v>100</v>
      </c>
      <c r="L69" s="540">
        <f t="shared" si="19"/>
        <v>100</v>
      </c>
      <c r="M69" s="541">
        <f t="shared" si="19"/>
        <v>100</v>
      </c>
      <c r="N69" s="1149"/>
      <c r="O69" s="1149"/>
      <c r="P69" s="2617"/>
      <c r="Q69" s="500"/>
    </row>
    <row r="70" spans="1:17" s="467" customFormat="1" ht="15.75" thickTop="1">
      <c r="A70" s="549"/>
      <c r="B70" s="534">
        <f>B12</f>
        <v>111</v>
      </c>
      <c r="C70" s="550"/>
      <c r="D70" s="550"/>
      <c r="E70" s="550"/>
      <c r="F70" s="550"/>
      <c r="G70" s="550"/>
      <c r="H70" s="551"/>
      <c r="I70" s="551"/>
      <c r="J70" s="551"/>
      <c r="K70" s="551"/>
      <c r="L70" s="552"/>
      <c r="M70" s="553"/>
      <c r="N70" s="1150"/>
      <c r="O70" s="1150"/>
      <c r="P70" s="2618"/>
      <c r="Q70" s="555"/>
    </row>
    <row r="71" spans="1:17" s="467" customFormat="1" ht="15.75" thickBot="1">
      <c r="A71" s="549"/>
      <c r="B71" s="539"/>
      <c r="C71" s="556"/>
      <c r="D71" s="532"/>
      <c r="E71" s="532"/>
      <c r="F71" s="532"/>
      <c r="G71" s="532"/>
      <c r="H71" s="532"/>
      <c r="I71" s="532"/>
      <c r="J71" s="532"/>
      <c r="K71" s="532"/>
      <c r="L71" s="532"/>
      <c r="M71" s="533"/>
      <c r="N71" s="1149"/>
      <c r="O71" s="1149"/>
      <c r="P71" s="2618"/>
      <c r="Q71" s="555"/>
    </row>
    <row r="72" spans="1:17" s="467" customFormat="1" ht="15.75" thickTop="1">
      <c r="A72" s="549"/>
      <c r="B72" s="534">
        <f>B13</f>
        <v>111</v>
      </c>
      <c r="C72" s="550"/>
      <c r="D72" s="550"/>
      <c r="E72" s="550"/>
      <c r="F72" s="550"/>
      <c r="G72" s="550"/>
      <c r="H72" s="551"/>
      <c r="I72" s="551"/>
      <c r="J72" s="551"/>
      <c r="K72" s="551"/>
      <c r="L72" s="552"/>
      <c r="M72" s="553"/>
      <c r="N72" s="1150"/>
      <c r="O72" s="1150"/>
      <c r="P72" s="2619"/>
      <c r="Q72" s="557"/>
    </row>
    <row r="73" spans="1:17" s="467" customFormat="1" ht="15.75" thickBot="1">
      <c r="A73" s="549"/>
      <c r="B73" s="539"/>
      <c r="C73" s="556"/>
      <c r="D73" s="556"/>
      <c r="E73" s="556"/>
      <c r="F73" s="556"/>
      <c r="G73" s="556"/>
      <c r="H73" s="558"/>
      <c r="I73" s="558"/>
      <c r="J73" s="558"/>
      <c r="K73" s="558"/>
      <c r="L73" s="558"/>
      <c r="M73" s="559"/>
      <c r="N73" s="1150"/>
      <c r="O73" s="1150"/>
      <c r="P73" s="2618"/>
      <c r="Q73" s="555"/>
    </row>
    <row r="74" spans="1:17" s="467" customFormat="1" ht="15.75" thickTop="1">
      <c r="A74" s="549"/>
      <c r="B74" s="542">
        <f>B14</f>
        <v>111</v>
      </c>
      <c r="C74" s="550"/>
      <c r="D74" s="550"/>
      <c r="E74" s="550"/>
      <c r="F74" s="550"/>
      <c r="G74" s="519"/>
      <c r="H74" s="560"/>
      <c r="I74" s="560"/>
      <c r="J74" s="560"/>
      <c r="K74" s="560"/>
      <c r="L74" s="561"/>
      <c r="M74" s="562"/>
      <c r="N74" s="1150"/>
      <c r="O74" s="1150"/>
      <c r="P74" s="2620"/>
      <c r="Q74" s="555"/>
    </row>
    <row r="75" spans="1:17" s="467" customFormat="1" ht="15.75" thickBot="1">
      <c r="A75" s="564"/>
      <c r="B75" s="565"/>
      <c r="C75" s="566"/>
      <c r="D75" s="566"/>
      <c r="E75" s="566"/>
      <c r="F75" s="566"/>
      <c r="G75" s="566"/>
      <c r="H75" s="567"/>
      <c r="I75" s="567"/>
      <c r="J75" s="567"/>
      <c r="K75" s="567"/>
      <c r="L75" s="567"/>
      <c r="M75" s="568"/>
      <c r="N75" s="1150"/>
      <c r="O75" s="1150"/>
      <c r="P75" s="2618"/>
      <c r="Q75" s="555"/>
    </row>
    <row r="76" spans="1:17">
      <c r="A76" s="523" t="s">
        <v>2556</v>
      </c>
      <c r="B76" s="524" t="s">
        <v>2593</v>
      </c>
      <c r="C76" s="569" t="s">
        <v>2594</v>
      </c>
      <c r="D76" s="569" t="s">
        <v>2595</v>
      </c>
      <c r="E76" s="569" t="s">
        <v>2596</v>
      </c>
      <c r="F76" s="569" t="s">
        <v>2597</v>
      </c>
      <c r="G76" s="569" t="s">
        <v>2598</v>
      </c>
      <c r="H76" s="525"/>
      <c r="I76" s="525"/>
      <c r="J76" s="525"/>
      <c r="K76" s="570"/>
      <c r="L76" s="571"/>
      <c r="M76" s="572"/>
      <c r="N76" s="1148"/>
      <c r="O76" s="1148"/>
      <c r="P76" s="2621"/>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9"/>
      <c r="O77" s="1149"/>
      <c r="P77" s="2617"/>
      <c r="Q77" s="500"/>
    </row>
    <row r="78" spans="1:17" ht="15.75" thickTop="1">
      <c r="A78" s="530"/>
      <c r="B78" s="534" t="s">
        <v>2599</v>
      </c>
      <c r="C78" s="574" t="s">
        <v>2594</v>
      </c>
      <c r="D78" s="574" t="s">
        <v>2595</v>
      </c>
      <c r="E78" s="574" t="s">
        <v>2596</v>
      </c>
      <c r="F78" s="574" t="s">
        <v>2597</v>
      </c>
      <c r="G78" s="574" t="s">
        <v>2598</v>
      </c>
      <c r="H78" s="535"/>
      <c r="I78" s="535"/>
      <c r="J78" s="535"/>
      <c r="K78" s="536"/>
      <c r="L78" s="537"/>
      <c r="M78" s="538"/>
      <c r="N78" s="1148"/>
      <c r="O78" s="1148"/>
      <c r="P78" s="2617"/>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9"/>
      <c r="O79" s="1149"/>
      <c r="P79" s="2617"/>
      <c r="Q79" s="500"/>
    </row>
    <row r="80" spans="1:17" ht="15.75" thickTop="1">
      <c r="A80" s="530"/>
      <c r="B80" s="534" t="s">
        <v>2600</v>
      </c>
      <c r="C80" s="574" t="s">
        <v>2594</v>
      </c>
      <c r="D80" s="574" t="s">
        <v>2595</v>
      </c>
      <c r="E80" s="574" t="s">
        <v>2596</v>
      </c>
      <c r="F80" s="574" t="s">
        <v>2597</v>
      </c>
      <c r="G80" s="574" t="s">
        <v>2598</v>
      </c>
      <c r="H80" s="535"/>
      <c r="I80" s="535"/>
      <c r="J80" s="535"/>
      <c r="K80" s="536"/>
      <c r="L80" s="537"/>
      <c r="M80" s="538"/>
      <c r="N80" s="1148"/>
      <c r="O80" s="1148"/>
      <c r="P80" s="2617"/>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9"/>
      <c r="O81" s="1149"/>
      <c r="P81" s="2617"/>
      <c r="Q81" s="500"/>
    </row>
    <row r="82" spans="1:17" ht="15.75" thickTop="1">
      <c r="A82" s="530"/>
      <c r="B82" s="542" t="s">
        <v>2094</v>
      </c>
      <c r="C82" s="535" t="s">
        <v>2601</v>
      </c>
      <c r="D82" s="535" t="s">
        <v>2602</v>
      </c>
      <c r="E82" s="535" t="s">
        <v>2603</v>
      </c>
      <c r="F82" s="535" t="s">
        <v>2604</v>
      </c>
      <c r="G82" s="535" t="s">
        <v>2605</v>
      </c>
      <c r="H82" s="535"/>
      <c r="I82" s="535"/>
      <c r="J82" s="535"/>
      <c r="K82" s="535"/>
      <c r="L82" s="535"/>
      <c r="M82" s="1371"/>
      <c r="N82" s="1149"/>
      <c r="O82" s="1149"/>
      <c r="P82" s="2617"/>
      <c r="Q82" s="500"/>
    </row>
    <row r="83" spans="1:17" ht="15.75" thickBot="1">
      <c r="A83" s="530"/>
      <c r="B83" s="542"/>
      <c r="C83" s="655">
        <v>100</v>
      </c>
      <c r="D83" s="655">
        <f>C83-$K21</f>
        <v>100</v>
      </c>
      <c r="E83" s="655">
        <f>D83-$K21</f>
        <v>100</v>
      </c>
      <c r="F83" s="655">
        <f>E83-$K21</f>
        <v>100</v>
      </c>
      <c r="G83" s="655">
        <f>F83-$K21</f>
        <v>100</v>
      </c>
      <c r="H83" s="655"/>
      <c r="I83" s="655"/>
      <c r="J83" s="655"/>
      <c r="K83" s="655"/>
      <c r="L83" s="655"/>
      <c r="M83" s="446"/>
      <c r="N83" s="1149"/>
      <c r="O83" s="1149"/>
      <c r="P83" s="2617"/>
      <c r="Q83" s="500"/>
    </row>
    <row r="84" spans="1:17" ht="15.75" thickTop="1">
      <c r="A84" s="530"/>
      <c r="B84" s="534" t="s">
        <v>2606</v>
      </c>
      <c r="C84" s="574" t="s">
        <v>2594</v>
      </c>
      <c r="D84" s="574" t="s">
        <v>2595</v>
      </c>
      <c r="E84" s="574" t="s">
        <v>2596</v>
      </c>
      <c r="F84" s="574" t="s">
        <v>2597</v>
      </c>
      <c r="G84" s="574" t="s">
        <v>2598</v>
      </c>
      <c r="H84" s="535"/>
      <c r="I84" s="535"/>
      <c r="J84" s="535"/>
      <c r="K84" s="536"/>
      <c r="L84" s="537"/>
      <c r="M84" s="538"/>
      <c r="N84" s="1148"/>
      <c r="O84" s="1148"/>
      <c r="P84" s="2617"/>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9"/>
      <c r="O85" s="1149"/>
      <c r="P85" s="2617"/>
      <c r="Q85" s="500"/>
    </row>
    <row r="86" spans="1:17" s="116" customFormat="1" ht="15.75" thickTop="1">
      <c r="A86" s="575"/>
      <c r="B86" s="534" t="s">
        <v>2607</v>
      </c>
      <c r="C86" s="550"/>
      <c r="D86" s="550"/>
      <c r="E86" s="550"/>
      <c r="F86" s="550"/>
      <c r="G86" s="550"/>
      <c r="H86" s="550"/>
      <c r="I86" s="550"/>
      <c r="J86" s="550"/>
      <c r="K86" s="550"/>
      <c r="L86" s="576"/>
      <c r="M86" s="577"/>
      <c r="N86" s="1147"/>
      <c r="O86" s="1147"/>
      <c r="P86" s="2617"/>
      <c r="Q86" s="500"/>
    </row>
    <row r="87" spans="1:17" s="116" customFormat="1" ht="15.75" thickBot="1">
      <c r="A87" s="575"/>
      <c r="B87" s="539"/>
      <c r="C87" s="578">
        <v>100</v>
      </c>
      <c r="D87" s="540">
        <f t="shared" ref="D87:M87" si="20">$C$87-($C$86-D86)*$K$25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49"/>
      <c r="O87" s="1149"/>
      <c r="P87" s="2617"/>
      <c r="Q87" s="500"/>
    </row>
    <row r="88" spans="1:17" s="116" customFormat="1" ht="15.75" thickTop="1">
      <c r="A88" s="575"/>
      <c r="B88" s="534" t="s">
        <v>2608</v>
      </c>
      <c r="C88" s="550"/>
      <c r="D88" s="550"/>
      <c r="E88" s="550"/>
      <c r="F88" s="2622"/>
      <c r="G88" s="550"/>
      <c r="H88" s="550"/>
      <c r="I88" s="550"/>
      <c r="J88" s="550"/>
      <c r="K88" s="550"/>
      <c r="L88" s="550"/>
      <c r="M88" s="577"/>
      <c r="N88" s="1147"/>
      <c r="O88" s="1147"/>
      <c r="P88" s="2617"/>
      <c r="Q88" s="500"/>
    </row>
    <row r="89" spans="1:17" s="116" customFormat="1" ht="15.75" thickBot="1">
      <c r="A89" s="575"/>
      <c r="B89" s="539"/>
      <c r="C89" s="578">
        <v>100</v>
      </c>
      <c r="D89" s="540">
        <f t="shared" ref="D89:M89" si="21">C89-$K26</f>
        <v>100</v>
      </c>
      <c r="E89" s="540">
        <f t="shared" si="21"/>
        <v>100</v>
      </c>
      <c r="F89" s="540">
        <f t="shared" si="21"/>
        <v>100</v>
      </c>
      <c r="G89" s="540">
        <f t="shared" si="21"/>
        <v>100</v>
      </c>
      <c r="H89" s="540">
        <f t="shared" si="21"/>
        <v>100</v>
      </c>
      <c r="I89" s="540">
        <f t="shared" si="21"/>
        <v>100</v>
      </c>
      <c r="J89" s="540">
        <f t="shared" si="21"/>
        <v>100</v>
      </c>
      <c r="K89" s="540">
        <f t="shared" si="21"/>
        <v>100</v>
      </c>
      <c r="L89" s="540">
        <f t="shared" si="21"/>
        <v>100</v>
      </c>
      <c r="M89" s="540">
        <f t="shared" si="21"/>
        <v>100</v>
      </c>
      <c r="N89" s="1149"/>
      <c r="O89" s="1149"/>
      <c r="P89" s="2617"/>
      <c r="Q89" s="500"/>
    </row>
    <row r="90" spans="1:17" s="467" customFormat="1" ht="15.75" thickTop="1">
      <c r="A90" s="549"/>
      <c r="B90" s="534">
        <f>B27</f>
        <v>111</v>
      </c>
      <c r="C90" s="550"/>
      <c r="D90" s="550"/>
      <c r="E90" s="550"/>
      <c r="F90" s="550"/>
      <c r="G90" s="550"/>
      <c r="H90" s="551"/>
      <c r="I90" s="551"/>
      <c r="J90" s="551"/>
      <c r="K90" s="551"/>
      <c r="L90" s="552"/>
      <c r="M90" s="553"/>
      <c r="N90" s="1150"/>
      <c r="O90" s="1150"/>
      <c r="P90" s="2618"/>
      <c r="Q90" s="555"/>
    </row>
    <row r="91" spans="1:17" s="467" customFormat="1" ht="15.75" thickBot="1">
      <c r="A91" s="549"/>
      <c r="B91" s="539"/>
      <c r="C91" s="556"/>
      <c r="D91" s="556"/>
      <c r="E91" s="556"/>
      <c r="F91" s="556"/>
      <c r="G91" s="556"/>
      <c r="H91" s="558"/>
      <c r="I91" s="558"/>
      <c r="J91" s="558"/>
      <c r="K91" s="558"/>
      <c r="L91" s="558"/>
      <c r="M91" s="559"/>
      <c r="N91" s="1150"/>
      <c r="O91" s="1150"/>
      <c r="P91" s="2618"/>
      <c r="Q91" s="555"/>
    </row>
    <row r="92" spans="1:17" ht="15.75" thickTop="1">
      <c r="A92" s="530"/>
      <c r="B92" s="534">
        <f>B28</f>
        <v>111</v>
      </c>
      <c r="C92" s="550"/>
      <c r="D92" s="550"/>
      <c r="E92" s="550"/>
      <c r="F92" s="550"/>
      <c r="G92" s="579"/>
      <c r="H92" s="579"/>
      <c r="I92" s="579"/>
      <c r="J92" s="579"/>
      <c r="K92" s="580"/>
      <c r="L92" s="581"/>
      <c r="M92" s="582"/>
      <c r="N92" s="1148"/>
      <c r="O92" s="1148"/>
      <c r="P92" s="2617"/>
      <c r="Q92" s="500"/>
    </row>
    <row r="93" spans="1:17" ht="15.75" thickBot="1">
      <c r="A93" s="530"/>
      <c r="B93" s="539"/>
      <c r="C93" s="556"/>
      <c r="D93" s="532"/>
      <c r="E93" s="532"/>
      <c r="F93" s="532"/>
      <c r="G93" s="532"/>
      <c r="H93" s="532"/>
      <c r="I93" s="532"/>
      <c r="J93" s="532"/>
      <c r="K93" s="532"/>
      <c r="L93" s="532"/>
      <c r="M93" s="533"/>
      <c r="N93" s="1149"/>
      <c r="O93" s="1149"/>
      <c r="P93" s="2617"/>
      <c r="Q93" s="500"/>
    </row>
    <row r="94" spans="1:17" ht="15.75" thickTop="1">
      <c r="A94" s="530"/>
      <c r="B94" s="534">
        <f>B29</f>
        <v>111</v>
      </c>
      <c r="C94" s="550"/>
      <c r="D94" s="550"/>
      <c r="E94" s="550"/>
      <c r="F94" s="550"/>
      <c r="G94" s="579"/>
      <c r="H94" s="579"/>
      <c r="I94" s="579"/>
      <c r="J94" s="579"/>
      <c r="K94" s="580"/>
      <c r="L94" s="581"/>
      <c r="M94" s="582"/>
      <c r="N94" s="1148"/>
      <c r="O94" s="1148"/>
      <c r="P94" s="2617"/>
      <c r="Q94" s="500"/>
    </row>
    <row r="95" spans="1:17" ht="15.75" thickBot="1">
      <c r="A95" s="530"/>
      <c r="B95" s="539"/>
      <c r="C95" s="556"/>
      <c r="D95" s="556"/>
      <c r="E95" s="556"/>
      <c r="F95" s="556"/>
      <c r="G95" s="532"/>
      <c r="H95" s="532"/>
      <c r="I95" s="532"/>
      <c r="J95" s="532"/>
      <c r="K95" s="532"/>
      <c r="L95" s="532"/>
      <c r="M95" s="533"/>
      <c r="N95" s="1149"/>
      <c r="O95" s="1149"/>
      <c r="P95" s="2617"/>
      <c r="Q95" s="500"/>
    </row>
    <row r="96" spans="1:17" ht="15.75" thickTop="1">
      <c r="A96" s="530"/>
      <c r="B96" s="534">
        <f>B30</f>
        <v>111</v>
      </c>
      <c r="C96" s="550"/>
      <c r="D96" s="550"/>
      <c r="E96" s="550"/>
      <c r="F96" s="550"/>
      <c r="G96" s="579"/>
      <c r="H96" s="579"/>
      <c r="I96" s="579"/>
      <c r="J96" s="579"/>
      <c r="K96" s="580"/>
      <c r="L96" s="581"/>
      <c r="M96" s="582"/>
      <c r="N96" s="1148"/>
      <c r="O96" s="1148"/>
      <c r="P96" s="2617"/>
      <c r="Q96" s="500"/>
    </row>
    <row r="97" spans="1:17" ht="15.75" thickBot="1">
      <c r="A97" s="530"/>
      <c r="B97" s="539"/>
      <c r="C97" s="566"/>
      <c r="D97" s="566"/>
      <c r="E97" s="566"/>
      <c r="F97" s="566"/>
      <c r="G97" s="532"/>
      <c r="H97" s="532"/>
      <c r="I97" s="532"/>
      <c r="J97" s="532"/>
      <c r="K97" s="532"/>
      <c r="L97" s="532"/>
      <c r="M97" s="533"/>
      <c r="N97" s="1149"/>
      <c r="O97" s="1149"/>
      <c r="P97" s="2617"/>
      <c r="Q97" s="500"/>
    </row>
    <row r="98" spans="1:17" ht="15.75" thickTop="1">
      <c r="A98" s="530"/>
      <c r="B98" s="542">
        <f>B31</f>
        <v>111</v>
      </c>
      <c r="C98" s="583"/>
      <c r="D98" s="583"/>
      <c r="E98" s="583"/>
      <c r="F98" s="583"/>
      <c r="G98" s="583"/>
      <c r="H98" s="583"/>
      <c r="I98" s="583"/>
      <c r="J98" s="583"/>
      <c r="K98" s="584"/>
      <c r="L98" s="585"/>
      <c r="M98" s="586"/>
      <c r="N98" s="1148"/>
      <c r="O98" s="1148"/>
      <c r="P98" s="2617"/>
      <c r="Q98" s="500"/>
    </row>
    <row r="99" spans="1:17" ht="15.75" thickBot="1">
      <c r="A99" s="2623"/>
      <c r="B99" s="565"/>
      <c r="C99" s="587"/>
      <c r="D99" s="587"/>
      <c r="E99" s="587"/>
      <c r="F99" s="587"/>
      <c r="G99" s="587"/>
      <c r="H99" s="587"/>
      <c r="I99" s="587"/>
      <c r="J99" s="587"/>
      <c r="K99" s="587"/>
      <c r="L99" s="587"/>
      <c r="M99" s="588"/>
      <c r="N99" s="1149"/>
      <c r="O99" s="1149"/>
      <c r="P99" s="2617"/>
      <c r="Q99" s="500"/>
    </row>
    <row r="100" spans="1:17">
      <c r="A100" s="523" t="s">
        <v>2560</v>
      </c>
      <c r="B100" s="524" t="s">
        <v>2609</v>
      </c>
      <c r="C100" s="526"/>
      <c r="D100" s="526"/>
      <c r="E100" s="526"/>
      <c r="F100" s="526"/>
      <c r="G100" s="526"/>
      <c r="H100" s="526"/>
      <c r="I100" s="526"/>
      <c r="J100" s="526"/>
      <c r="K100" s="527"/>
      <c r="L100" s="528"/>
      <c r="M100" s="529"/>
      <c r="N100" s="1148"/>
      <c r="O100" s="1148"/>
      <c r="P100" s="2617"/>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0">
        <f t="shared" si="22"/>
        <v>100</v>
      </c>
      <c r="N101" s="1149"/>
      <c r="O101" s="1149"/>
      <c r="P101" s="2617"/>
      <c r="Q101" s="500"/>
    </row>
    <row r="102" spans="1:17" ht="15.75" thickTop="1">
      <c r="A102" s="530"/>
      <c r="B102" s="534" t="s">
        <v>2610</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K103&amp;"(含)"&amp;"-"&amp;L103</f>
        <v>(含)-</v>
      </c>
      <c r="L102" s="574" t="str">
        <f t="shared" si="23"/>
        <v>(含)-</v>
      </c>
      <c r="M102" s="574" t="str">
        <f>M103&amp;"(含)"&amp;"-"&amp;P103</f>
        <v>(含)-</v>
      </c>
      <c r="N102" s="1147"/>
      <c r="O102" s="1147"/>
      <c r="P102" s="2617"/>
      <c r="Q102" s="500"/>
    </row>
    <row r="103" spans="1:17" s="467" customFormat="1">
      <c r="A103" s="589"/>
      <c r="B103" s="590"/>
      <c r="C103" s="591"/>
      <c r="D103" s="591"/>
      <c r="E103" s="591"/>
      <c r="F103" s="591"/>
      <c r="G103" s="591"/>
      <c r="H103" s="591"/>
      <c r="I103" s="591"/>
      <c r="J103" s="592"/>
      <c r="K103" s="592"/>
      <c r="L103" s="593"/>
      <c r="M103" s="594"/>
      <c r="N103" s="1150"/>
      <c r="O103" s="1150"/>
      <c r="P103" s="2618"/>
      <c r="Q103" s="555"/>
    </row>
    <row r="104" spans="1:17" s="467" customFormat="1" ht="15.75" thickBot="1">
      <c r="A104" s="549"/>
      <c r="B104" s="539"/>
      <c r="C104" s="556"/>
      <c r="D104" s="532"/>
      <c r="E104" s="532"/>
      <c r="F104" s="532"/>
      <c r="G104" s="532"/>
      <c r="H104" s="532"/>
      <c r="I104" s="532"/>
      <c r="J104" s="532"/>
      <c r="K104" s="532"/>
      <c r="L104" s="532"/>
      <c r="M104" s="532"/>
      <c r="N104" s="1149"/>
      <c r="O104" s="1149"/>
      <c r="P104" s="2618"/>
      <c r="Q104" s="555"/>
    </row>
    <row r="105" spans="1:17" ht="15" thickTop="1">
      <c r="A105" s="595"/>
      <c r="B105" s="534" t="s">
        <v>2611</v>
      </c>
      <c r="C105" s="550"/>
      <c r="D105" s="550"/>
      <c r="E105" s="579"/>
      <c r="F105" s="579"/>
      <c r="G105" s="579"/>
      <c r="H105" s="579"/>
      <c r="I105" s="579"/>
      <c r="J105" s="579"/>
      <c r="K105" s="580"/>
      <c r="L105" s="581"/>
      <c r="M105" s="582"/>
      <c r="N105" s="1148"/>
      <c r="O105" s="1148"/>
      <c r="P105" s="2617"/>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0">
        <f t="shared" si="24"/>
        <v>100</v>
      </c>
      <c r="N106" s="1149"/>
      <c r="O106" s="1149"/>
      <c r="P106" s="2617"/>
      <c r="Q106" s="500"/>
    </row>
    <row r="107" spans="1:17" ht="15" thickTop="1">
      <c r="A107" s="595"/>
      <c r="B107" s="534" t="s">
        <v>2612</v>
      </c>
      <c r="C107" s="579"/>
      <c r="D107" s="579"/>
      <c r="E107" s="579"/>
      <c r="F107" s="579"/>
      <c r="G107" s="579"/>
      <c r="H107" s="579"/>
      <c r="I107" s="579"/>
      <c r="J107" s="579"/>
      <c r="K107" s="580"/>
      <c r="L107" s="581"/>
      <c r="M107" s="582"/>
      <c r="N107" s="1148"/>
      <c r="O107" s="1148"/>
      <c r="P107" s="2617"/>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0">
        <f t="shared" si="25"/>
        <v>100</v>
      </c>
      <c r="N108" s="1149"/>
      <c r="O108" s="1149"/>
      <c r="P108" s="2617"/>
      <c r="Q108" s="500"/>
    </row>
    <row r="109" spans="1:17" ht="15" thickTop="1">
      <c r="A109" s="595"/>
      <c r="B109" s="534" t="s">
        <v>2613</v>
      </c>
      <c r="C109" s="550"/>
      <c r="D109" s="550"/>
      <c r="E109" s="550"/>
      <c r="F109" s="579"/>
      <c r="G109" s="579"/>
      <c r="H109" s="579"/>
      <c r="I109" s="579"/>
      <c r="J109" s="579"/>
      <c r="K109" s="580"/>
      <c r="L109" s="581"/>
      <c r="M109" s="582"/>
      <c r="N109" s="1148"/>
      <c r="O109" s="1148"/>
      <c r="P109" s="2617"/>
      <c r="Q109" s="500"/>
    </row>
    <row r="110" spans="1:17" ht="15.75" thickBot="1">
      <c r="A110" s="530"/>
      <c r="B110" s="539"/>
      <c r="C110" s="540">
        <v>100</v>
      </c>
      <c r="D110" s="540">
        <f t="shared" ref="D110:M110" si="26">C110-$K36</f>
        <v>100</v>
      </c>
      <c r="E110" s="540">
        <f t="shared" si="26"/>
        <v>100</v>
      </c>
      <c r="F110" s="540">
        <f t="shared" si="26"/>
        <v>100</v>
      </c>
      <c r="G110" s="540">
        <f t="shared" si="26"/>
        <v>100</v>
      </c>
      <c r="H110" s="540">
        <f t="shared" si="26"/>
        <v>100</v>
      </c>
      <c r="I110" s="540">
        <f t="shared" si="26"/>
        <v>100</v>
      </c>
      <c r="J110" s="540">
        <f t="shared" si="26"/>
        <v>100</v>
      </c>
      <c r="K110" s="540">
        <f t="shared" si="26"/>
        <v>100</v>
      </c>
      <c r="L110" s="540">
        <f t="shared" si="26"/>
        <v>100</v>
      </c>
      <c r="M110" s="540">
        <f t="shared" si="26"/>
        <v>100</v>
      </c>
      <c r="N110" s="1149"/>
      <c r="O110" s="1149"/>
      <c r="P110" s="2617"/>
      <c r="Q110" s="500"/>
    </row>
    <row r="111" spans="1:17" s="467" customFormat="1" ht="15" thickTop="1">
      <c r="A111" s="589"/>
      <c r="B111" s="534" t="s">
        <v>1992</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50"/>
      <c r="O111" s="1150"/>
      <c r="P111" s="2618"/>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50"/>
      <c r="O112" s="1150"/>
      <c r="P112" s="2618"/>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50"/>
      <c r="O113" s="1150"/>
      <c r="P113" s="2618"/>
      <c r="Q113" s="555"/>
    </row>
    <row r="114" spans="1:17" ht="15" thickTop="1">
      <c r="A114" s="595"/>
      <c r="B114" s="534" t="s">
        <v>2614</v>
      </c>
      <c r="C114" s="550"/>
      <c r="D114" s="550"/>
      <c r="E114" s="579"/>
      <c r="F114" s="579"/>
      <c r="G114" s="579"/>
      <c r="H114" s="579"/>
      <c r="I114" s="579"/>
      <c r="J114" s="579"/>
      <c r="K114" s="580"/>
      <c r="L114" s="581"/>
      <c r="M114" s="582"/>
      <c r="N114" s="1148"/>
      <c r="O114" s="1148"/>
      <c r="P114" s="2617"/>
      <c r="Q114" s="500"/>
    </row>
    <row r="115" spans="1:17" ht="15.75" thickBot="1">
      <c r="A115" s="530"/>
      <c r="B115" s="539"/>
      <c r="C115" s="540">
        <v>100</v>
      </c>
      <c r="D115" s="540">
        <f t="shared" ref="D115:M115" si="27">C115-$K38</f>
        <v>100</v>
      </c>
      <c r="E115" s="540">
        <f t="shared" si="27"/>
        <v>100</v>
      </c>
      <c r="F115" s="540">
        <f t="shared" si="27"/>
        <v>100</v>
      </c>
      <c r="G115" s="540">
        <f t="shared" si="27"/>
        <v>100</v>
      </c>
      <c r="H115" s="540">
        <f t="shared" si="27"/>
        <v>100</v>
      </c>
      <c r="I115" s="540">
        <f t="shared" si="27"/>
        <v>100</v>
      </c>
      <c r="J115" s="540">
        <f t="shared" si="27"/>
        <v>100</v>
      </c>
      <c r="K115" s="540">
        <f t="shared" si="27"/>
        <v>100</v>
      </c>
      <c r="L115" s="540">
        <f t="shared" si="27"/>
        <v>100</v>
      </c>
      <c r="M115" s="540">
        <f t="shared" si="27"/>
        <v>100</v>
      </c>
      <c r="N115" s="1149"/>
      <c r="O115" s="1149"/>
      <c r="P115" s="2617"/>
      <c r="Q115" s="500"/>
    </row>
    <row r="116" spans="1:17" ht="15" thickTop="1">
      <c r="A116" s="595"/>
      <c r="B116" s="534" t="s">
        <v>2615</v>
      </c>
      <c r="C116" s="550"/>
      <c r="D116" s="550"/>
      <c r="E116" s="550"/>
      <c r="F116" s="550"/>
      <c r="G116" s="550"/>
      <c r="H116" s="579"/>
      <c r="I116" s="579"/>
      <c r="J116" s="579"/>
      <c r="K116" s="580"/>
      <c r="L116" s="581"/>
      <c r="M116" s="582"/>
      <c r="N116" s="1148"/>
      <c r="O116" s="1148"/>
      <c r="P116" s="2617"/>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9"/>
      <c r="O117" s="1149"/>
      <c r="P117" s="2617"/>
      <c r="Q117" s="500"/>
    </row>
    <row r="118" spans="1:17" ht="15" thickTop="1">
      <c r="A118" s="595"/>
      <c r="B118" s="534" t="s">
        <v>2616</v>
      </c>
      <c r="C118" s="579"/>
      <c r="D118" s="579"/>
      <c r="E118" s="579"/>
      <c r="F118" s="579"/>
      <c r="G118" s="579"/>
      <c r="H118" s="579"/>
      <c r="I118" s="579"/>
      <c r="J118" s="579"/>
      <c r="K118" s="580"/>
      <c r="L118" s="581"/>
      <c r="M118" s="582"/>
      <c r="N118" s="1148"/>
      <c r="O118" s="1148"/>
      <c r="P118" s="2617"/>
      <c r="Q118" s="500"/>
    </row>
    <row r="119" spans="1:17" ht="15.75" thickBot="1">
      <c r="A119" s="530"/>
      <c r="B119" s="539"/>
      <c r="C119" s="540">
        <v>100</v>
      </c>
      <c r="D119" s="540">
        <f t="shared" ref="D119:M119" si="28">C119-$K40</f>
        <v>100</v>
      </c>
      <c r="E119" s="540">
        <f t="shared" si="28"/>
        <v>100</v>
      </c>
      <c r="F119" s="540">
        <f t="shared" si="28"/>
        <v>100</v>
      </c>
      <c r="G119" s="540">
        <f t="shared" si="28"/>
        <v>100</v>
      </c>
      <c r="H119" s="540">
        <f t="shared" si="28"/>
        <v>100</v>
      </c>
      <c r="I119" s="540">
        <f t="shared" si="28"/>
        <v>100</v>
      </c>
      <c r="J119" s="540">
        <f t="shared" si="28"/>
        <v>100</v>
      </c>
      <c r="K119" s="540">
        <f t="shared" si="28"/>
        <v>100</v>
      </c>
      <c r="L119" s="540">
        <f t="shared" si="28"/>
        <v>100</v>
      </c>
      <c r="M119" s="540">
        <f t="shared" si="28"/>
        <v>100</v>
      </c>
      <c r="N119" s="1149"/>
      <c r="O119" s="1149"/>
      <c r="P119" s="2617"/>
      <c r="Q119" s="500"/>
    </row>
    <row r="120" spans="1:17" s="467" customFormat="1" ht="28.5" thickTop="1">
      <c r="A120" s="589"/>
      <c r="B120" s="534" t="s">
        <v>2571</v>
      </c>
      <c r="C120" s="550"/>
      <c r="D120" s="550"/>
      <c r="E120" s="550"/>
      <c r="F120" s="550"/>
      <c r="G120" s="550"/>
      <c r="H120" s="550"/>
      <c r="I120" s="550"/>
      <c r="J120" s="550"/>
      <c r="K120" s="550"/>
      <c r="L120" s="576"/>
      <c r="M120" s="577"/>
      <c r="N120" s="1150"/>
      <c r="O120" s="1150"/>
      <c r="P120" s="2618"/>
      <c r="Q120" s="555"/>
    </row>
    <row r="121" spans="1:17" s="467" customFormat="1" ht="15.75" thickBot="1">
      <c r="A121" s="549"/>
      <c r="B121" s="531"/>
      <c r="C121" s="556"/>
      <c r="D121" s="532"/>
      <c r="E121" s="532"/>
      <c r="F121" s="532"/>
      <c r="G121" s="532"/>
      <c r="H121" s="532"/>
      <c r="I121" s="532"/>
      <c r="J121" s="532"/>
      <c r="K121" s="532"/>
      <c r="L121" s="532"/>
      <c r="M121" s="532"/>
      <c r="N121" s="1150"/>
      <c r="O121" s="1150"/>
      <c r="P121" s="2618"/>
      <c r="Q121" s="555"/>
    </row>
    <row r="122" spans="1:17" ht="15" thickTop="1">
      <c r="A122" s="595"/>
      <c r="B122" s="534" t="s">
        <v>2617</v>
      </c>
      <c r="C122" s="550"/>
      <c r="D122" s="550"/>
      <c r="E122" s="550"/>
      <c r="F122" s="579"/>
      <c r="G122" s="579"/>
      <c r="H122" s="579"/>
      <c r="I122" s="579"/>
      <c r="J122" s="579"/>
      <c r="K122" s="580"/>
      <c r="L122" s="581"/>
      <c r="M122" s="582"/>
      <c r="N122" s="1148"/>
      <c r="O122" s="1148"/>
      <c r="P122" s="2617"/>
      <c r="Q122" s="500"/>
    </row>
    <row r="123" spans="1:17" ht="15.75" thickBot="1">
      <c r="A123" s="530"/>
      <c r="B123" s="539"/>
      <c r="C123" s="540">
        <v>100</v>
      </c>
      <c r="D123" s="540">
        <f t="shared" ref="D123:M123" si="29">C123-$K42</f>
        <v>100</v>
      </c>
      <c r="E123" s="540">
        <f t="shared" si="29"/>
        <v>100</v>
      </c>
      <c r="F123" s="540">
        <f t="shared" si="29"/>
        <v>100</v>
      </c>
      <c r="G123" s="540">
        <f t="shared" si="29"/>
        <v>100</v>
      </c>
      <c r="H123" s="540">
        <f t="shared" si="29"/>
        <v>100</v>
      </c>
      <c r="I123" s="540">
        <f t="shared" si="29"/>
        <v>100</v>
      </c>
      <c r="J123" s="540">
        <f t="shared" si="29"/>
        <v>100</v>
      </c>
      <c r="K123" s="540">
        <f t="shared" si="29"/>
        <v>100</v>
      </c>
      <c r="L123" s="540">
        <f t="shared" si="29"/>
        <v>100</v>
      </c>
      <c r="M123" s="540">
        <f t="shared" si="29"/>
        <v>100</v>
      </c>
      <c r="N123" s="1149"/>
      <c r="O123" s="1149"/>
      <c r="P123" s="2617"/>
      <c r="Q123" s="500"/>
    </row>
    <row r="124" spans="1:17" ht="15" thickTop="1">
      <c r="A124" s="595"/>
      <c r="B124" s="534" t="s">
        <v>2618</v>
      </c>
      <c r="C124" s="574" t="s">
        <v>2594</v>
      </c>
      <c r="D124" s="574" t="s">
        <v>2595</v>
      </c>
      <c r="E124" s="574" t="s">
        <v>2596</v>
      </c>
      <c r="F124" s="574" t="s">
        <v>2597</v>
      </c>
      <c r="G124" s="574" t="s">
        <v>2598</v>
      </c>
      <c r="H124" s="535"/>
      <c r="I124" s="535"/>
      <c r="J124" s="535"/>
      <c r="K124" s="536"/>
      <c r="L124" s="537"/>
      <c r="M124" s="538"/>
      <c r="N124" s="1148"/>
      <c r="O124" s="1148"/>
      <c r="P124" s="2618"/>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9"/>
      <c r="O125" s="1149"/>
      <c r="P125" s="2617"/>
      <c r="Q125" s="500"/>
    </row>
    <row r="126" spans="1:17" s="467" customFormat="1" ht="15" thickTop="1">
      <c r="A126" s="589"/>
      <c r="B126" s="534">
        <f>B44</f>
        <v>111</v>
      </c>
      <c r="C126" s="550"/>
      <c r="D126" s="550"/>
      <c r="E126" s="550"/>
      <c r="F126" s="550"/>
      <c r="G126" s="550"/>
      <c r="H126" s="551"/>
      <c r="I126" s="551"/>
      <c r="J126" s="551"/>
      <c r="K126" s="551"/>
      <c r="L126" s="552"/>
      <c r="M126" s="553"/>
      <c r="N126" s="1150"/>
      <c r="O126" s="1150"/>
      <c r="P126" s="2618"/>
      <c r="Q126" s="555"/>
    </row>
    <row r="127" spans="1:17" s="467" customFormat="1" ht="15.75" thickBot="1">
      <c r="A127" s="549"/>
      <c r="B127" s="539"/>
      <c r="C127" s="556"/>
      <c r="D127" s="532"/>
      <c r="E127" s="532"/>
      <c r="F127" s="532"/>
      <c r="G127" s="556"/>
      <c r="H127" s="558"/>
      <c r="I127" s="558"/>
      <c r="J127" s="558"/>
      <c r="K127" s="558"/>
      <c r="L127" s="558"/>
      <c r="M127" s="559"/>
      <c r="N127" s="1150"/>
      <c r="O127" s="1150"/>
      <c r="P127" s="2618"/>
      <c r="Q127" s="555"/>
    </row>
    <row r="128" spans="1:17" ht="15" thickTop="1">
      <c r="A128" s="595"/>
      <c r="B128" s="534">
        <f>B45</f>
        <v>111</v>
      </c>
      <c r="C128" s="550"/>
      <c r="D128" s="550"/>
      <c r="E128" s="550"/>
      <c r="F128" s="550"/>
      <c r="G128" s="579"/>
      <c r="H128" s="579"/>
      <c r="I128" s="579"/>
      <c r="J128" s="579"/>
      <c r="K128" s="580"/>
      <c r="L128" s="581"/>
      <c r="M128" s="582"/>
      <c r="N128" s="1148"/>
      <c r="O128" s="1148"/>
      <c r="P128" s="2617"/>
      <c r="Q128" s="500"/>
    </row>
    <row r="129" spans="1:17" ht="15.75" thickBot="1">
      <c r="A129" s="530"/>
      <c r="B129" s="539"/>
      <c r="C129" s="556"/>
      <c r="D129" s="556"/>
      <c r="E129" s="556"/>
      <c r="F129" s="556"/>
      <c r="G129" s="532"/>
      <c r="H129" s="532"/>
      <c r="I129" s="532"/>
      <c r="J129" s="532"/>
      <c r="K129" s="532"/>
      <c r="L129" s="532"/>
      <c r="M129" s="533"/>
      <c r="N129" s="1149"/>
      <c r="O129" s="1149"/>
      <c r="P129" s="2617"/>
      <c r="Q129" s="500"/>
    </row>
    <row r="130" spans="1:17" ht="15" thickTop="1">
      <c r="A130" s="595"/>
      <c r="B130" s="542">
        <f>B46</f>
        <v>111</v>
      </c>
      <c r="C130" s="550"/>
      <c r="D130" s="550"/>
      <c r="E130" s="550"/>
      <c r="F130" s="550"/>
      <c r="G130" s="583"/>
      <c r="H130" s="583"/>
      <c r="I130" s="583"/>
      <c r="J130" s="583"/>
      <c r="K130" s="519"/>
      <c r="L130" s="520"/>
      <c r="M130" s="586"/>
      <c r="N130" s="1148"/>
      <c r="O130" s="1148"/>
      <c r="P130" s="2617"/>
      <c r="Q130" s="500"/>
    </row>
    <row r="131" spans="1:17" ht="15.75" thickBot="1">
      <c r="A131" s="2623"/>
      <c r="B131" s="565"/>
      <c r="C131" s="566"/>
      <c r="D131" s="566"/>
      <c r="E131" s="566"/>
      <c r="F131" s="566"/>
      <c r="G131" s="587"/>
      <c r="H131" s="587"/>
      <c r="I131" s="587"/>
      <c r="J131" s="587"/>
      <c r="K131" s="587"/>
      <c r="L131" s="587"/>
      <c r="M131" s="588"/>
      <c r="N131" s="1149"/>
      <c r="O131" s="1149"/>
      <c r="P131" s="2617"/>
      <c r="Q131" s="500"/>
    </row>
    <row r="136" spans="1:17" ht="15" thickBot="1">
      <c r="B136" s="2624" t="s">
        <v>2619</v>
      </c>
    </row>
    <row r="137" spans="1:17" ht="15">
      <c r="B137" s="2625" t="s">
        <v>2620</v>
      </c>
      <c r="C137" s="2626"/>
      <c r="D137" s="2626"/>
      <c r="E137" s="2626"/>
      <c r="F137" s="2626"/>
      <c r="G137" s="2627"/>
      <c r="H137" s="2628"/>
      <c r="I137" s="2629" t="s">
        <v>2621</v>
      </c>
      <c r="J137" s="2626"/>
      <c r="K137" s="2630"/>
    </row>
    <row r="138" spans="1:17" ht="15">
      <c r="B138" s="2631"/>
      <c r="C138" s="145" t="s">
        <v>2622</v>
      </c>
      <c r="D138" s="145" t="s">
        <v>2623</v>
      </c>
      <c r="E138" s="2632" t="s">
        <v>2624</v>
      </c>
      <c r="F138" s="2633" t="s">
        <v>2625</v>
      </c>
      <c r="G138" s="145" t="s">
        <v>2623</v>
      </c>
      <c r="H138" s="146" t="s">
        <v>2624</v>
      </c>
      <c r="I138" s="2634"/>
      <c r="J138" s="145" t="s">
        <v>2626</v>
      </c>
      <c r="K138" s="146" t="s">
        <v>2627</v>
      </c>
    </row>
    <row r="139" spans="1:17" ht="15">
      <c r="B139" s="1080">
        <v>6</v>
      </c>
      <c r="C139" s="1081">
        <v>96</v>
      </c>
      <c r="D139" s="2635" t="s">
        <v>2628</v>
      </c>
      <c r="E139" s="1082">
        <v>100</v>
      </c>
      <c r="F139" s="1083">
        <v>102.5</v>
      </c>
      <c r="G139" s="2635" t="s">
        <v>2628</v>
      </c>
      <c r="H139" s="1084">
        <v>105</v>
      </c>
      <c r="I139" s="2636" t="s">
        <v>2629</v>
      </c>
      <c r="J139" s="1081">
        <v>20</v>
      </c>
      <c r="K139" s="1085">
        <f>C145/(J139-2)</f>
        <v>4.0555555555555553E-3</v>
      </c>
    </row>
    <row r="140" spans="1:17" ht="15">
      <c r="B140" s="1086">
        <v>5</v>
      </c>
      <c r="C140" s="1087">
        <v>100</v>
      </c>
      <c r="D140" s="1087"/>
      <c r="E140" s="1088"/>
      <c r="F140" s="1089">
        <v>102</v>
      </c>
      <c r="G140" s="1087"/>
      <c r="H140" s="1090"/>
      <c r="I140" s="2637" t="s">
        <v>2630</v>
      </c>
      <c r="J140" s="315">
        <f>ROUNDUP((J139-1)/2,0)</f>
        <v>10</v>
      </c>
      <c r="K140" s="1091">
        <v>100</v>
      </c>
    </row>
    <row r="141" spans="1:17" ht="15">
      <c r="B141" s="1086">
        <v>4</v>
      </c>
      <c r="C141" s="1087">
        <v>102</v>
      </c>
      <c r="D141" s="1087"/>
      <c r="E141" s="1088"/>
      <c r="F141" s="1089">
        <v>101.5</v>
      </c>
      <c r="G141" s="1087"/>
      <c r="H141" s="1090"/>
      <c r="I141" s="2637" t="s">
        <v>2631</v>
      </c>
      <c r="J141" s="315">
        <v>1</v>
      </c>
      <c r="K141" s="1092">
        <f>ROUND(100+(J141-J140)*K139*100,1)</f>
        <v>96.4</v>
      </c>
    </row>
    <row r="142" spans="1:17" ht="15">
      <c r="B142" s="1086">
        <v>3</v>
      </c>
      <c r="C142" s="1087">
        <v>103</v>
      </c>
      <c r="D142" s="1087"/>
      <c r="E142" s="1088"/>
      <c r="F142" s="1089">
        <v>101</v>
      </c>
      <c r="G142" s="1087"/>
      <c r="H142" s="1090"/>
      <c r="I142" s="2637" t="s">
        <v>2632</v>
      </c>
      <c r="J142" s="315">
        <f>J139</f>
        <v>20</v>
      </c>
      <c r="K142" s="1093">
        <v>95</v>
      </c>
    </row>
    <row r="143" spans="1:17" ht="15">
      <c r="B143" s="1086">
        <v>2</v>
      </c>
      <c r="C143" s="1087">
        <v>100</v>
      </c>
      <c r="D143" s="1087"/>
      <c r="E143" s="1088"/>
      <c r="F143" s="1089">
        <v>100.5</v>
      </c>
      <c r="G143" s="1087"/>
      <c r="H143" s="1090"/>
      <c r="I143" s="2637" t="s">
        <v>2633</v>
      </c>
      <c r="J143" s="1087">
        <v>15</v>
      </c>
      <c r="K143" s="1092">
        <f>ROUND(100+(J143-J140)*K139*100,1)</f>
        <v>102</v>
      </c>
    </row>
    <row r="144" spans="1:17" ht="15">
      <c r="B144" s="1086">
        <v>1</v>
      </c>
      <c r="C144" s="1087">
        <v>98</v>
      </c>
      <c r="D144" s="2638" t="s">
        <v>2634</v>
      </c>
      <c r="E144" s="1088">
        <v>102</v>
      </c>
      <c r="F144" s="1094">
        <v>100</v>
      </c>
      <c r="G144" s="2638" t="s">
        <v>2634</v>
      </c>
      <c r="H144" s="1090">
        <v>105</v>
      </c>
      <c r="I144" s="2637" t="s">
        <v>2633</v>
      </c>
      <c r="J144" s="1087">
        <v>18</v>
      </c>
      <c r="K144" s="1092">
        <f>ROUND(100+(J144-J140)*K139*100,1)</f>
        <v>103.2</v>
      </c>
    </row>
    <row r="145" spans="2:11" ht="15.75" thickBot="1">
      <c r="B145" s="2639" t="s">
        <v>2635</v>
      </c>
      <c r="C145" s="1095">
        <f>ROUND(MAX(C139:C144)/MIN(C139:C144)-1,3)</f>
        <v>7.2999999999999995E-2</v>
      </c>
      <c r="D145" s="1096"/>
      <c r="E145" s="1096"/>
      <c r="F145" s="2640" t="s">
        <v>2636</v>
      </c>
      <c r="G145" s="2641"/>
      <c r="H145" s="2642"/>
      <c r="I145" s="2643" t="s">
        <v>2633</v>
      </c>
      <c r="J145" s="1097">
        <v>8</v>
      </c>
      <c r="K145" s="1098">
        <f>ROUND(100+(J145-J140)*K139*100,1)</f>
        <v>99.2</v>
      </c>
    </row>
    <row r="147" spans="2:11">
      <c r="B147" s="2624" t="s">
        <v>2637</v>
      </c>
    </row>
    <row r="148" spans="2:11">
      <c r="B148" s="2624"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9" customFormat="1" ht="28.5" customHeight="1" thickBot="1">
      <c r="A1" s="1608" t="s">
        <v>2525</v>
      </c>
      <c r="B1" s="2656" t="s">
        <v>2699</v>
      </c>
      <c r="C1" s="1610" t="s">
        <v>2527</v>
      </c>
      <c r="D1" s="1611"/>
      <c r="E1" s="1620"/>
      <c r="F1" s="2571"/>
      <c r="G1" s="1621" t="s">
        <v>2640</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4" customFormat="1" ht="28.5" customHeight="1" thickTop="1">
      <c r="A2" s="1607" t="s">
        <v>2324</v>
      </c>
      <c r="B2" s="1407" t="e">
        <f ca="1">IF(C2="——",ROUND(C43*D3/10000,0),ROUND(C43*D3/10000,0)-D2)</f>
        <v>#DIV/0!</v>
      </c>
      <c r="C2" s="2573"/>
      <c r="D2" s="1120" t="e">
        <f ca="1">SUMIF(INDIRECT("'"&amp;F2&amp;"'"&amp;"!A:A"),"承租人权益价值",INDIRECT("'"&amp;F2&amp;"'"&amp;"!c:c"))</f>
        <v>#REF!</v>
      </c>
      <c r="E2" s="2574" t="s">
        <v>2325</v>
      </c>
      <c r="F2" s="2575"/>
      <c r="G2" s="1121"/>
      <c r="H2" s="1121"/>
      <c r="I2" s="1121"/>
      <c r="J2" s="1121"/>
      <c r="K2" s="1121"/>
      <c r="L2" s="1124"/>
      <c r="M2" s="1125"/>
      <c r="N2" s="1125"/>
      <c r="O2" s="1125"/>
      <c r="P2" s="761"/>
      <c r="Q2" s="761"/>
      <c r="R2" s="761"/>
      <c r="S2" s="761"/>
      <c r="T2" s="761"/>
      <c r="U2" s="761"/>
      <c r="V2" s="761"/>
      <c r="W2" s="761"/>
      <c r="X2" s="761"/>
      <c r="Y2" s="761"/>
      <c r="Z2" s="761"/>
      <c r="AA2" s="761"/>
      <c r="AB2" s="761"/>
      <c r="AC2" s="775"/>
    </row>
    <row r="3" spans="1:29" s="394" customFormat="1" ht="28.5" customHeight="1" thickBot="1">
      <c r="A3" s="247" t="s">
        <v>2326</v>
      </c>
      <c r="B3" s="605" t="e">
        <f ca="1">IF(C2="——",C43,ROUND(B2*10000/D3,0))</f>
        <v>#DIV/0!</v>
      </c>
      <c r="C3" s="396" t="s">
        <v>2641</v>
      </c>
      <c r="D3" s="395">
        <f>IF(D1="",'数据-汇总表'!E3,SUMIF('数据-汇总表'!$C19:$C33,D1,'数据-汇总表'!$E19:$E33))</f>
        <v>49.61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7" t="s">
        <v>2642</v>
      </c>
      <c r="B4" s="398"/>
      <c r="C4" s="3215" t="s">
        <v>2643</v>
      </c>
      <c r="D4" s="3216"/>
      <c r="E4" s="3217" t="s">
        <v>2644</v>
      </c>
      <c r="F4" s="3218"/>
      <c r="G4" s="3215" t="s">
        <v>2645</v>
      </c>
      <c r="H4" s="3216"/>
      <c r="I4" s="3215" t="s">
        <v>2646</v>
      </c>
      <c r="J4" s="3216"/>
      <c r="K4" s="606" t="s">
        <v>2647</v>
      </c>
      <c r="L4" s="1126"/>
      <c r="M4" s="1127"/>
      <c r="N4" s="1127"/>
      <c r="O4" s="1127"/>
      <c r="P4" s="3219" t="s">
        <v>2648</v>
      </c>
      <c r="Q4" s="3220"/>
      <c r="R4" s="3201" t="s">
        <v>2644</v>
      </c>
      <c r="S4" s="3202"/>
      <c r="T4" s="3201" t="s">
        <v>2645</v>
      </c>
      <c r="U4" s="3202"/>
      <c r="V4" s="3198" t="s">
        <v>2646</v>
      </c>
      <c r="W4" s="3198"/>
      <c r="X4" s="1803"/>
      <c r="Y4" s="3201" t="s">
        <v>2648</v>
      </c>
      <c r="Z4" s="3202"/>
      <c r="AA4" s="3195" t="s">
        <v>2644</v>
      </c>
      <c r="AB4" s="3196" t="s">
        <v>2645</v>
      </c>
      <c r="AC4" s="3195" t="s">
        <v>2646</v>
      </c>
    </row>
    <row r="5" spans="1:29" ht="15">
      <c r="A5" s="400"/>
      <c r="B5" s="401"/>
      <c r="C5" s="3207" t="s">
        <v>2539</v>
      </c>
      <c r="D5" s="3208"/>
      <c r="E5" s="3205" t="s">
        <v>2540</v>
      </c>
      <c r="F5" s="3206"/>
      <c r="G5" s="3207" t="s">
        <v>2541</v>
      </c>
      <c r="H5" s="3208"/>
      <c r="I5" s="3207" t="s">
        <v>2542</v>
      </c>
      <c r="J5" s="3208"/>
      <c r="K5" s="606"/>
      <c r="L5" s="1126"/>
      <c r="M5" s="1127"/>
      <c r="N5" s="1127"/>
      <c r="O5" s="1127"/>
      <c r="P5" s="3221"/>
      <c r="Q5" s="3222"/>
      <c r="R5" s="3203"/>
      <c r="S5" s="3204"/>
      <c r="T5" s="3203"/>
      <c r="U5" s="3204"/>
      <c r="V5" s="3198"/>
      <c r="W5" s="3198"/>
      <c r="X5" s="1803"/>
      <c r="Y5" s="3203"/>
      <c r="Z5" s="3204"/>
      <c r="AA5" s="3196"/>
      <c r="AB5" s="3196"/>
      <c r="AC5" s="3196"/>
    </row>
    <row r="6" spans="1:29" ht="15.75" thickBot="1">
      <c r="A6" s="402"/>
      <c r="B6" s="403"/>
      <c r="C6" s="3209" t="s">
        <v>2543</v>
      </c>
      <c r="D6" s="3210"/>
      <c r="E6" s="3212" t="s">
        <v>2543</v>
      </c>
      <c r="F6" s="3213"/>
      <c r="G6" s="3209" t="s">
        <v>2543</v>
      </c>
      <c r="H6" s="3210"/>
      <c r="I6" s="3209" t="s">
        <v>2543</v>
      </c>
      <c r="J6" s="3210"/>
      <c r="K6" s="606" t="s">
        <v>2544</v>
      </c>
      <c r="L6" s="1126"/>
      <c r="M6" s="1127"/>
      <c r="N6" s="1127"/>
      <c r="O6" s="1127"/>
      <c r="P6" s="3223"/>
      <c r="Q6" s="3224"/>
      <c r="R6" s="3203"/>
      <c r="S6" s="3204"/>
      <c r="T6" s="3225"/>
      <c r="U6" s="3226"/>
      <c r="V6" s="3198"/>
      <c r="W6" s="3198"/>
      <c r="X6" s="1803"/>
      <c r="Y6" s="3225"/>
      <c r="Z6" s="3226"/>
      <c r="AA6" s="3197"/>
      <c r="AB6" s="3197"/>
      <c r="AC6" s="3197"/>
    </row>
    <row r="7" spans="1:29" s="116" customFormat="1" ht="15.75" thickBot="1">
      <c r="A7" s="404" t="s">
        <v>2545</v>
      </c>
      <c r="B7" s="405"/>
      <c r="C7" s="406">
        <f>'数据-取费表'!B2</f>
        <v>43028</v>
      </c>
      <c r="D7" s="407">
        <v>100</v>
      </c>
      <c r="E7" s="408"/>
      <c r="F7" s="409">
        <f>SUMIF(52:52,YEAR(E7)&amp;"-"&amp;MONTH(E7),53:53)</f>
        <v>0</v>
      </c>
      <c r="G7" s="408"/>
      <c r="H7" s="407">
        <f>SUMIF(52:52,YEAR(G7)&amp;"-"&amp;MONTH(G7),53:53)</f>
        <v>0</v>
      </c>
      <c r="I7" s="408"/>
      <c r="J7" s="407">
        <f>SUMIF(52:52,YEAR(I7)&amp;"-"&amp;MONTH(I7),53:53)</f>
        <v>0</v>
      </c>
      <c r="K7" s="607"/>
      <c r="L7" s="1128"/>
      <c r="M7" s="1129"/>
      <c r="N7" s="1129"/>
      <c r="O7" s="1129"/>
      <c r="P7" s="3199" t="s">
        <v>2546</v>
      </c>
      <c r="Q7" s="3228"/>
      <c r="R7" s="763" t="s">
        <v>17</v>
      </c>
      <c r="S7" s="764">
        <f t="shared" ref="S7:S15" si="0">F7</f>
        <v>0</v>
      </c>
      <c r="T7" s="763" t="s">
        <v>17</v>
      </c>
      <c r="U7" s="764">
        <f t="shared" ref="U7:U15" si="1">H7</f>
        <v>0</v>
      </c>
      <c r="V7" s="763" t="s">
        <v>17</v>
      </c>
      <c r="W7" s="764">
        <f t="shared" ref="W7:W15" si="2">J7</f>
        <v>0</v>
      </c>
      <c r="X7" s="765"/>
      <c r="Y7" s="3199" t="s">
        <v>2546</v>
      </c>
      <c r="Z7" s="3200"/>
      <c r="AA7" s="766" t="e">
        <f>D7/F7</f>
        <v>#DIV/0!</v>
      </c>
      <c r="AB7" s="766" t="e">
        <f>D7/H7</f>
        <v>#DIV/0!</v>
      </c>
      <c r="AC7" s="766" t="e">
        <f>D7/J7</f>
        <v>#DIV/0!</v>
      </c>
    </row>
    <row r="8" spans="1:29" s="116" customFormat="1" ht="15.75" thickBot="1">
      <c r="A8" s="404" t="s">
        <v>2547</v>
      </c>
      <c r="B8" s="405"/>
      <c r="C8" s="410" t="s">
        <v>2548</v>
      </c>
      <c r="D8" s="407">
        <v>100</v>
      </c>
      <c r="E8" s="410"/>
      <c r="F8" s="409">
        <f>SUMIF(55:55,E8,56:56)-SUMIF(55:55,C8,56:56)+100</f>
        <v>0</v>
      </c>
      <c r="G8" s="410"/>
      <c r="H8" s="407">
        <f>SUMIF(55:55,G8,56:56)-SUMIF(55:55,C8,56:56)+100</f>
        <v>0</v>
      </c>
      <c r="I8" s="410"/>
      <c r="J8" s="407">
        <f>SUMIF(55:55,I8,56:56)-SUMIF(55:55,C8,56:56)+100</f>
        <v>0</v>
      </c>
      <c r="K8" s="607"/>
      <c r="L8" s="1128"/>
      <c r="M8" s="1129"/>
      <c r="N8" s="1129"/>
      <c r="O8" s="1129"/>
      <c r="P8" s="3199" t="s">
        <v>2549</v>
      </c>
      <c r="Q8" s="3200"/>
      <c r="R8" s="763" t="s">
        <v>17</v>
      </c>
      <c r="S8" s="764">
        <f t="shared" si="0"/>
        <v>0</v>
      </c>
      <c r="T8" s="763" t="s">
        <v>17</v>
      </c>
      <c r="U8" s="764">
        <f t="shared" si="1"/>
        <v>0</v>
      </c>
      <c r="V8" s="763" t="s">
        <v>17</v>
      </c>
      <c r="W8" s="764">
        <f t="shared" si="2"/>
        <v>0</v>
      </c>
      <c r="X8" s="765"/>
      <c r="Y8" s="3199" t="s">
        <v>2549</v>
      </c>
      <c r="Z8" s="3200"/>
      <c r="AA8" s="766" t="e">
        <f t="shared" ref="AA8:AA40" si="3">D8/F8</f>
        <v>#DIV/0!</v>
      </c>
      <c r="AB8" s="766" t="e">
        <f t="shared" ref="AB8:AB40" si="4">D8/H8</f>
        <v>#DIV/0!</v>
      </c>
      <c r="AC8" s="766" t="e">
        <f t="shared" ref="AC8:AC40" si="5">D8/J8</f>
        <v>#DIV/0!</v>
      </c>
    </row>
    <row r="9" spans="1:29" s="116" customFormat="1">
      <c r="A9" s="411" t="s">
        <v>2550</v>
      </c>
      <c r="B9" s="70" t="s">
        <v>2551</v>
      </c>
      <c r="C9" s="412"/>
      <c r="D9" s="134">
        <v>100</v>
      </c>
      <c r="E9" s="415"/>
      <c r="F9" s="134">
        <f>SUMIF(57:57,E9,58:58)-SUMIF(57:57,C9,58:58)+100</f>
        <v>100</v>
      </c>
      <c r="G9" s="413"/>
      <c r="H9" s="134">
        <f>SUMIF(57:57,G9,58:58)-SUMIF(57:57,C9,58:58)+100</f>
        <v>100</v>
      </c>
      <c r="I9" s="413"/>
      <c r="J9" s="134">
        <f>SUMIF(57:57,I9,58:58)-SUMIF(57:57,C9,58:58)+100</f>
        <v>100</v>
      </c>
      <c r="K9" s="607"/>
      <c r="L9" s="1128"/>
      <c r="M9" s="1129"/>
      <c r="N9" s="1129"/>
      <c r="O9" s="1130"/>
      <c r="P9" s="3238" t="s">
        <v>2552</v>
      </c>
      <c r="Q9" s="1785" t="str">
        <f t="shared" ref="Q9:Q15" si="6">B9</f>
        <v>用途</v>
      </c>
      <c r="R9" s="763" t="s">
        <v>17</v>
      </c>
      <c r="S9" s="764">
        <f t="shared" si="0"/>
        <v>100</v>
      </c>
      <c r="T9" s="763" t="s">
        <v>17</v>
      </c>
      <c r="U9" s="764">
        <f t="shared" si="1"/>
        <v>100</v>
      </c>
      <c r="V9" s="763" t="s">
        <v>17</v>
      </c>
      <c r="W9" s="764">
        <f t="shared" si="2"/>
        <v>100</v>
      </c>
      <c r="X9" s="765"/>
      <c r="Y9" s="3072" t="s">
        <v>2553</v>
      </c>
      <c r="Z9" s="55" t="str">
        <f t="shared" ref="Z9:Z15" si="7">Q9</f>
        <v>用途</v>
      </c>
      <c r="AA9" s="766">
        <f t="shared" si="3"/>
        <v>1</v>
      </c>
      <c r="AB9" s="766">
        <f t="shared" si="4"/>
        <v>1</v>
      </c>
      <c r="AC9" s="766">
        <f t="shared" si="5"/>
        <v>1</v>
      </c>
    </row>
    <row r="10" spans="1:29" s="423" customFormat="1" ht="27">
      <c r="A10" s="417"/>
      <c r="B10" s="418" t="s">
        <v>2554</v>
      </c>
      <c r="C10" s="419"/>
      <c r="D10" s="135">
        <v>100</v>
      </c>
      <c r="E10" s="419"/>
      <c r="F10" s="135">
        <f>SUMIF(59:59,E10,60:60)-SUMIF(59:59,C10,60:60)+100</f>
        <v>100</v>
      </c>
      <c r="G10" s="420"/>
      <c r="H10" s="135">
        <f>SUMIF(59:59,G10,60:60)-SUMIF(59:59,C10,60:60)+100</f>
        <v>100</v>
      </c>
      <c r="I10" s="419"/>
      <c r="J10" s="135">
        <f>SUMIF(59:59,I10,60:60)-SUMIF(59:59,C10,60:60)+100</f>
        <v>100</v>
      </c>
      <c r="K10" s="608"/>
      <c r="L10" s="1131"/>
      <c r="M10" s="1132"/>
      <c r="N10" s="1132"/>
      <c r="O10" s="1133"/>
      <c r="P10" s="3238"/>
      <c r="Q10" s="1785" t="str">
        <f t="shared" si="6"/>
        <v>土地使用年限（年）</v>
      </c>
      <c r="R10" s="763" t="s">
        <v>17</v>
      </c>
      <c r="S10" s="764">
        <f t="shared" si="0"/>
        <v>100</v>
      </c>
      <c r="T10" s="763" t="s">
        <v>17</v>
      </c>
      <c r="U10" s="764">
        <f t="shared" si="1"/>
        <v>100</v>
      </c>
      <c r="V10" s="763" t="s">
        <v>17</v>
      </c>
      <c r="W10" s="764">
        <f t="shared" si="2"/>
        <v>100</v>
      </c>
      <c r="X10" s="765"/>
      <c r="Y10" s="3072"/>
      <c r="Z10" s="55" t="str">
        <f t="shared" si="7"/>
        <v>土地使用年限（年）</v>
      </c>
      <c r="AA10" s="766">
        <f t="shared" si="3"/>
        <v>1</v>
      </c>
      <c r="AB10" s="766">
        <f t="shared" si="4"/>
        <v>1</v>
      </c>
      <c r="AC10" s="766">
        <f t="shared" si="5"/>
        <v>1</v>
      </c>
    </row>
    <row r="11" spans="1:29" ht="15">
      <c r="A11" s="424"/>
      <c r="B11" s="418" t="s">
        <v>2555</v>
      </c>
      <c r="C11" s="425"/>
      <c r="D11" s="135">
        <v>100</v>
      </c>
      <c r="E11" s="425"/>
      <c r="F11" s="135" t="e">
        <f>LOOKUP(E11,62:62,63:63)-LOOKUP(C11,62:62,63:63)+100</f>
        <v>#N/A</v>
      </c>
      <c r="G11" s="426"/>
      <c r="H11" s="135" t="e">
        <f>LOOKUP(G11,62:62,63:63)-LOOKUP(C11,62:62,63:63)+100</f>
        <v>#N/A</v>
      </c>
      <c r="I11" s="425"/>
      <c r="J11" s="135" t="e">
        <f>LOOKUP(I11,62:62,63:63)-LOOKUP(C11,62:62,63:63)+100</f>
        <v>#N/A</v>
      </c>
      <c r="K11" s="608"/>
      <c r="L11" s="1134"/>
      <c r="M11" s="1127"/>
      <c r="N11" s="1127"/>
      <c r="O11" s="1135"/>
      <c r="P11" s="3238"/>
      <c r="Q11" s="1785" t="str">
        <f t="shared" si="6"/>
        <v>容积率</v>
      </c>
      <c r="R11" s="763" t="s">
        <v>17</v>
      </c>
      <c r="S11" s="764" t="e">
        <f t="shared" si="0"/>
        <v>#N/A</v>
      </c>
      <c r="T11" s="763" t="s">
        <v>17</v>
      </c>
      <c r="U11" s="764" t="e">
        <f t="shared" si="1"/>
        <v>#N/A</v>
      </c>
      <c r="V11" s="763" t="s">
        <v>17</v>
      </c>
      <c r="W11" s="764" t="e">
        <f t="shared" si="2"/>
        <v>#N/A</v>
      </c>
      <c r="X11" s="765"/>
      <c r="Y11" s="3072"/>
      <c r="Z11" s="55" t="str">
        <f t="shared" si="7"/>
        <v>容积率</v>
      </c>
      <c r="AA11" s="766" t="e">
        <f t="shared" si="3"/>
        <v>#N/A</v>
      </c>
      <c r="AB11" s="766" t="e">
        <f t="shared" si="4"/>
        <v>#N/A</v>
      </c>
      <c r="AC11" s="766" t="e">
        <f t="shared" si="5"/>
        <v>#N/A</v>
      </c>
    </row>
    <row r="12" spans="1:29" s="116" customFormat="1" ht="15">
      <c r="A12" s="427"/>
      <c r="B12" s="2587">
        <v>111</v>
      </c>
      <c r="C12" s="428"/>
      <c r="D12" s="429">
        <v>100</v>
      </c>
      <c r="E12" s="430"/>
      <c r="F12" s="135">
        <f>SUMIF(64:64,E12,65:65)-SUMIF(64:64,C12,65:65)+100</f>
        <v>100</v>
      </c>
      <c r="G12" s="2679"/>
      <c r="H12" s="135">
        <f>SUMIF(64:64,G12,65:65)-SUMIF(64:64,C12,65:65)+100</f>
        <v>100</v>
      </c>
      <c r="I12" s="465"/>
      <c r="J12" s="135">
        <f>SUMIF(64:64,I12,65:65)-SUMIF(64:64,C12,65:65)+100</f>
        <v>100</v>
      </c>
      <c r="K12" s="609"/>
      <c r="L12" s="1128"/>
      <c r="M12" s="1129"/>
      <c r="N12" s="1129"/>
      <c r="O12" s="1130"/>
      <c r="P12" s="3238"/>
      <c r="Q12" s="1785">
        <f t="shared" si="6"/>
        <v>111</v>
      </c>
      <c r="R12" s="763" t="s">
        <v>17</v>
      </c>
      <c r="S12" s="764">
        <f t="shared" si="0"/>
        <v>100</v>
      </c>
      <c r="T12" s="763" t="s">
        <v>17</v>
      </c>
      <c r="U12" s="764">
        <f t="shared" si="1"/>
        <v>100</v>
      </c>
      <c r="V12" s="763" t="s">
        <v>17</v>
      </c>
      <c r="W12" s="764">
        <f t="shared" si="2"/>
        <v>100</v>
      </c>
      <c r="X12" s="765"/>
      <c r="Y12" s="3072"/>
      <c r="Z12" s="55">
        <f t="shared" si="7"/>
        <v>111</v>
      </c>
      <c r="AA12" s="766">
        <f>D12/F12</f>
        <v>1</v>
      </c>
      <c r="AB12" s="766">
        <f>D12/H12</f>
        <v>1</v>
      </c>
      <c r="AC12" s="766">
        <f>D12/J12</f>
        <v>1</v>
      </c>
    </row>
    <row r="13" spans="1:29" ht="15">
      <c r="A13" s="424"/>
      <c r="B13" s="2587">
        <v>111</v>
      </c>
      <c r="C13" s="430"/>
      <c r="D13" s="431">
        <v>100</v>
      </c>
      <c r="E13" s="430"/>
      <c r="F13" s="135">
        <f>SUMIF(66:66,E13,67:67)-SUMIF(66:66,C13,67:67)+100</f>
        <v>100</v>
      </c>
      <c r="G13" s="2679"/>
      <c r="H13" s="431">
        <f>SUMIF(66:66,G13,67:67)-SUMIF(66:66,C13,67:67)+100</f>
        <v>100</v>
      </c>
      <c r="I13" s="465"/>
      <c r="J13" s="431">
        <f>SUMIF(66:66,I13,67:67)-SUMIF(66:66,C13,67:67)+100</f>
        <v>100</v>
      </c>
      <c r="K13" s="609"/>
      <c r="L13" s="1136"/>
      <c r="M13" s="1127"/>
      <c r="N13" s="1127"/>
      <c r="O13" s="1135"/>
      <c r="P13" s="3238"/>
      <c r="Q13" s="1785">
        <f t="shared" si="6"/>
        <v>111</v>
      </c>
      <c r="R13" s="763" t="s">
        <v>17</v>
      </c>
      <c r="S13" s="764">
        <f t="shared" si="0"/>
        <v>100</v>
      </c>
      <c r="T13" s="763" t="s">
        <v>17</v>
      </c>
      <c r="U13" s="764">
        <f t="shared" si="1"/>
        <v>100</v>
      </c>
      <c r="V13" s="763" t="s">
        <v>17</v>
      </c>
      <c r="W13" s="764">
        <f t="shared" si="2"/>
        <v>100</v>
      </c>
      <c r="X13" s="765"/>
      <c r="Y13" s="3072"/>
      <c r="Z13" s="55">
        <f t="shared" si="7"/>
        <v>111</v>
      </c>
      <c r="AA13" s="766">
        <f t="shared" si="3"/>
        <v>1</v>
      </c>
      <c r="AB13" s="766">
        <f t="shared" si="4"/>
        <v>1</v>
      </c>
      <c r="AC13" s="766">
        <f t="shared" si="5"/>
        <v>1</v>
      </c>
    </row>
    <row r="14" spans="1:29" ht="15.75" thickBot="1">
      <c r="A14" s="432"/>
      <c r="B14" s="2589">
        <v>111</v>
      </c>
      <c r="C14" s="433"/>
      <c r="D14" s="434">
        <v>100</v>
      </c>
      <c r="E14" s="433"/>
      <c r="F14" s="434">
        <f>SUMIF(68:68,E14,69:69)-SUMIF(68:68,C14,69:69)+100</f>
        <v>100</v>
      </c>
      <c r="G14" s="2679"/>
      <c r="H14" s="434">
        <f>SUMIF(68:68,G14,69:69)-SUMIF(68:68,C14,69:69)+100</f>
        <v>100</v>
      </c>
      <c r="I14" s="465"/>
      <c r="J14" s="434">
        <f>SUMIF(68:68,I14,69:69)-SUMIF(68:68,C14,69:69)+100</f>
        <v>100</v>
      </c>
      <c r="K14" s="609"/>
      <c r="L14" s="1136"/>
      <c r="M14" s="1127"/>
      <c r="N14" s="1127"/>
      <c r="O14" s="1135"/>
      <c r="P14" s="3238"/>
      <c r="Q14" s="1785">
        <f t="shared" si="6"/>
        <v>111</v>
      </c>
      <c r="R14" s="763" t="s">
        <v>17</v>
      </c>
      <c r="S14" s="764">
        <f t="shared" si="0"/>
        <v>100</v>
      </c>
      <c r="T14" s="763" t="s">
        <v>17</v>
      </c>
      <c r="U14" s="764">
        <f t="shared" si="1"/>
        <v>100</v>
      </c>
      <c r="V14" s="763" t="s">
        <v>17</v>
      </c>
      <c r="W14" s="764">
        <f t="shared" si="2"/>
        <v>100</v>
      </c>
      <c r="X14" s="765"/>
      <c r="Y14" s="3072"/>
      <c r="Z14" s="55">
        <f t="shared" si="7"/>
        <v>111</v>
      </c>
      <c r="AA14" s="766">
        <f t="shared" si="3"/>
        <v>1</v>
      </c>
      <c r="AB14" s="766">
        <f t="shared" si="4"/>
        <v>1</v>
      </c>
      <c r="AC14" s="766">
        <f t="shared" si="5"/>
        <v>1</v>
      </c>
    </row>
    <row r="15" spans="1:29" ht="57">
      <c r="A15" s="436" t="s">
        <v>2556</v>
      </c>
      <c r="B15" s="68" t="s">
        <v>2700</v>
      </c>
      <c r="C15" s="2680" t="str">
        <f>估价对象房地状况!G3</f>
        <v>估价对象位于XX开发区，园区建设成熟度XX，产业集聚程度XX</v>
      </c>
      <c r="D15" s="437">
        <v>100</v>
      </c>
      <c r="E15" s="438"/>
      <c r="F15" s="439">
        <f>SUMIF(70:70,E16,71:71)-SUMIF(70:70,C16,71:71)+100</f>
        <v>100</v>
      </c>
      <c r="G15" s="440"/>
      <c r="H15" s="437">
        <f>SUMIF(70:70,G16,71:71)-SUMIF(70:70,C16,71:71)+100</f>
        <v>100</v>
      </c>
      <c r="I15" s="438"/>
      <c r="J15" s="437">
        <f>SUMIF(70:70,I16,71:71)-SUMIF(70:70,C16,71:71)+100</f>
        <v>100</v>
      </c>
      <c r="K15" s="610"/>
      <c r="L15" s="1136"/>
      <c r="M15" s="1127"/>
      <c r="N15" s="1127"/>
      <c r="O15" s="1135"/>
      <c r="P15" s="3231" t="s">
        <v>2557</v>
      </c>
      <c r="Q15" s="1800" t="str">
        <f t="shared" si="6"/>
        <v>产业集聚程度</v>
      </c>
      <c r="R15" s="767" t="s">
        <v>17</v>
      </c>
      <c r="S15" s="768">
        <f t="shared" si="0"/>
        <v>100</v>
      </c>
      <c r="T15" s="767" t="s">
        <v>17</v>
      </c>
      <c r="U15" s="768">
        <f t="shared" si="1"/>
        <v>100</v>
      </c>
      <c r="V15" s="767" t="s">
        <v>17</v>
      </c>
      <c r="W15" s="768">
        <f t="shared" si="2"/>
        <v>100</v>
      </c>
      <c r="X15" s="1803"/>
      <c r="Y15" s="3231" t="s">
        <v>2557</v>
      </c>
      <c r="Z15" s="1804" t="str">
        <f t="shared" si="7"/>
        <v>产业集聚程度</v>
      </c>
      <c r="AA15" s="1801">
        <f t="shared" si="3"/>
        <v>1</v>
      </c>
      <c r="AB15" s="1801">
        <f t="shared" si="4"/>
        <v>1</v>
      </c>
      <c r="AC15" s="1801">
        <f t="shared" si="5"/>
        <v>1</v>
      </c>
    </row>
    <row r="16" spans="1:29" ht="15">
      <c r="A16" s="424"/>
      <c r="B16" s="442"/>
      <c r="C16" s="443"/>
      <c r="D16" s="444"/>
      <c r="E16" s="443"/>
      <c r="F16" s="445"/>
      <c r="G16" s="443"/>
      <c r="H16" s="446"/>
      <c r="I16" s="443"/>
      <c r="J16" s="444"/>
      <c r="K16" s="611"/>
      <c r="L16" s="1136"/>
      <c r="M16" s="1127"/>
      <c r="N16" s="1127"/>
      <c r="O16" s="1135"/>
      <c r="P16" s="3232"/>
      <c r="Q16" s="1800"/>
      <c r="R16" s="767"/>
      <c r="S16" s="768"/>
      <c r="T16" s="767"/>
      <c r="U16" s="768"/>
      <c r="V16" s="767"/>
      <c r="W16" s="768"/>
      <c r="X16" s="1803"/>
      <c r="Y16" s="3232"/>
      <c r="Z16" s="1804"/>
      <c r="AA16" s="1801">
        <v>1</v>
      </c>
      <c r="AB16" s="1801">
        <v>1</v>
      </c>
      <c r="AC16" s="1801">
        <v>1</v>
      </c>
    </row>
    <row r="17" spans="1:29" ht="85.5">
      <c r="A17" s="424"/>
      <c r="B17" s="447" t="s">
        <v>2093</v>
      </c>
      <c r="C17" s="2594" t="str">
        <f>估价对象房地状况!G4</f>
        <v>估价对象周边道路状况、公共交通通达情况、停车便捷程度，综合评价交通便捷度较好</v>
      </c>
      <c r="D17" s="446">
        <v>100</v>
      </c>
      <c r="E17" s="448"/>
      <c r="F17" s="449">
        <f>SUMIF(72:72,E18,73:73)-SUMIF(72:72,C18,73:73)+100</f>
        <v>100</v>
      </c>
      <c r="G17" s="450"/>
      <c r="H17" s="451">
        <f>SUMIF(72:72,G18,73:73)-SUMIF(72:72,C18,73:73)+100</f>
        <v>100</v>
      </c>
      <c r="I17" s="448"/>
      <c r="J17" s="451">
        <f>SUMIF(72:72,I18,73:73)-SUMIF(72:72,C18,73:73)+100</f>
        <v>100</v>
      </c>
      <c r="K17" s="610"/>
      <c r="L17" s="1136"/>
      <c r="M17" s="1127"/>
      <c r="N17" s="1127"/>
      <c r="O17" s="1135"/>
      <c r="P17" s="3232"/>
      <c r="Q17" s="1800" t="str">
        <f>B17</f>
        <v>交通便捷度</v>
      </c>
      <c r="R17" s="767" t="s">
        <v>17</v>
      </c>
      <c r="S17" s="768">
        <f>F17</f>
        <v>100</v>
      </c>
      <c r="T17" s="767" t="s">
        <v>17</v>
      </c>
      <c r="U17" s="768">
        <f>H17</f>
        <v>100</v>
      </c>
      <c r="V17" s="767" t="s">
        <v>17</v>
      </c>
      <c r="W17" s="768">
        <f>J17</f>
        <v>100</v>
      </c>
      <c r="X17" s="1803"/>
      <c r="Y17" s="3232"/>
      <c r="Z17" s="1804" t="str">
        <f>Q17</f>
        <v>交通便捷度</v>
      </c>
      <c r="AA17" s="1801">
        <f t="shared" si="3"/>
        <v>1</v>
      </c>
      <c r="AB17" s="1801">
        <f t="shared" si="4"/>
        <v>1</v>
      </c>
      <c r="AC17" s="1801">
        <f t="shared" si="5"/>
        <v>1</v>
      </c>
    </row>
    <row r="18" spans="1:29" ht="15">
      <c r="A18" s="424"/>
      <c r="B18" s="452"/>
      <c r="C18" s="2595"/>
      <c r="D18" s="446"/>
      <c r="E18" s="2597"/>
      <c r="F18" s="449"/>
      <c r="G18" s="2596"/>
      <c r="H18" s="444"/>
      <c r="I18" s="2597"/>
      <c r="J18" s="444"/>
      <c r="K18" s="611"/>
      <c r="L18" s="1136"/>
      <c r="M18" s="1127"/>
      <c r="N18" s="1127"/>
      <c r="O18" s="1135"/>
      <c r="P18" s="3232"/>
      <c r="Q18" s="1800"/>
      <c r="R18" s="767"/>
      <c r="S18" s="768"/>
      <c r="T18" s="767"/>
      <c r="U18" s="768"/>
      <c r="V18" s="767"/>
      <c r="W18" s="768"/>
      <c r="X18" s="1803"/>
      <c r="Y18" s="3232"/>
      <c r="Z18" s="1804"/>
      <c r="AA18" s="1801">
        <v>1</v>
      </c>
      <c r="AB18" s="1801">
        <v>1</v>
      </c>
      <c r="AC18" s="1801">
        <v>1</v>
      </c>
    </row>
    <row r="19" spans="1:29" ht="42.75">
      <c r="A19" s="424"/>
      <c r="B19" s="447" t="s">
        <v>2685</v>
      </c>
      <c r="C19" s="2594" t="str">
        <f>估价对象房地状况!G5</f>
        <v>估价对象所在区域公共配套设施齐备情况</v>
      </c>
      <c r="D19" s="451">
        <v>100</v>
      </c>
      <c r="E19" s="453"/>
      <c r="F19" s="454">
        <f>SUMIF(74:74,E20,75:75)-SUMIF(74:74,C20,75:75)+100</f>
        <v>100</v>
      </c>
      <c r="G19" s="455"/>
      <c r="H19" s="446">
        <f>SUMIF(74:74,G20,75:75)-SUMIF(74:74,C20,75:75)+100</f>
        <v>100</v>
      </c>
      <c r="I19" s="453"/>
      <c r="J19" s="446">
        <f>SUMIF(74:74,I20,75:75)-SUMIF(74:74,C20,75:75)+100</f>
        <v>100</v>
      </c>
      <c r="K19" s="610"/>
      <c r="L19" s="1136"/>
      <c r="M19" s="1127"/>
      <c r="N19" s="1127"/>
      <c r="O19" s="1135"/>
      <c r="P19" s="3232"/>
      <c r="Q19" s="1800" t="str">
        <f>B19</f>
        <v>公共配套设施</v>
      </c>
      <c r="R19" s="767" t="s">
        <v>17</v>
      </c>
      <c r="S19" s="768">
        <f>F19</f>
        <v>100</v>
      </c>
      <c r="T19" s="767" t="s">
        <v>17</v>
      </c>
      <c r="U19" s="768">
        <f>H19</f>
        <v>100</v>
      </c>
      <c r="V19" s="767" t="s">
        <v>17</v>
      </c>
      <c r="W19" s="768">
        <f>J19</f>
        <v>100</v>
      </c>
      <c r="X19" s="1803"/>
      <c r="Y19" s="3232"/>
      <c r="Z19" s="1804" t="str">
        <f>Q19</f>
        <v>公共配套设施</v>
      </c>
      <c r="AA19" s="1801">
        <f t="shared" si="3"/>
        <v>1</v>
      </c>
      <c r="AB19" s="1801">
        <f t="shared" si="4"/>
        <v>1</v>
      </c>
      <c r="AC19" s="1801">
        <f t="shared" si="5"/>
        <v>1</v>
      </c>
    </row>
    <row r="20" spans="1:29" ht="15">
      <c r="A20" s="424"/>
      <c r="B20" s="452"/>
      <c r="C20" s="443"/>
      <c r="D20" s="444"/>
      <c r="E20" s="2592"/>
      <c r="F20" s="445"/>
      <c r="G20" s="2591"/>
      <c r="H20" s="444"/>
      <c r="I20" s="2592"/>
      <c r="J20" s="444"/>
      <c r="K20" s="611"/>
      <c r="L20" s="1136"/>
      <c r="M20" s="1127"/>
      <c r="N20" s="1127"/>
      <c r="O20" s="1135"/>
      <c r="P20" s="3232"/>
      <c r="Q20" s="1800"/>
      <c r="R20" s="767"/>
      <c r="S20" s="768"/>
      <c r="T20" s="767"/>
      <c r="U20" s="768"/>
      <c r="V20" s="767"/>
      <c r="W20" s="768"/>
      <c r="X20" s="1803"/>
      <c r="Y20" s="3232"/>
      <c r="Z20" s="1804"/>
      <c r="AA20" s="1801">
        <v>1</v>
      </c>
      <c r="AB20" s="1801">
        <v>1</v>
      </c>
      <c r="AC20" s="1801">
        <v>1</v>
      </c>
    </row>
    <row r="21" spans="1:29" ht="28.5">
      <c r="A21" s="424"/>
      <c r="B21" s="1373" t="s">
        <v>2686</v>
      </c>
      <c r="C21" s="2594" t="str">
        <f>估价对象房地状况!G6</f>
        <v>估价对象所在区域基础设施水平</v>
      </c>
      <c r="D21" s="446">
        <v>100</v>
      </c>
      <c r="E21" s="453"/>
      <c r="F21" s="454">
        <f>SUMIF(76:76,E22,77:77)-SUMIF(76:76,C22,77:77)+100</f>
        <v>100</v>
      </c>
      <c r="G21" s="455"/>
      <c r="H21" s="446">
        <f>SUMIF(76:76,G22,77:77)-SUMIF(76:76,C22,77:77)+100</f>
        <v>100</v>
      </c>
      <c r="I21" s="453"/>
      <c r="J21" s="446">
        <f>SUMIF(76:76,I22,77:77)-SUMIF(76:76,C22,77:77)+100</f>
        <v>100</v>
      </c>
      <c r="K21" s="610"/>
      <c r="L21" s="1136"/>
      <c r="M21" s="1127"/>
      <c r="N21" s="1127"/>
      <c r="O21" s="1135"/>
      <c r="P21" s="3232"/>
      <c r="Q21" s="1800" t="str">
        <f>B21</f>
        <v>基础设施水平</v>
      </c>
      <c r="R21" s="767" t="s">
        <v>17</v>
      </c>
      <c r="S21" s="768">
        <f>F21</f>
        <v>100</v>
      </c>
      <c r="T21" s="767" t="s">
        <v>17</v>
      </c>
      <c r="U21" s="768">
        <f>H21</f>
        <v>100</v>
      </c>
      <c r="V21" s="767" t="s">
        <v>17</v>
      </c>
      <c r="W21" s="768">
        <f>J21</f>
        <v>100</v>
      </c>
      <c r="X21" s="1803"/>
      <c r="Y21" s="3232"/>
      <c r="Z21" s="1804" t="str">
        <f>Q21</f>
        <v>基础设施水平</v>
      </c>
      <c r="AA21" s="1801">
        <f>D21/F21</f>
        <v>1</v>
      </c>
      <c r="AB21" s="1801">
        <f>D21/H21</f>
        <v>1</v>
      </c>
      <c r="AC21" s="1801">
        <f>D21/J21</f>
        <v>1</v>
      </c>
    </row>
    <row r="22" spans="1:29" ht="15">
      <c r="A22" s="424"/>
      <c r="B22" s="1373"/>
      <c r="C22" s="2595"/>
      <c r="D22" s="444"/>
      <c r="E22" s="443"/>
      <c r="F22" s="445"/>
      <c r="G22" s="443"/>
      <c r="H22" s="444"/>
      <c r="I22" s="443"/>
      <c r="J22" s="444"/>
      <c r="K22" s="1372"/>
      <c r="L22" s="1136"/>
      <c r="M22" s="1127"/>
      <c r="N22" s="1127"/>
      <c r="O22" s="1135"/>
      <c r="P22" s="3232"/>
      <c r="Q22" s="1800"/>
      <c r="R22" s="767"/>
      <c r="S22" s="768"/>
      <c r="T22" s="767"/>
      <c r="U22" s="768"/>
      <c r="V22" s="767"/>
      <c r="W22" s="768"/>
      <c r="X22" s="1803"/>
      <c r="Y22" s="3232"/>
      <c r="Z22" s="1804"/>
      <c r="AA22" s="1801">
        <v>1</v>
      </c>
      <c r="AB22" s="1801">
        <v>1</v>
      </c>
      <c r="AC22" s="1801">
        <v>1</v>
      </c>
    </row>
    <row r="23" spans="1:29" ht="71.25">
      <c r="A23" s="424"/>
      <c r="B23" s="447" t="s">
        <v>2687</v>
      </c>
      <c r="C23" s="2594" t="str">
        <f>估价对象房地状况!G7</f>
        <v>该园区内是否有污染型企业，绿化情况，卫生条件，整体环境状况判断</v>
      </c>
      <c r="D23" s="446">
        <v>100</v>
      </c>
      <c r="E23" s="448"/>
      <c r="F23" s="449">
        <f>SUMIF(78:78,E24,79:79)-SUMIF(78:78,C24,79:79)+100</f>
        <v>100</v>
      </c>
      <c r="G23" s="450"/>
      <c r="H23" s="446">
        <f>SUMIF(78:78,G24,79:79)-SUMIF(78:78,C24,79:79)+100</f>
        <v>100</v>
      </c>
      <c r="I23" s="448"/>
      <c r="J23" s="446">
        <f>SUMIF(78:78,I24,79:79)-SUMIF(78:78,C24,79:79)+100</f>
        <v>100</v>
      </c>
      <c r="K23" s="610"/>
      <c r="L23" s="1136"/>
      <c r="M23" s="1127"/>
      <c r="N23" s="1127"/>
      <c r="O23" s="1135"/>
      <c r="P23" s="3232"/>
      <c r="Q23" s="1800" t="str">
        <f>B23</f>
        <v>环境质量</v>
      </c>
      <c r="R23" s="767" t="s">
        <v>17</v>
      </c>
      <c r="S23" s="768">
        <f>F23</f>
        <v>100</v>
      </c>
      <c r="T23" s="767" t="s">
        <v>17</v>
      </c>
      <c r="U23" s="768">
        <f>H23</f>
        <v>100</v>
      </c>
      <c r="V23" s="767" t="s">
        <v>17</v>
      </c>
      <c r="W23" s="768">
        <f>J23</f>
        <v>100</v>
      </c>
      <c r="X23" s="1803"/>
      <c r="Y23" s="3232"/>
      <c r="Z23" s="1804" t="str">
        <f>Q23</f>
        <v>环境质量</v>
      </c>
      <c r="AA23" s="1801">
        <f t="shared" si="3"/>
        <v>1</v>
      </c>
      <c r="AB23" s="1801">
        <f t="shared" si="4"/>
        <v>1</v>
      </c>
      <c r="AC23" s="1801">
        <f t="shared" si="5"/>
        <v>1</v>
      </c>
    </row>
    <row r="24" spans="1:29" ht="15">
      <c r="A24" s="424"/>
      <c r="B24" s="1373"/>
      <c r="C24" s="443"/>
      <c r="D24" s="444"/>
      <c r="E24" s="2592"/>
      <c r="F24" s="445"/>
      <c r="G24" s="2591"/>
      <c r="H24" s="444"/>
      <c r="I24" s="2592"/>
      <c r="J24" s="444"/>
      <c r="K24" s="611"/>
      <c r="L24" s="1136"/>
      <c r="M24" s="1127"/>
      <c r="N24" s="1127"/>
      <c r="O24" s="1135"/>
      <c r="P24" s="3232"/>
      <c r="Q24" s="1800"/>
      <c r="R24" s="767"/>
      <c r="S24" s="768"/>
      <c r="T24" s="767"/>
      <c r="U24" s="768"/>
      <c r="V24" s="767"/>
      <c r="W24" s="768"/>
      <c r="X24" s="1803"/>
      <c r="Y24" s="3232"/>
      <c r="Z24" s="1804"/>
      <c r="AA24" s="1801">
        <v>1</v>
      </c>
      <c r="AB24" s="1801">
        <v>1</v>
      </c>
      <c r="AC24" s="1801">
        <v>1</v>
      </c>
    </row>
    <row r="25" spans="1:29" ht="15">
      <c r="A25" s="400"/>
      <c r="B25" s="1375">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6"/>
      <c r="M25" s="1127"/>
      <c r="N25" s="1127"/>
      <c r="O25" s="1135"/>
      <c r="P25" s="3232"/>
      <c r="Q25" s="1800">
        <f>B25</f>
        <v>111</v>
      </c>
      <c r="R25" s="767" t="s">
        <v>17</v>
      </c>
      <c r="S25" s="768">
        <f>F25</f>
        <v>100</v>
      </c>
      <c r="T25" s="767" t="s">
        <v>17</v>
      </c>
      <c r="U25" s="768">
        <f>H25</f>
        <v>100</v>
      </c>
      <c r="V25" s="767" t="s">
        <v>17</v>
      </c>
      <c r="W25" s="768">
        <f>J25</f>
        <v>100</v>
      </c>
      <c r="X25" s="1803"/>
      <c r="Y25" s="3232"/>
      <c r="Z25" s="1804">
        <f>Q25</f>
        <v>111</v>
      </c>
      <c r="AA25" s="1801">
        <f t="shared" si="3"/>
        <v>1</v>
      </c>
      <c r="AB25" s="1801">
        <f t="shared" si="4"/>
        <v>1</v>
      </c>
      <c r="AC25" s="1801">
        <f t="shared" si="5"/>
        <v>1</v>
      </c>
    </row>
    <row r="26" spans="1:29" ht="15">
      <c r="A26" s="424"/>
      <c r="B26" s="1375">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6"/>
      <c r="M26" s="1127"/>
      <c r="N26" s="1127"/>
      <c r="O26" s="1135"/>
      <c r="P26" s="3232"/>
      <c r="Q26" s="1800">
        <f t="shared" ref="Q26:Q40" si="8">B26</f>
        <v>111</v>
      </c>
      <c r="R26" s="767" t="s">
        <v>17</v>
      </c>
      <c r="S26" s="768">
        <f>F26</f>
        <v>100</v>
      </c>
      <c r="T26" s="767" t="s">
        <v>17</v>
      </c>
      <c r="U26" s="768">
        <f>H26</f>
        <v>100</v>
      </c>
      <c r="V26" s="767" t="s">
        <v>17</v>
      </c>
      <c r="W26" s="768">
        <f>J26</f>
        <v>100</v>
      </c>
      <c r="X26" s="1803"/>
      <c r="Y26" s="3232"/>
      <c r="Z26" s="1804">
        <f>Q26</f>
        <v>111</v>
      </c>
      <c r="AA26" s="1801">
        <f t="shared" si="3"/>
        <v>1</v>
      </c>
      <c r="AB26" s="1801">
        <f t="shared" si="4"/>
        <v>1</v>
      </c>
      <c r="AC26" s="1801">
        <f t="shared" si="5"/>
        <v>1</v>
      </c>
    </row>
    <row r="27" spans="1:29" s="116" customFormat="1" ht="15">
      <c r="A27" s="427"/>
      <c r="B27" s="1375">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8"/>
      <c r="M27" s="1129"/>
      <c r="N27" s="1129"/>
      <c r="O27" s="1130"/>
      <c r="P27" s="3232"/>
      <c r="Q27" s="1785">
        <f t="shared" si="8"/>
        <v>111</v>
      </c>
      <c r="R27" s="763" t="s">
        <v>17</v>
      </c>
      <c r="S27" s="764">
        <f>F27</f>
        <v>100</v>
      </c>
      <c r="T27" s="763" t="s">
        <v>17</v>
      </c>
      <c r="U27" s="764">
        <f>H27</f>
        <v>100</v>
      </c>
      <c r="V27" s="763" t="s">
        <v>17</v>
      </c>
      <c r="W27" s="764">
        <f>J27</f>
        <v>100</v>
      </c>
      <c r="X27" s="765"/>
      <c r="Y27" s="3232"/>
      <c r="Z27" s="55">
        <f>Q27</f>
        <v>111</v>
      </c>
      <c r="AA27" s="1801">
        <f>D27/F27</f>
        <v>1</v>
      </c>
      <c r="AB27" s="1801">
        <f>D27/H27</f>
        <v>1</v>
      </c>
      <c r="AC27" s="1801">
        <f>D27/J27</f>
        <v>1</v>
      </c>
    </row>
    <row r="28" spans="1:29" ht="15.75" thickBot="1">
      <c r="A28" s="432"/>
      <c r="B28" s="1375">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6"/>
      <c r="M28" s="1127"/>
      <c r="N28" s="1127"/>
      <c r="O28" s="1135"/>
      <c r="P28" s="3232"/>
      <c r="Q28" s="1800">
        <f t="shared" si="8"/>
        <v>111</v>
      </c>
      <c r="R28" s="767" t="s">
        <v>17</v>
      </c>
      <c r="S28" s="768">
        <f t="shared" ref="S28:S40" si="9">F28</f>
        <v>100</v>
      </c>
      <c r="T28" s="767" t="s">
        <v>17</v>
      </c>
      <c r="U28" s="768">
        <f t="shared" ref="U28:U40" si="10">H28</f>
        <v>100</v>
      </c>
      <c r="V28" s="767" t="s">
        <v>17</v>
      </c>
      <c r="W28" s="768">
        <f t="shared" ref="W28:W40" si="11">J28</f>
        <v>100</v>
      </c>
      <c r="X28" s="1803"/>
      <c r="Y28" s="3232"/>
      <c r="Z28" s="1804">
        <f t="shared" ref="Z28:Z40" si="12">Q28</f>
        <v>111</v>
      </c>
      <c r="AA28" s="1801">
        <f t="shared" si="3"/>
        <v>1</v>
      </c>
      <c r="AB28" s="1801">
        <f t="shared" si="4"/>
        <v>1</v>
      </c>
      <c r="AC28" s="1801">
        <f t="shared" si="5"/>
        <v>1</v>
      </c>
    </row>
    <row r="29" spans="1:29" ht="15">
      <c r="A29" s="462" t="s">
        <v>2560</v>
      </c>
      <c r="B29" s="70" t="s">
        <v>2690</v>
      </c>
      <c r="C29" s="2666"/>
      <c r="D29" s="463">
        <v>100</v>
      </c>
      <c r="E29" s="2666"/>
      <c r="F29" s="457">
        <f>SUMIF(88:88,E29,89:89)-SUMIF(88:88,C29,89:89)+100</f>
        <v>100</v>
      </c>
      <c r="G29" s="2666"/>
      <c r="H29" s="431">
        <f>SUMIF(88:88,G29,89:89)-SUMIF(88:88,C29,89:89)+100</f>
        <v>100</v>
      </c>
      <c r="I29" s="2666"/>
      <c r="J29" s="463">
        <f>SUMIF(88:88,I29,89:89)-SUMIF(88:88,C29,89:89)+100</f>
        <v>100</v>
      </c>
      <c r="K29" s="608"/>
      <c r="L29" s="1136"/>
      <c r="M29" s="1127"/>
      <c r="N29" s="1127"/>
      <c r="O29" s="1135"/>
      <c r="P29" s="3287" t="s">
        <v>2562</v>
      </c>
      <c r="Q29" s="1800" t="str">
        <f t="shared" si="8"/>
        <v>建筑类型</v>
      </c>
      <c r="R29" s="767" t="s">
        <v>17</v>
      </c>
      <c r="S29" s="768">
        <f t="shared" si="9"/>
        <v>100</v>
      </c>
      <c r="T29" s="767" t="s">
        <v>17</v>
      </c>
      <c r="U29" s="768">
        <f t="shared" si="10"/>
        <v>100</v>
      </c>
      <c r="V29" s="767" t="s">
        <v>17</v>
      </c>
      <c r="W29" s="768">
        <f t="shared" si="11"/>
        <v>100</v>
      </c>
      <c r="X29" s="1803"/>
      <c r="Y29" s="3236" t="s">
        <v>2562</v>
      </c>
      <c r="Z29" s="1804" t="str">
        <f t="shared" si="12"/>
        <v>建筑类型</v>
      </c>
      <c r="AA29" s="1801">
        <f t="shared" si="3"/>
        <v>1</v>
      </c>
      <c r="AB29" s="1801">
        <f t="shared" si="4"/>
        <v>1</v>
      </c>
      <c r="AC29" s="1801">
        <f t="shared" si="5"/>
        <v>1</v>
      </c>
    </row>
    <row r="30" spans="1:29" s="467" customFormat="1" ht="15">
      <c r="A30" s="464"/>
      <c r="B30" s="418" t="s">
        <v>2563</v>
      </c>
      <c r="C30" s="465"/>
      <c r="D30" s="135">
        <v>100</v>
      </c>
      <c r="E30" s="426"/>
      <c r="F30" s="421" t="e">
        <f>LOOKUP(E30,91:91,92:92)-LOOKUP(C30,91:91,92:92)+100</f>
        <v>#N/A</v>
      </c>
      <c r="G30" s="425"/>
      <c r="H30" s="135" t="e">
        <f>LOOKUP(G30,91:91,92:92)-LOOKUP(C30,91:91,92:92)+100</f>
        <v>#N/A</v>
      </c>
      <c r="I30" s="425"/>
      <c r="J30" s="135" t="e">
        <f>LOOKUP(I30,91:91,92:92)-LOOKUP(C30,91:91,92:92)+100</f>
        <v>#N/A</v>
      </c>
      <c r="K30" s="609"/>
      <c r="L30" s="1134"/>
      <c r="M30" s="1137"/>
      <c r="N30" s="1137"/>
      <c r="O30" s="1138"/>
      <c r="P30" s="3236"/>
      <c r="Q30" s="769" t="str">
        <f t="shared" si="8"/>
        <v>项目建筑规模</v>
      </c>
      <c r="R30" s="770" t="s">
        <v>17</v>
      </c>
      <c r="S30" s="771" t="e">
        <f t="shared" si="9"/>
        <v>#N/A</v>
      </c>
      <c r="T30" s="770" t="s">
        <v>17</v>
      </c>
      <c r="U30" s="771" t="e">
        <f t="shared" si="10"/>
        <v>#N/A</v>
      </c>
      <c r="V30" s="770" t="s">
        <v>17</v>
      </c>
      <c r="W30" s="771" t="e">
        <f t="shared" si="11"/>
        <v>#N/A</v>
      </c>
      <c r="X30" s="772"/>
      <c r="Y30" s="3236"/>
      <c r="Z30" s="773" t="str">
        <f t="shared" si="12"/>
        <v>项目建筑规模</v>
      </c>
      <c r="AA30" s="1801" t="e">
        <f t="shared" si="3"/>
        <v>#N/A</v>
      </c>
      <c r="AB30" s="1801" t="e">
        <f t="shared" si="4"/>
        <v>#N/A</v>
      </c>
      <c r="AC30" s="1801" t="e">
        <f t="shared" si="5"/>
        <v>#N/A</v>
      </c>
    </row>
    <row r="31" spans="1:29" ht="15">
      <c r="A31" s="468"/>
      <c r="B31" s="418" t="s">
        <v>2564</v>
      </c>
      <c r="C31" s="456"/>
      <c r="D31" s="431">
        <v>100</v>
      </c>
      <c r="E31" s="456"/>
      <c r="F31" s="457">
        <f>SUMIF(93:93,E31,94:94)-SUMIF(93:93,C31,94:94)+100</f>
        <v>100</v>
      </c>
      <c r="G31" s="456"/>
      <c r="H31" s="431">
        <f>SUMIF(93:93,G31,94:94)-SUMIF(93:93,C31,94:94)+100</f>
        <v>100</v>
      </c>
      <c r="I31" s="456"/>
      <c r="J31" s="431">
        <f>SUMIF(93:93,I31,94:94)-SUMIF(93:93,C31,94:94)+100</f>
        <v>100</v>
      </c>
      <c r="K31" s="608"/>
      <c r="L31" s="1136"/>
      <c r="M31" s="1127"/>
      <c r="N31" s="1127"/>
      <c r="O31" s="1135"/>
      <c r="P31" s="3236"/>
      <c r="Q31" s="1800" t="str">
        <f t="shared" si="8"/>
        <v>建筑结构</v>
      </c>
      <c r="R31" s="767" t="s">
        <v>17</v>
      </c>
      <c r="S31" s="768">
        <f t="shared" si="9"/>
        <v>100</v>
      </c>
      <c r="T31" s="767" t="s">
        <v>17</v>
      </c>
      <c r="U31" s="768">
        <f t="shared" si="10"/>
        <v>100</v>
      </c>
      <c r="V31" s="767" t="s">
        <v>17</v>
      </c>
      <c r="W31" s="768">
        <f t="shared" si="11"/>
        <v>100</v>
      </c>
      <c r="X31" s="1803"/>
      <c r="Y31" s="3236"/>
      <c r="Z31" s="1804" t="str">
        <f t="shared" si="12"/>
        <v>建筑结构</v>
      </c>
      <c r="AA31" s="1801">
        <f t="shared" si="3"/>
        <v>1</v>
      </c>
      <c r="AB31" s="1801">
        <f t="shared" si="4"/>
        <v>1</v>
      </c>
      <c r="AC31" s="1801">
        <f t="shared" si="5"/>
        <v>1</v>
      </c>
    </row>
    <row r="32" spans="1:29" ht="15">
      <c r="A32" s="468"/>
      <c r="B32" s="418" t="s">
        <v>2658</v>
      </c>
      <c r="C32" s="456"/>
      <c r="D32" s="431">
        <v>100</v>
      </c>
      <c r="E32" s="456"/>
      <c r="F32" s="457">
        <f>SUMIF(95:95,E32,96:96)-SUMIF(95:95,C32,96:96)+100</f>
        <v>100</v>
      </c>
      <c r="G32" s="456"/>
      <c r="H32" s="431">
        <f>SUMIF(95:95,G32,96:96)-SUMIF(95:95,C32,96:96)+100</f>
        <v>100</v>
      </c>
      <c r="I32" s="456"/>
      <c r="J32" s="431">
        <f>SUMIF(95:95,I32,96:96)-SUMIF(95:95,C32,96:96)+100</f>
        <v>100</v>
      </c>
      <c r="K32" s="608"/>
      <c r="L32" s="1136"/>
      <c r="M32" s="1127"/>
      <c r="N32" s="1127"/>
      <c r="O32" s="1135"/>
      <c r="P32" s="3236"/>
      <c r="Q32" s="1800" t="str">
        <f t="shared" si="8"/>
        <v>公共部分装修</v>
      </c>
      <c r="R32" s="767" t="s">
        <v>17</v>
      </c>
      <c r="S32" s="768">
        <f t="shared" si="9"/>
        <v>100</v>
      </c>
      <c r="T32" s="767" t="s">
        <v>17</v>
      </c>
      <c r="U32" s="768">
        <f t="shared" si="10"/>
        <v>100</v>
      </c>
      <c r="V32" s="767" t="s">
        <v>17</v>
      </c>
      <c r="W32" s="768">
        <f t="shared" si="11"/>
        <v>100</v>
      </c>
      <c r="X32" s="1803"/>
      <c r="Y32" s="3236"/>
      <c r="Z32" s="1804" t="str">
        <f t="shared" si="12"/>
        <v>公共部分装修</v>
      </c>
      <c r="AA32" s="1801">
        <f t="shared" si="3"/>
        <v>1</v>
      </c>
      <c r="AB32" s="1801">
        <f t="shared" si="4"/>
        <v>1</v>
      </c>
      <c r="AC32" s="1801">
        <f t="shared" si="5"/>
        <v>1</v>
      </c>
    </row>
    <row r="33" spans="1:29" ht="15">
      <c r="A33" s="468"/>
      <c r="B33" s="418" t="s">
        <v>2659</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6"/>
      <c r="M33" s="1127"/>
      <c r="N33" s="1127"/>
      <c r="O33" s="1135"/>
      <c r="P33" s="3236"/>
      <c r="Q33" s="1800" t="str">
        <f t="shared" si="8"/>
        <v>成新度</v>
      </c>
      <c r="R33" s="767" t="s">
        <v>17</v>
      </c>
      <c r="S33" s="768" t="e">
        <f t="shared" si="9"/>
        <v>#N/A</v>
      </c>
      <c r="T33" s="767" t="s">
        <v>17</v>
      </c>
      <c r="U33" s="768" t="e">
        <f t="shared" si="10"/>
        <v>#N/A</v>
      </c>
      <c r="V33" s="767" t="s">
        <v>17</v>
      </c>
      <c r="W33" s="768" t="e">
        <f t="shared" si="11"/>
        <v>#N/A</v>
      </c>
      <c r="X33" s="1803"/>
      <c r="Y33" s="3236"/>
      <c r="Z33" s="1804" t="str">
        <f t="shared" si="12"/>
        <v>成新度</v>
      </c>
      <c r="AA33" s="1801" t="e">
        <f t="shared" si="3"/>
        <v>#N/A</v>
      </c>
      <c r="AB33" s="1801" t="e">
        <f t="shared" si="4"/>
        <v>#N/A</v>
      </c>
      <c r="AC33" s="1801" t="e">
        <f t="shared" si="5"/>
        <v>#N/A</v>
      </c>
    </row>
    <row r="34" spans="1:29" s="116" customFormat="1" ht="15">
      <c r="A34" s="469"/>
      <c r="B34" s="418" t="s">
        <v>2692</v>
      </c>
      <c r="C34" s="456"/>
      <c r="D34" s="135">
        <v>100</v>
      </c>
      <c r="E34" s="456"/>
      <c r="F34" s="457">
        <f>SUMIF(100:100,E34,101:101)-SUMIF(100:100,C34,101:101)+100</f>
        <v>100</v>
      </c>
      <c r="G34" s="456"/>
      <c r="H34" s="431">
        <f>SUMIF(100:100,G34,101:101)-SUMIF(100:100,C34,101:101)+100</f>
        <v>100</v>
      </c>
      <c r="I34" s="456"/>
      <c r="J34" s="431">
        <f>SUMIF(100:100,I34,101:101)-SUMIF(100:100,C34,101:101)+100</f>
        <v>100</v>
      </c>
      <c r="K34" s="608"/>
      <c r="L34" s="1128"/>
      <c r="M34" s="1129"/>
      <c r="N34" s="1129"/>
      <c r="O34" s="1130"/>
      <c r="P34" s="3236"/>
      <c r="Q34" s="1785" t="str">
        <f t="shared" si="8"/>
        <v>物业管理</v>
      </c>
      <c r="R34" s="763" t="s">
        <v>17</v>
      </c>
      <c r="S34" s="764">
        <f t="shared" si="9"/>
        <v>100</v>
      </c>
      <c r="T34" s="763" t="s">
        <v>17</v>
      </c>
      <c r="U34" s="764">
        <f t="shared" si="10"/>
        <v>100</v>
      </c>
      <c r="V34" s="763" t="s">
        <v>17</v>
      </c>
      <c r="W34" s="764">
        <f t="shared" si="11"/>
        <v>100</v>
      </c>
      <c r="X34" s="765"/>
      <c r="Y34" s="3236"/>
      <c r="Z34" s="55" t="str">
        <f t="shared" si="12"/>
        <v>物业管理</v>
      </c>
      <c r="AA34" s="766">
        <f t="shared" si="3"/>
        <v>1</v>
      </c>
      <c r="AB34" s="766">
        <f t="shared" si="4"/>
        <v>1</v>
      </c>
      <c r="AC34" s="766">
        <f t="shared" si="5"/>
        <v>1</v>
      </c>
    </row>
    <row r="35" spans="1:29" ht="15">
      <c r="A35" s="468"/>
      <c r="B35" s="418" t="s">
        <v>2660</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6"/>
      <c r="M35" s="1127"/>
      <c r="N35" s="1127"/>
      <c r="O35" s="1135"/>
      <c r="P35" s="3236" t="s">
        <v>2562</v>
      </c>
      <c r="Q35" s="1800" t="str">
        <f t="shared" si="8"/>
        <v>市政基础设施</v>
      </c>
      <c r="R35" s="767" t="s">
        <v>17</v>
      </c>
      <c r="S35" s="768">
        <f t="shared" si="9"/>
        <v>100</v>
      </c>
      <c r="T35" s="767" t="s">
        <v>17</v>
      </c>
      <c r="U35" s="768">
        <f t="shared" si="10"/>
        <v>100</v>
      </c>
      <c r="V35" s="767" t="s">
        <v>17</v>
      </c>
      <c r="W35" s="768">
        <f t="shared" si="11"/>
        <v>100</v>
      </c>
      <c r="X35" s="1803"/>
      <c r="Y35" s="3236" t="s">
        <v>2562</v>
      </c>
      <c r="Z35" s="1804" t="str">
        <f t="shared" si="12"/>
        <v>市政基础设施</v>
      </c>
      <c r="AA35" s="1801">
        <f t="shared" si="3"/>
        <v>1</v>
      </c>
      <c r="AB35" s="1801">
        <f t="shared" si="4"/>
        <v>1</v>
      </c>
      <c r="AC35" s="1801">
        <f t="shared" si="5"/>
        <v>1</v>
      </c>
    </row>
    <row r="36" spans="1:29" ht="15">
      <c r="A36" s="468"/>
      <c r="B36" s="418" t="s">
        <v>2665</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6"/>
      <c r="M36" s="1127"/>
      <c r="N36" s="1127"/>
      <c r="O36" s="1135"/>
      <c r="P36" s="3236"/>
      <c r="Q36" s="1800" t="str">
        <f t="shared" si="8"/>
        <v>内部装修</v>
      </c>
      <c r="R36" s="767" t="s">
        <v>17</v>
      </c>
      <c r="S36" s="768">
        <f t="shared" si="9"/>
        <v>100</v>
      </c>
      <c r="T36" s="767" t="s">
        <v>17</v>
      </c>
      <c r="U36" s="768">
        <f t="shared" si="10"/>
        <v>100</v>
      </c>
      <c r="V36" s="767" t="s">
        <v>17</v>
      </c>
      <c r="W36" s="768">
        <f t="shared" si="11"/>
        <v>100</v>
      </c>
      <c r="X36" s="1803"/>
      <c r="Y36" s="3236"/>
      <c r="Z36" s="1804" t="str">
        <f t="shared" si="12"/>
        <v>内部装修</v>
      </c>
      <c r="AA36" s="1801">
        <f t="shared" si="3"/>
        <v>1</v>
      </c>
      <c r="AB36" s="1801">
        <f t="shared" si="4"/>
        <v>1</v>
      </c>
      <c r="AC36" s="1801">
        <f t="shared" si="5"/>
        <v>1</v>
      </c>
    </row>
    <row r="37" spans="1:29" ht="15">
      <c r="A37" s="468"/>
      <c r="B37" s="418" t="s">
        <v>2701</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6"/>
      <c r="M37" s="1127"/>
      <c r="N37" s="1127"/>
      <c r="O37" s="1135"/>
      <c r="P37" s="3236"/>
      <c r="Q37" s="1800" t="str">
        <f t="shared" si="8"/>
        <v>内部装修状况</v>
      </c>
      <c r="R37" s="767" t="s">
        <v>17</v>
      </c>
      <c r="S37" s="768">
        <f t="shared" si="9"/>
        <v>100</v>
      </c>
      <c r="T37" s="767" t="s">
        <v>17</v>
      </c>
      <c r="U37" s="768">
        <f t="shared" si="10"/>
        <v>100</v>
      </c>
      <c r="V37" s="767" t="s">
        <v>17</v>
      </c>
      <c r="W37" s="768">
        <f t="shared" si="11"/>
        <v>100</v>
      </c>
      <c r="X37" s="1803"/>
      <c r="Y37" s="3236"/>
      <c r="Z37" s="1804" t="str">
        <f t="shared" si="12"/>
        <v>内部装修状况</v>
      </c>
      <c r="AA37" s="1801">
        <f t="shared" si="3"/>
        <v>1</v>
      </c>
      <c r="AB37" s="1801">
        <f t="shared" si="4"/>
        <v>1</v>
      </c>
      <c r="AC37" s="1801">
        <f t="shared" si="5"/>
        <v>1</v>
      </c>
    </row>
    <row r="38" spans="1:29" s="467" customFormat="1" ht="15">
      <c r="A38" s="464"/>
      <c r="B38" s="1375">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4"/>
      <c r="M38" s="1137"/>
      <c r="N38" s="1137"/>
      <c r="O38" s="1138"/>
      <c r="P38" s="3236"/>
      <c r="Q38" s="769">
        <f t="shared" si="8"/>
        <v>111</v>
      </c>
      <c r="R38" s="770" t="s">
        <v>17</v>
      </c>
      <c r="S38" s="771">
        <f t="shared" si="9"/>
        <v>100</v>
      </c>
      <c r="T38" s="770" t="s">
        <v>17</v>
      </c>
      <c r="U38" s="771">
        <f t="shared" si="10"/>
        <v>100</v>
      </c>
      <c r="V38" s="770" t="s">
        <v>17</v>
      </c>
      <c r="W38" s="771">
        <f t="shared" si="11"/>
        <v>100</v>
      </c>
      <c r="X38" s="772"/>
      <c r="Y38" s="3236"/>
      <c r="Z38" s="773">
        <f t="shared" si="12"/>
        <v>111</v>
      </c>
      <c r="AA38" s="1801">
        <f t="shared" si="3"/>
        <v>1</v>
      </c>
      <c r="AB38" s="1801">
        <f t="shared" si="4"/>
        <v>1</v>
      </c>
      <c r="AC38" s="1801">
        <f t="shared" si="5"/>
        <v>1</v>
      </c>
    </row>
    <row r="39" spans="1:29" ht="15">
      <c r="A39" s="468"/>
      <c r="B39" s="1375">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6"/>
      <c r="M39" s="1127"/>
      <c r="N39" s="1127"/>
      <c r="O39" s="1135"/>
      <c r="P39" s="3236"/>
      <c r="Q39" s="1800">
        <f t="shared" si="8"/>
        <v>111</v>
      </c>
      <c r="R39" s="767" t="s">
        <v>17</v>
      </c>
      <c r="S39" s="768">
        <f t="shared" si="9"/>
        <v>100</v>
      </c>
      <c r="T39" s="767" t="s">
        <v>17</v>
      </c>
      <c r="U39" s="768">
        <f t="shared" si="10"/>
        <v>100</v>
      </c>
      <c r="V39" s="767" t="s">
        <v>17</v>
      </c>
      <c r="W39" s="768">
        <f t="shared" si="11"/>
        <v>100</v>
      </c>
      <c r="X39" s="1803"/>
      <c r="Y39" s="3236"/>
      <c r="Z39" s="1804">
        <f t="shared" si="12"/>
        <v>111</v>
      </c>
      <c r="AA39" s="1801">
        <f t="shared" si="3"/>
        <v>1</v>
      </c>
      <c r="AB39" s="1801">
        <f t="shared" si="4"/>
        <v>1</v>
      </c>
      <c r="AC39" s="1801">
        <f t="shared" si="5"/>
        <v>1</v>
      </c>
    </row>
    <row r="40" spans="1:29" ht="15.75" thickBot="1">
      <c r="A40" s="474"/>
      <c r="B40" s="2589">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6"/>
      <c r="M40" s="1127"/>
      <c r="N40" s="1127"/>
      <c r="O40" s="1135"/>
      <c r="P40" s="3237"/>
      <c r="Q40" s="1800">
        <f t="shared" si="8"/>
        <v>111</v>
      </c>
      <c r="R40" s="767" t="s">
        <v>17</v>
      </c>
      <c r="S40" s="768">
        <f t="shared" si="9"/>
        <v>100</v>
      </c>
      <c r="T40" s="767" t="s">
        <v>17</v>
      </c>
      <c r="U40" s="768">
        <f t="shared" si="10"/>
        <v>100</v>
      </c>
      <c r="V40" s="767" t="s">
        <v>17</v>
      </c>
      <c r="W40" s="768">
        <f t="shared" si="11"/>
        <v>100</v>
      </c>
      <c r="X40" s="1803"/>
      <c r="Y40" s="3237"/>
      <c r="Z40" s="1804">
        <f t="shared" si="12"/>
        <v>111</v>
      </c>
      <c r="AA40" s="1801">
        <f t="shared" si="3"/>
        <v>1</v>
      </c>
      <c r="AB40" s="1801">
        <f t="shared" si="4"/>
        <v>1</v>
      </c>
      <c r="AC40" s="1801">
        <f t="shared" si="5"/>
        <v>1</v>
      </c>
    </row>
    <row r="41" spans="1:29" ht="15">
      <c r="A41" s="475" t="s">
        <v>2574</v>
      </c>
      <c r="B41" s="476"/>
      <c r="C41" s="1396" t="s">
        <v>1</v>
      </c>
      <c r="D41" s="1397"/>
      <c r="E41" s="1398"/>
      <c r="F41" s="1399"/>
      <c r="G41" s="1400"/>
      <c r="H41" s="1401"/>
      <c r="I41" s="1398"/>
      <c r="J41" s="1401"/>
      <c r="K41" s="776"/>
      <c r="L41" s="1139"/>
      <c r="M41" s="1140"/>
      <c r="N41" s="1127"/>
      <c r="O41" s="1140"/>
      <c r="P41" s="3238" t="str">
        <f>A41</f>
        <v>成交单价（元/平方米）</v>
      </c>
      <c r="Q41" s="3238"/>
      <c r="R41" s="3239">
        <f>E41</f>
        <v>0</v>
      </c>
      <c r="S41" s="3239"/>
      <c r="T41" s="3239">
        <f>G41</f>
        <v>0</v>
      </c>
      <c r="U41" s="3239"/>
      <c r="V41" s="3239">
        <f>I41</f>
        <v>0</v>
      </c>
      <c r="W41" s="3239"/>
      <c r="X41" s="752"/>
      <c r="Y41" s="774"/>
      <c r="Z41" s="752"/>
      <c r="AA41" s="752"/>
      <c r="AB41" s="752"/>
      <c r="AC41" s="752"/>
    </row>
    <row r="42" spans="1:29" ht="15.75" thickBot="1">
      <c r="A42" s="482" t="s">
        <v>2666</v>
      </c>
      <c r="B42" s="483"/>
      <c r="C42" s="1402" t="e">
        <f>R43</f>
        <v>#DIV/0!</v>
      </c>
      <c r="D42" s="1403"/>
      <c r="E42" s="1404" t="e">
        <f>R42</f>
        <v>#DIV/0!</v>
      </c>
      <c r="F42" s="1404"/>
      <c r="G42" s="1402" t="e">
        <f>T42</f>
        <v>#DIV/0!</v>
      </c>
      <c r="H42" s="1403"/>
      <c r="I42" s="1404" t="e">
        <f>V42</f>
        <v>#DIV/0!</v>
      </c>
      <c r="J42" s="1403"/>
      <c r="K42" s="777"/>
      <c r="L42" s="1139"/>
      <c r="M42" s="1140"/>
      <c r="N42" s="1127"/>
      <c r="O42" s="1140"/>
      <c r="P42" s="3238" t="str">
        <f>A42</f>
        <v>比较价值（元/平方米）</v>
      </c>
      <c r="Q42" s="3238"/>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2"/>
      <c r="Y42" s="752"/>
      <c r="Z42" s="752"/>
      <c r="AA42" s="752"/>
      <c r="AB42" s="752"/>
      <c r="AC42" s="752"/>
    </row>
    <row r="43" spans="1:29" ht="15.75" thickBot="1">
      <c r="A43" s="488" t="s">
        <v>2667</v>
      </c>
      <c r="B43" s="489"/>
      <c r="C43" s="1406" t="e">
        <f>R43</f>
        <v>#DIV/0!</v>
      </c>
      <c r="D43" s="1406"/>
      <c r="E43" s="1406"/>
      <c r="F43" s="1406"/>
      <c r="G43" s="1406"/>
      <c r="H43" s="1406"/>
      <c r="I43" s="1406"/>
      <c r="J43" s="1406"/>
      <c r="K43" s="778"/>
      <c r="L43" s="1139"/>
      <c r="M43" s="1140"/>
      <c r="N43" s="1140"/>
      <c r="O43" s="1140"/>
      <c r="P43" s="3240" t="str">
        <f>A43</f>
        <v>估价对象XX用房的比较价值（楼面单价，元/平方米）</v>
      </c>
      <c r="Q43" s="3241"/>
      <c r="R43" s="3242" t="e">
        <f>IF(F1="售价",ROUND(AVERAGE(R42:V42),0),ROUND(AVERAGE(R42:V42),1))</f>
        <v>#DIV/0!</v>
      </c>
      <c r="S43" s="3242"/>
      <c r="T43" s="3242"/>
      <c r="U43" s="3242"/>
      <c r="V43" s="3242"/>
      <c r="W43" s="3242"/>
      <c r="X43" s="752"/>
      <c r="Y43" s="752"/>
      <c r="Z43" s="752"/>
      <c r="AA43" s="752"/>
      <c r="AB43" s="752"/>
      <c r="AC43" s="752"/>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3" t="s">
        <v>2668</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1"/>
      <c r="L46" s="1102"/>
      <c r="M46" s="1140"/>
      <c r="N46" s="1140"/>
      <c r="O46" s="1140"/>
    </row>
    <row r="47" spans="1:29" ht="13.5" customHeight="1">
      <c r="A47" s="1140"/>
      <c r="B47" s="1140"/>
      <c r="C47" s="493" t="s">
        <v>2669</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1"/>
      <c r="L47" s="1102"/>
      <c r="M47" s="1140"/>
      <c r="N47" s="1140"/>
      <c r="O47" s="1140"/>
    </row>
    <row r="48" spans="1:29" s="498" customFormat="1" ht="13.5" customHeight="1">
      <c r="A48" s="1141"/>
      <c r="B48" s="1141"/>
      <c r="C48" s="493" t="s">
        <v>2670</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4"/>
      <c r="L48" s="1145"/>
      <c r="M48" s="1141"/>
      <c r="N48" s="1141"/>
      <c r="O48" s="1141"/>
    </row>
    <row r="49" spans="1:17" s="498"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6" t="s">
        <v>2671</v>
      </c>
      <c r="B51" s="752"/>
      <c r="C51" s="757"/>
      <c r="D51" s="757"/>
      <c r="E51" s="757"/>
      <c r="F51" s="758"/>
      <c r="G51" s="758"/>
      <c r="H51" s="757"/>
      <c r="I51" s="757"/>
      <c r="J51" s="757"/>
      <c r="K51" s="1156"/>
      <c r="L51" s="1157"/>
      <c r="M51" s="1155"/>
      <c r="N51" s="1155"/>
      <c r="O51" s="1155"/>
      <c r="P51" s="499"/>
      <c r="Q51" s="500"/>
    </row>
    <row r="52" spans="1:17" s="504" customFormat="1" ht="15">
      <c r="A52" s="501" t="s">
        <v>2545</v>
      </c>
      <c r="B52" s="502"/>
      <c r="C52" s="1564" t="str">
        <f>YEAR(C7)&amp;"-"&amp;MONTH(C7)</f>
        <v>2017-10</v>
      </c>
      <c r="D52" s="1565">
        <f>EDATE(C52,-1)</f>
        <v>42979</v>
      </c>
      <c r="E52" s="1565">
        <f t="shared" ref="E52:O52" si="13">EDATE(D52,-1)</f>
        <v>42948</v>
      </c>
      <c r="F52" s="1565">
        <f t="shared" si="13"/>
        <v>42917</v>
      </c>
      <c r="G52" s="1565">
        <f t="shared" si="13"/>
        <v>42887</v>
      </c>
      <c r="H52" s="1565">
        <f t="shared" si="13"/>
        <v>42856</v>
      </c>
      <c r="I52" s="1565">
        <f t="shared" si="13"/>
        <v>42826</v>
      </c>
      <c r="J52" s="1565">
        <f t="shared" si="13"/>
        <v>42795</v>
      </c>
      <c r="K52" s="1565">
        <f t="shared" si="13"/>
        <v>42767</v>
      </c>
      <c r="L52" s="1565">
        <f t="shared" si="13"/>
        <v>42736</v>
      </c>
      <c r="M52" s="1565">
        <f t="shared" si="13"/>
        <v>42705</v>
      </c>
      <c r="N52" s="1565">
        <f t="shared" si="13"/>
        <v>42675</v>
      </c>
      <c r="O52" s="1565">
        <f t="shared" si="13"/>
        <v>42644</v>
      </c>
      <c r="P52" s="503"/>
    </row>
    <row r="53" spans="1:17" s="116" customFormat="1" ht="15">
      <c r="A53" s="505"/>
      <c r="B53" s="506"/>
      <c r="C53" s="1563">
        <v>100</v>
      </c>
      <c r="D53" s="508"/>
      <c r="E53" s="508"/>
      <c r="F53" s="508"/>
      <c r="G53" s="508"/>
      <c r="H53" s="508"/>
      <c r="I53" s="508"/>
      <c r="J53" s="508"/>
      <c r="K53" s="508"/>
      <c r="L53" s="508"/>
      <c r="M53" s="509"/>
      <c r="N53" s="508"/>
      <c r="O53" s="510"/>
      <c r="P53" s="500"/>
    </row>
    <row r="54" spans="1:17" s="116" customFormat="1" ht="15.75" thickBot="1">
      <c r="A54" s="511" t="s">
        <v>2582</v>
      </c>
      <c r="B54" s="512"/>
      <c r="C54" s="513"/>
      <c r="D54" s="514"/>
      <c r="E54" s="514"/>
      <c r="F54" s="514"/>
      <c r="G54" s="514"/>
      <c r="H54" s="514"/>
      <c r="I54" s="514"/>
      <c r="J54" s="514"/>
      <c r="K54" s="514"/>
      <c r="L54" s="514"/>
      <c r="M54" s="515"/>
      <c r="N54" s="514"/>
      <c r="O54" s="516"/>
      <c r="P54" s="500"/>
      <c r="Q54" s="500"/>
    </row>
    <row r="55" spans="1:17" s="116" customFormat="1" ht="15">
      <c r="A55" s="517" t="s">
        <v>2547</v>
      </c>
      <c r="B55" s="506"/>
      <c r="C55" s="518" t="s">
        <v>2649</v>
      </c>
      <c r="D55" s="519"/>
      <c r="E55" s="519"/>
      <c r="F55" s="519"/>
      <c r="G55" s="519"/>
      <c r="H55" s="519"/>
      <c r="I55" s="519"/>
      <c r="J55" s="519"/>
      <c r="K55" s="519"/>
      <c r="L55" s="520"/>
      <c r="M55" s="521"/>
      <c r="N55" s="1147"/>
      <c r="O55" s="1147"/>
      <c r="P55" s="522"/>
      <c r="Q55" s="500"/>
    </row>
    <row r="56" spans="1:17" s="116" customFormat="1" ht="15.75" thickBot="1">
      <c r="A56" s="517"/>
      <c r="B56" s="506"/>
      <c r="C56" s="634">
        <v>100</v>
      </c>
      <c r="D56" s="508"/>
      <c r="E56" s="508"/>
      <c r="F56" s="508"/>
      <c r="G56" s="508"/>
      <c r="H56" s="508"/>
      <c r="I56" s="508"/>
      <c r="J56" s="508"/>
      <c r="K56" s="508"/>
      <c r="L56" s="508"/>
      <c r="M56" s="510"/>
      <c r="N56" s="1147"/>
      <c r="O56" s="1147"/>
      <c r="P56" s="500"/>
      <c r="Q56" s="500"/>
    </row>
    <row r="57" spans="1:17">
      <c r="A57" s="523" t="s">
        <v>2585</v>
      </c>
      <c r="B57" s="524" t="s">
        <v>2551</v>
      </c>
      <c r="C57" s="525">
        <f>C9</f>
        <v>0</v>
      </c>
      <c r="D57" s="526"/>
      <c r="E57" s="526"/>
      <c r="F57" s="526"/>
      <c r="G57" s="526"/>
      <c r="H57" s="526"/>
      <c r="I57" s="526"/>
      <c r="J57" s="526"/>
      <c r="K57" s="527"/>
      <c r="L57" s="528"/>
      <c r="M57" s="529"/>
      <c r="N57" s="1148"/>
      <c r="O57" s="1148"/>
      <c r="P57" s="45"/>
      <c r="Q57" s="500"/>
    </row>
    <row r="58" spans="1:17" ht="15.75" thickBot="1">
      <c r="A58" s="530"/>
      <c r="B58" s="531"/>
      <c r="C58" s="532">
        <v>100</v>
      </c>
      <c r="D58" s="532"/>
      <c r="E58" s="532"/>
      <c r="F58" s="532"/>
      <c r="G58" s="532"/>
      <c r="H58" s="532"/>
      <c r="I58" s="532"/>
      <c r="J58" s="532"/>
      <c r="K58" s="532"/>
      <c r="L58" s="532"/>
      <c r="M58" s="533"/>
      <c r="N58" s="1149"/>
      <c r="O58" s="1149"/>
      <c r="P58" s="45"/>
      <c r="Q58" s="500"/>
    </row>
    <row r="59" spans="1:17" ht="27.75" thickTop="1">
      <c r="A59" s="530"/>
      <c r="B59" s="534" t="s">
        <v>2554</v>
      </c>
      <c r="C59" s="535" t="s">
        <v>2586</v>
      </c>
      <c r="D59" s="535" t="s">
        <v>2587</v>
      </c>
      <c r="E59" s="535" t="s">
        <v>2588</v>
      </c>
      <c r="F59" s="535" t="s">
        <v>2589</v>
      </c>
      <c r="G59" s="535" t="s">
        <v>2590</v>
      </c>
      <c r="H59" s="535" t="s">
        <v>2591</v>
      </c>
      <c r="I59" s="535" t="s">
        <v>2592</v>
      </c>
      <c r="J59" s="535"/>
      <c r="K59" s="536"/>
      <c r="L59" s="537"/>
      <c r="M59" s="538"/>
      <c r="N59" s="1148"/>
      <c r="O59" s="1148"/>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49"/>
      <c r="O60" s="1149"/>
      <c r="P60" s="45"/>
      <c r="Q60" s="500"/>
    </row>
    <row r="61" spans="1:17" ht="15.75" thickTop="1">
      <c r="A61" s="530"/>
      <c r="B61" s="542" t="s">
        <v>2555</v>
      </c>
      <c r="C61" s="543" t="str">
        <f>C62&amp;"（含）"&amp;"-"&amp;D62</f>
        <v>（含）-</v>
      </c>
      <c r="D61" s="543" t="str">
        <f t="shared" ref="D61:L61" si="14">D62&amp;"（含）"&amp;"-"&amp;E62</f>
        <v>（含）-</v>
      </c>
      <c r="E61" s="543" t="str">
        <f t="shared" si="14"/>
        <v>（含）-</v>
      </c>
      <c r="F61" s="543" t="str">
        <f t="shared" si="14"/>
        <v>（含）-</v>
      </c>
      <c r="G61" s="543" t="str">
        <f t="shared" si="14"/>
        <v>（含）-</v>
      </c>
      <c r="H61" s="543" t="str">
        <f t="shared" si="14"/>
        <v>（含）-</v>
      </c>
      <c r="I61" s="543" t="str">
        <f t="shared" si="14"/>
        <v>（含）-</v>
      </c>
      <c r="J61" s="543" t="str">
        <f t="shared" si="14"/>
        <v>（含）-</v>
      </c>
      <c r="K61" s="543" t="str">
        <f t="shared" si="14"/>
        <v>（含）-</v>
      </c>
      <c r="L61" s="543" t="str">
        <f t="shared" si="14"/>
        <v>（含）-</v>
      </c>
      <c r="M61" s="444" t="str">
        <f>M62&amp;"（含）"&amp;"-"&amp;P62</f>
        <v>（含）-</v>
      </c>
      <c r="N61" s="1149"/>
      <c r="O61" s="1149"/>
      <c r="P61" s="45"/>
      <c r="Q61" s="500"/>
    </row>
    <row r="62" spans="1:17" ht="15">
      <c r="A62" s="530"/>
      <c r="B62" s="544"/>
      <c r="C62" s="545"/>
      <c r="D62" s="545"/>
      <c r="E62" s="545"/>
      <c r="F62" s="545"/>
      <c r="G62" s="545"/>
      <c r="H62" s="545"/>
      <c r="I62" s="545"/>
      <c r="J62" s="545"/>
      <c r="K62" s="546"/>
      <c r="L62" s="547"/>
      <c r="M62" s="548"/>
      <c r="N62" s="1148"/>
      <c r="O62" s="1148"/>
      <c r="P62" s="45"/>
      <c r="Q62" s="500"/>
    </row>
    <row r="63" spans="1:17" ht="15.75" thickBot="1">
      <c r="A63" s="530"/>
      <c r="B63" s="531"/>
      <c r="C63" s="540">
        <v>100</v>
      </c>
      <c r="D63" s="540">
        <f t="shared" ref="D63:M63" si="15">C63-$K11</f>
        <v>100</v>
      </c>
      <c r="E63" s="540">
        <f t="shared" si="15"/>
        <v>100</v>
      </c>
      <c r="F63" s="540">
        <f t="shared" si="15"/>
        <v>100</v>
      </c>
      <c r="G63" s="540">
        <f t="shared" si="15"/>
        <v>100</v>
      </c>
      <c r="H63" s="540">
        <f t="shared" si="15"/>
        <v>100</v>
      </c>
      <c r="I63" s="540">
        <f t="shared" si="15"/>
        <v>100</v>
      </c>
      <c r="J63" s="540">
        <f t="shared" si="15"/>
        <v>100</v>
      </c>
      <c r="K63" s="540">
        <f t="shared" si="15"/>
        <v>100</v>
      </c>
      <c r="L63" s="540">
        <f t="shared" si="15"/>
        <v>100</v>
      </c>
      <c r="M63" s="541">
        <f t="shared" si="15"/>
        <v>100</v>
      </c>
      <c r="N63" s="1149"/>
      <c r="O63" s="1149"/>
      <c r="P63" s="45"/>
      <c r="Q63" s="500"/>
    </row>
    <row r="64" spans="1:17" s="467" customFormat="1" ht="15.75" thickTop="1">
      <c r="A64" s="549"/>
      <c r="B64" s="534">
        <f>B12</f>
        <v>111</v>
      </c>
      <c r="C64" s="550"/>
      <c r="D64" s="550"/>
      <c r="E64" s="550"/>
      <c r="F64" s="550"/>
      <c r="G64" s="550"/>
      <c r="H64" s="551"/>
      <c r="I64" s="551"/>
      <c r="J64" s="551"/>
      <c r="K64" s="551"/>
      <c r="L64" s="552"/>
      <c r="M64" s="553"/>
      <c r="N64" s="1150"/>
      <c r="O64" s="1150"/>
      <c r="P64" s="554"/>
      <c r="Q64" s="555"/>
    </row>
    <row r="65" spans="1:17" s="467" customFormat="1" ht="15.75" thickBot="1">
      <c r="A65" s="549"/>
      <c r="B65" s="539"/>
      <c r="C65" s="556"/>
      <c r="D65" s="532"/>
      <c r="E65" s="532"/>
      <c r="F65" s="532"/>
      <c r="G65" s="532"/>
      <c r="H65" s="532"/>
      <c r="I65" s="532"/>
      <c r="J65" s="532"/>
      <c r="K65" s="532"/>
      <c r="L65" s="532"/>
      <c r="M65" s="533"/>
      <c r="N65" s="1149"/>
      <c r="O65" s="1149"/>
      <c r="P65" s="554"/>
      <c r="Q65" s="555"/>
    </row>
    <row r="66" spans="1:17" s="467" customFormat="1" ht="15.75" thickTop="1">
      <c r="A66" s="549"/>
      <c r="B66" s="534">
        <f>B13</f>
        <v>111</v>
      </c>
      <c r="C66" s="550"/>
      <c r="D66" s="550"/>
      <c r="E66" s="550"/>
      <c r="F66" s="550"/>
      <c r="G66" s="550"/>
      <c r="H66" s="551"/>
      <c r="I66" s="551"/>
      <c r="J66" s="551"/>
      <c r="K66" s="551"/>
      <c r="L66" s="552"/>
      <c r="M66" s="553"/>
      <c r="N66" s="1150"/>
      <c r="O66" s="1150"/>
      <c r="P66" s="466"/>
      <c r="Q66" s="557"/>
    </row>
    <row r="67" spans="1:17" s="467" customFormat="1" ht="15.75" thickBot="1">
      <c r="A67" s="549"/>
      <c r="B67" s="539"/>
      <c r="C67" s="556"/>
      <c r="D67" s="532"/>
      <c r="E67" s="532"/>
      <c r="F67" s="532"/>
      <c r="G67" s="556"/>
      <c r="H67" s="558"/>
      <c r="I67" s="558"/>
      <c r="J67" s="558"/>
      <c r="K67" s="558"/>
      <c r="L67" s="558"/>
      <c r="M67" s="559"/>
      <c r="N67" s="1150"/>
      <c r="O67" s="1150"/>
      <c r="P67" s="554"/>
      <c r="Q67" s="555"/>
    </row>
    <row r="68" spans="1:17" s="467" customFormat="1" ht="15.75" thickTop="1">
      <c r="A68" s="549"/>
      <c r="B68" s="542">
        <f>B14</f>
        <v>111</v>
      </c>
      <c r="C68" s="519"/>
      <c r="D68" s="519"/>
      <c r="E68" s="519"/>
      <c r="F68" s="519"/>
      <c r="G68" s="519"/>
      <c r="H68" s="560"/>
      <c r="I68" s="560"/>
      <c r="J68" s="560"/>
      <c r="K68" s="560"/>
      <c r="L68" s="561"/>
      <c r="M68" s="562"/>
      <c r="N68" s="1150"/>
      <c r="O68" s="1150"/>
      <c r="P68" s="563"/>
      <c r="Q68" s="555"/>
    </row>
    <row r="69" spans="1:17" s="467" customFormat="1" ht="15.75" thickBot="1">
      <c r="A69" s="564"/>
      <c r="B69" s="565"/>
      <c r="C69" s="566"/>
      <c r="D69" s="566"/>
      <c r="E69" s="566"/>
      <c r="F69" s="566"/>
      <c r="G69" s="566"/>
      <c r="H69" s="567"/>
      <c r="I69" s="567"/>
      <c r="J69" s="567"/>
      <c r="K69" s="567"/>
      <c r="L69" s="567"/>
      <c r="M69" s="568"/>
      <c r="N69" s="1150"/>
      <c r="O69" s="1150"/>
      <c r="P69" s="554"/>
      <c r="Q69" s="555"/>
    </row>
    <row r="70" spans="1:17">
      <c r="A70" s="523" t="s">
        <v>2556</v>
      </c>
      <c r="B70" s="524" t="s">
        <v>2702</v>
      </c>
      <c r="C70" s="569" t="s">
        <v>2594</v>
      </c>
      <c r="D70" s="569" t="s">
        <v>2595</v>
      </c>
      <c r="E70" s="569" t="s">
        <v>2596</v>
      </c>
      <c r="F70" s="569" t="s">
        <v>2597</v>
      </c>
      <c r="G70" s="569" t="s">
        <v>2598</v>
      </c>
      <c r="H70" s="525"/>
      <c r="I70" s="525"/>
      <c r="J70" s="525"/>
      <c r="K70" s="570"/>
      <c r="L70" s="571"/>
      <c r="M70" s="572"/>
      <c r="N70" s="1148"/>
      <c r="O70" s="1148"/>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49"/>
      <c r="O71" s="1149"/>
      <c r="P71" s="45"/>
      <c r="Q71" s="500"/>
    </row>
    <row r="72" spans="1:17" ht="15.75" thickTop="1">
      <c r="A72" s="530"/>
      <c r="B72" s="534" t="s">
        <v>2599</v>
      </c>
      <c r="C72" s="574" t="s">
        <v>2594</v>
      </c>
      <c r="D72" s="574" t="s">
        <v>2595</v>
      </c>
      <c r="E72" s="574" t="s">
        <v>2596</v>
      </c>
      <c r="F72" s="574" t="s">
        <v>2597</v>
      </c>
      <c r="G72" s="574" t="s">
        <v>2598</v>
      </c>
      <c r="H72" s="535"/>
      <c r="I72" s="535"/>
      <c r="J72" s="535"/>
      <c r="K72" s="536"/>
      <c r="L72" s="537"/>
      <c r="M72" s="538"/>
      <c r="N72" s="1148"/>
      <c r="O72" s="1148"/>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49"/>
      <c r="O73" s="1149"/>
      <c r="P73" s="45"/>
      <c r="Q73" s="500"/>
    </row>
    <row r="74" spans="1:17" ht="15.75" thickTop="1">
      <c r="A74" s="530"/>
      <c r="B74" s="534" t="s">
        <v>2600</v>
      </c>
      <c r="C74" s="574" t="s">
        <v>2594</v>
      </c>
      <c r="D74" s="574" t="s">
        <v>2595</v>
      </c>
      <c r="E74" s="574" t="s">
        <v>2596</v>
      </c>
      <c r="F74" s="574" t="s">
        <v>2597</v>
      </c>
      <c r="G74" s="574" t="s">
        <v>2598</v>
      </c>
      <c r="H74" s="535"/>
      <c r="I74" s="535"/>
      <c r="J74" s="535"/>
      <c r="K74" s="536"/>
      <c r="L74" s="537"/>
      <c r="M74" s="538"/>
      <c r="N74" s="1148"/>
      <c r="O74" s="1148"/>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49"/>
      <c r="O75" s="1149"/>
      <c r="P75" s="45"/>
      <c r="Q75" s="500"/>
    </row>
    <row r="76" spans="1:17" ht="15.75" thickTop="1">
      <c r="A76" s="530"/>
      <c r="B76" s="542" t="s">
        <v>2686</v>
      </c>
      <c r="C76" s="655" t="s">
        <v>2672</v>
      </c>
      <c r="D76" s="655" t="s">
        <v>2673</v>
      </c>
      <c r="E76" s="655" t="s">
        <v>2674</v>
      </c>
      <c r="F76" s="655" t="s">
        <v>2675</v>
      </c>
      <c r="G76" s="655" t="s">
        <v>2676</v>
      </c>
      <c r="H76" s="535"/>
      <c r="I76" s="535"/>
      <c r="J76" s="535"/>
      <c r="K76" s="535"/>
      <c r="L76" s="535"/>
      <c r="M76" s="1371"/>
      <c r="N76" s="1149"/>
      <c r="O76" s="1149"/>
      <c r="P76" s="45"/>
      <c r="Q76" s="500"/>
    </row>
    <row r="77" spans="1:17" ht="15.75" thickBot="1">
      <c r="A77" s="530"/>
      <c r="B77" s="542"/>
      <c r="C77" s="540">
        <v>100</v>
      </c>
      <c r="D77" s="540">
        <f>C77-$K21</f>
        <v>100</v>
      </c>
      <c r="E77" s="540">
        <f>D77-$K21</f>
        <v>100</v>
      </c>
      <c r="F77" s="540">
        <f>E77-$K21</f>
        <v>100</v>
      </c>
      <c r="G77" s="540">
        <f>F77-$K21</f>
        <v>100</v>
      </c>
      <c r="H77" s="655"/>
      <c r="I77" s="655"/>
      <c r="J77" s="655"/>
      <c r="K77" s="655"/>
      <c r="L77" s="655"/>
      <c r="M77" s="446"/>
      <c r="N77" s="1149"/>
      <c r="O77" s="1149"/>
      <c r="P77" s="45"/>
      <c r="Q77" s="500"/>
    </row>
    <row r="78" spans="1:17" ht="15.75" thickTop="1">
      <c r="A78" s="530"/>
      <c r="B78" s="534" t="s">
        <v>2695</v>
      </c>
      <c r="C78" s="574" t="s">
        <v>2594</v>
      </c>
      <c r="D78" s="574" t="s">
        <v>2595</v>
      </c>
      <c r="E78" s="574" t="s">
        <v>2596</v>
      </c>
      <c r="F78" s="574" t="s">
        <v>2597</v>
      </c>
      <c r="G78" s="574" t="s">
        <v>2598</v>
      </c>
      <c r="H78" s="535"/>
      <c r="I78" s="535"/>
      <c r="J78" s="535"/>
      <c r="K78" s="536"/>
      <c r="L78" s="537"/>
      <c r="M78" s="538"/>
      <c r="N78" s="1148"/>
      <c r="O78" s="1148"/>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49"/>
      <c r="O79" s="1149"/>
      <c r="P79" s="45"/>
      <c r="Q79" s="500"/>
    </row>
    <row r="80" spans="1:17" s="116" customFormat="1" ht="15.75" thickTop="1">
      <c r="A80" s="575"/>
      <c r="B80" s="534">
        <f>B25</f>
        <v>111</v>
      </c>
      <c r="C80" s="550"/>
      <c r="D80" s="550"/>
      <c r="E80" s="550"/>
      <c r="F80" s="550"/>
      <c r="G80" s="550"/>
      <c r="H80" s="550"/>
      <c r="I80" s="550"/>
      <c r="J80" s="550"/>
      <c r="K80" s="550"/>
      <c r="L80" s="576"/>
      <c r="M80" s="577"/>
      <c r="N80" s="1147"/>
      <c r="O80" s="1147"/>
      <c r="P80" s="45"/>
      <c r="Q80" s="500"/>
    </row>
    <row r="81" spans="1:17" s="116" customFormat="1" ht="15.75" thickBot="1">
      <c r="A81" s="575"/>
      <c r="B81" s="539"/>
      <c r="C81" s="556"/>
      <c r="D81" s="532"/>
      <c r="E81" s="532"/>
      <c r="F81" s="532"/>
      <c r="G81" s="532"/>
      <c r="H81" s="532"/>
      <c r="I81" s="532"/>
      <c r="J81" s="532"/>
      <c r="K81" s="532"/>
      <c r="L81" s="532"/>
      <c r="M81" s="533"/>
      <c r="N81" s="1149"/>
      <c r="O81" s="1149"/>
      <c r="P81" s="45"/>
      <c r="Q81" s="500"/>
    </row>
    <row r="82" spans="1:17" s="116" customFormat="1" ht="15.75" thickTop="1">
      <c r="A82" s="575"/>
      <c r="B82" s="534">
        <f>B26</f>
        <v>111</v>
      </c>
      <c r="C82" s="550"/>
      <c r="D82" s="550"/>
      <c r="E82" s="550"/>
      <c r="F82" s="550"/>
      <c r="G82" s="550"/>
      <c r="H82" s="550"/>
      <c r="I82" s="550"/>
      <c r="J82" s="550"/>
      <c r="K82" s="550"/>
      <c r="L82" s="576"/>
      <c r="M82" s="577"/>
      <c r="N82" s="1147"/>
      <c r="O82" s="1147"/>
      <c r="P82" s="45"/>
      <c r="Q82" s="500"/>
    </row>
    <row r="83" spans="1:17" s="116" customFormat="1" ht="15.75" thickBot="1">
      <c r="A83" s="575"/>
      <c r="B83" s="539"/>
      <c r="C83" s="556"/>
      <c r="D83" s="532"/>
      <c r="E83" s="532"/>
      <c r="F83" s="532"/>
      <c r="G83" s="532"/>
      <c r="H83" s="532"/>
      <c r="I83" s="532"/>
      <c r="J83" s="532"/>
      <c r="K83" s="532"/>
      <c r="L83" s="532"/>
      <c r="M83" s="533"/>
      <c r="N83" s="1149"/>
      <c r="O83" s="1149"/>
      <c r="P83" s="45"/>
      <c r="Q83" s="500"/>
    </row>
    <row r="84" spans="1:17" s="467" customFormat="1" ht="15.75" thickTop="1">
      <c r="A84" s="549"/>
      <c r="B84" s="534">
        <f>B27</f>
        <v>111</v>
      </c>
      <c r="C84" s="550"/>
      <c r="D84" s="550"/>
      <c r="E84" s="550"/>
      <c r="F84" s="550"/>
      <c r="G84" s="550"/>
      <c r="H84" s="550"/>
      <c r="I84" s="550"/>
      <c r="J84" s="550"/>
      <c r="K84" s="550"/>
      <c r="L84" s="576"/>
      <c r="M84" s="577"/>
      <c r="N84" s="1150"/>
      <c r="O84" s="1150"/>
      <c r="P84" s="554"/>
      <c r="Q84" s="555"/>
    </row>
    <row r="85" spans="1:17" s="467" customFormat="1" ht="15.75" thickBot="1">
      <c r="A85" s="549"/>
      <c r="B85" s="539"/>
      <c r="C85" s="556"/>
      <c r="D85" s="532"/>
      <c r="E85" s="532"/>
      <c r="F85" s="532"/>
      <c r="G85" s="532"/>
      <c r="H85" s="532"/>
      <c r="I85" s="532"/>
      <c r="J85" s="532"/>
      <c r="K85" s="532"/>
      <c r="L85" s="532"/>
      <c r="M85" s="533"/>
      <c r="N85" s="1150"/>
      <c r="O85" s="1150"/>
      <c r="P85" s="554"/>
      <c r="Q85" s="555"/>
    </row>
    <row r="86" spans="1:17" ht="15.75" thickTop="1">
      <c r="A86" s="530"/>
      <c r="B86" s="542">
        <f>B28</f>
        <v>111</v>
      </c>
      <c r="C86" s="519"/>
      <c r="D86" s="519"/>
      <c r="E86" s="519"/>
      <c r="F86" s="519"/>
      <c r="G86" s="583"/>
      <c r="H86" s="583"/>
      <c r="I86" s="583"/>
      <c r="J86" s="583"/>
      <c r="K86" s="584"/>
      <c r="L86" s="585"/>
      <c r="M86" s="586"/>
      <c r="N86" s="1148"/>
      <c r="O86" s="1148"/>
      <c r="P86" s="45"/>
      <c r="Q86" s="500"/>
    </row>
    <row r="87" spans="1:17" ht="15.75" thickBot="1">
      <c r="A87" s="2623"/>
      <c r="B87" s="565"/>
      <c r="C87" s="566"/>
      <c r="D87" s="566"/>
      <c r="E87" s="566"/>
      <c r="F87" s="566"/>
      <c r="G87" s="587"/>
      <c r="H87" s="587"/>
      <c r="I87" s="587"/>
      <c r="J87" s="587"/>
      <c r="K87" s="587"/>
      <c r="L87" s="587"/>
      <c r="M87" s="588"/>
      <c r="N87" s="1149"/>
      <c r="O87" s="1149"/>
      <c r="P87" s="45"/>
      <c r="Q87" s="500"/>
    </row>
    <row r="88" spans="1:17">
      <c r="A88" s="523" t="s">
        <v>2560</v>
      </c>
      <c r="B88" s="524" t="s">
        <v>2609</v>
      </c>
      <c r="C88" s="526"/>
      <c r="D88" s="526"/>
      <c r="E88" s="526"/>
      <c r="F88" s="526"/>
      <c r="G88" s="526"/>
      <c r="H88" s="526"/>
      <c r="I88" s="526"/>
      <c r="J88" s="526"/>
      <c r="K88" s="527"/>
      <c r="L88" s="528"/>
      <c r="M88" s="529"/>
      <c r="N88" s="1148"/>
      <c r="O88" s="1148"/>
      <c r="P88" s="45"/>
      <c r="Q88" s="500"/>
    </row>
    <row r="89" spans="1:17" ht="15.75" thickBot="1">
      <c r="A89" s="530"/>
      <c r="B89" s="539"/>
      <c r="C89" s="540">
        <v>100</v>
      </c>
      <c r="D89" s="540">
        <f t="shared" ref="D89:M89" si="16">C89-$K29</f>
        <v>100</v>
      </c>
      <c r="E89" s="540">
        <f t="shared" si="16"/>
        <v>100</v>
      </c>
      <c r="F89" s="540">
        <f t="shared" si="16"/>
        <v>100</v>
      </c>
      <c r="G89" s="540">
        <f t="shared" si="16"/>
        <v>100</v>
      </c>
      <c r="H89" s="540">
        <f t="shared" si="16"/>
        <v>100</v>
      </c>
      <c r="I89" s="540">
        <f t="shared" si="16"/>
        <v>100</v>
      </c>
      <c r="J89" s="540">
        <f t="shared" si="16"/>
        <v>100</v>
      </c>
      <c r="K89" s="540">
        <f t="shared" si="16"/>
        <v>100</v>
      </c>
      <c r="L89" s="540">
        <f t="shared" si="16"/>
        <v>100</v>
      </c>
      <c r="M89" s="541">
        <f t="shared" si="16"/>
        <v>100</v>
      </c>
      <c r="N89" s="1149"/>
      <c r="O89" s="1149"/>
      <c r="P89" s="45"/>
      <c r="Q89" s="500"/>
    </row>
    <row r="90" spans="1:17" ht="15.75" thickTop="1">
      <c r="A90" s="530"/>
      <c r="B90" s="534" t="s">
        <v>2610</v>
      </c>
      <c r="C90" s="574" t="str">
        <f>C91&amp;"(含)"&amp;"-"&amp;D91</f>
        <v>(含)-</v>
      </c>
      <c r="D90" s="574" t="str">
        <f t="shared" ref="D90:L90" si="17">D91&amp;"(含)"&amp;"-"&amp;E91</f>
        <v>(含)-</v>
      </c>
      <c r="E90" s="574" t="str">
        <f t="shared" si="17"/>
        <v>(含)-</v>
      </c>
      <c r="F90" s="574" t="str">
        <f t="shared" si="17"/>
        <v>(含)-</v>
      </c>
      <c r="G90" s="574" t="str">
        <f t="shared" si="17"/>
        <v>(含)-</v>
      </c>
      <c r="H90" s="574" t="str">
        <f t="shared" si="17"/>
        <v>(含)-</v>
      </c>
      <c r="I90" s="574" t="str">
        <f t="shared" si="17"/>
        <v>(含)-</v>
      </c>
      <c r="J90" s="574" t="str">
        <f t="shared" si="17"/>
        <v>(含)-</v>
      </c>
      <c r="K90" s="574" t="str">
        <f t="shared" si="17"/>
        <v>(含)-</v>
      </c>
      <c r="L90" s="574" t="str">
        <f t="shared" si="17"/>
        <v>(含)-</v>
      </c>
      <c r="M90" s="617" t="str">
        <f>M91&amp;"(含)"&amp;"-"&amp;P91</f>
        <v>(含)-</v>
      </c>
      <c r="N90" s="1147"/>
      <c r="O90" s="1147"/>
      <c r="P90" s="45"/>
      <c r="Q90" s="500"/>
    </row>
    <row r="91" spans="1:17" s="467" customFormat="1">
      <c r="A91" s="589"/>
      <c r="B91" s="590"/>
      <c r="C91" s="591"/>
      <c r="D91" s="591"/>
      <c r="E91" s="591"/>
      <c r="F91" s="591"/>
      <c r="G91" s="591"/>
      <c r="H91" s="591"/>
      <c r="I91" s="591"/>
      <c r="J91" s="592"/>
      <c r="K91" s="592"/>
      <c r="L91" s="593"/>
      <c r="M91" s="594"/>
      <c r="N91" s="1150"/>
      <c r="O91" s="1150"/>
      <c r="P91" s="554"/>
      <c r="Q91" s="555"/>
    </row>
    <row r="92" spans="1:17" s="467" customFormat="1" ht="15.75" thickBot="1">
      <c r="A92" s="549"/>
      <c r="B92" s="539"/>
      <c r="C92" s="556"/>
      <c r="D92" s="532"/>
      <c r="E92" s="532"/>
      <c r="F92" s="532"/>
      <c r="G92" s="532"/>
      <c r="H92" s="532"/>
      <c r="I92" s="532"/>
      <c r="J92" s="532"/>
      <c r="K92" s="532"/>
      <c r="L92" s="532"/>
      <c r="M92" s="533"/>
      <c r="N92" s="1149"/>
      <c r="O92" s="1149"/>
      <c r="P92" s="554"/>
      <c r="Q92" s="555"/>
    </row>
    <row r="93" spans="1:17" ht="15" thickTop="1">
      <c r="A93" s="595"/>
      <c r="B93" s="534" t="s">
        <v>2611</v>
      </c>
      <c r="C93" s="550"/>
      <c r="D93" s="550"/>
      <c r="E93" s="579"/>
      <c r="F93" s="579"/>
      <c r="G93" s="579"/>
      <c r="H93" s="579"/>
      <c r="I93" s="579"/>
      <c r="J93" s="579"/>
      <c r="K93" s="580"/>
      <c r="L93" s="581"/>
      <c r="M93" s="582"/>
      <c r="N93" s="1148"/>
      <c r="O93" s="1148"/>
      <c r="P93" s="45"/>
      <c r="Q93" s="500"/>
    </row>
    <row r="94" spans="1:17" ht="15.75" thickBot="1">
      <c r="A94" s="530"/>
      <c r="B94" s="539"/>
      <c r="C94" s="540">
        <v>100</v>
      </c>
      <c r="D94" s="540">
        <f t="shared" ref="D94:M94" si="18">C94-$K31</f>
        <v>100</v>
      </c>
      <c r="E94" s="540">
        <f t="shared" si="18"/>
        <v>100</v>
      </c>
      <c r="F94" s="540">
        <f t="shared" si="18"/>
        <v>100</v>
      </c>
      <c r="G94" s="540">
        <f t="shared" si="18"/>
        <v>100</v>
      </c>
      <c r="H94" s="540">
        <f t="shared" si="18"/>
        <v>100</v>
      </c>
      <c r="I94" s="540">
        <f t="shared" si="18"/>
        <v>100</v>
      </c>
      <c r="J94" s="540">
        <f t="shared" si="18"/>
        <v>100</v>
      </c>
      <c r="K94" s="540">
        <f t="shared" si="18"/>
        <v>100</v>
      </c>
      <c r="L94" s="540">
        <f t="shared" si="18"/>
        <v>100</v>
      </c>
      <c r="M94" s="541">
        <f t="shared" si="18"/>
        <v>100</v>
      </c>
      <c r="N94" s="1149"/>
      <c r="O94" s="1149"/>
      <c r="P94" s="45"/>
      <c r="Q94" s="500"/>
    </row>
    <row r="95" spans="1:17" ht="15" thickTop="1">
      <c r="A95" s="595"/>
      <c r="B95" s="534" t="s">
        <v>2613</v>
      </c>
      <c r="C95" s="550"/>
      <c r="D95" s="550"/>
      <c r="E95" s="550"/>
      <c r="F95" s="579"/>
      <c r="G95" s="579"/>
      <c r="H95" s="579"/>
      <c r="I95" s="579"/>
      <c r="J95" s="579"/>
      <c r="K95" s="580"/>
      <c r="L95" s="581"/>
      <c r="M95" s="582"/>
      <c r="N95" s="1148"/>
      <c r="O95" s="1148"/>
      <c r="P95" s="45"/>
      <c r="Q95" s="500"/>
    </row>
    <row r="96" spans="1:17" ht="15.75" thickBot="1">
      <c r="A96" s="530"/>
      <c r="B96" s="539"/>
      <c r="C96" s="540">
        <v>100</v>
      </c>
      <c r="D96" s="540">
        <f t="shared" ref="D96:M96" si="19">C96-$K32</f>
        <v>100</v>
      </c>
      <c r="E96" s="540">
        <f t="shared" si="19"/>
        <v>100</v>
      </c>
      <c r="F96" s="540">
        <f t="shared" si="19"/>
        <v>100</v>
      </c>
      <c r="G96" s="540">
        <f t="shared" si="19"/>
        <v>100</v>
      </c>
      <c r="H96" s="540">
        <f t="shared" si="19"/>
        <v>100</v>
      </c>
      <c r="I96" s="540">
        <f t="shared" si="19"/>
        <v>100</v>
      </c>
      <c r="J96" s="540">
        <f t="shared" si="19"/>
        <v>100</v>
      </c>
      <c r="K96" s="540">
        <f t="shared" si="19"/>
        <v>100</v>
      </c>
      <c r="L96" s="540">
        <f t="shared" si="19"/>
        <v>100</v>
      </c>
      <c r="M96" s="541">
        <f t="shared" si="19"/>
        <v>100</v>
      </c>
      <c r="N96" s="1149"/>
      <c r="O96" s="1149"/>
      <c r="P96" s="45"/>
      <c r="Q96" s="500"/>
    </row>
    <row r="97" spans="1:17" ht="15" thickTop="1">
      <c r="A97" s="595"/>
      <c r="B97" s="534" t="s">
        <v>1992</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8"/>
      <c r="O97" s="1148"/>
      <c r="P97" s="45"/>
      <c r="Q97" s="500"/>
    </row>
    <row r="98" spans="1:17">
      <c r="A98" s="595"/>
      <c r="B98" s="542"/>
      <c r="C98" s="599">
        <v>0.5</v>
      </c>
      <c r="D98" s="599">
        <v>0.6</v>
      </c>
      <c r="E98" s="599">
        <v>0.7</v>
      </c>
      <c r="F98" s="599">
        <v>0.8</v>
      </c>
      <c r="G98" s="599">
        <v>0.9</v>
      </c>
      <c r="H98" s="599">
        <v>1.0001</v>
      </c>
      <c r="I98" s="618"/>
      <c r="J98" s="618"/>
      <c r="K98" s="619"/>
      <c r="L98" s="620"/>
      <c r="M98" s="621"/>
      <c r="N98" s="1148"/>
      <c r="O98" s="1148"/>
      <c r="P98" s="45"/>
      <c r="Q98" s="500"/>
    </row>
    <row r="99" spans="1:17" ht="15.75" thickBot="1">
      <c r="A99" s="530"/>
      <c r="B99" s="539"/>
      <c r="C99" s="578">
        <v>100</v>
      </c>
      <c r="D99" s="540">
        <f>C99+$K33</f>
        <v>100</v>
      </c>
      <c r="E99" s="540">
        <f t="shared" ref="E99:M99" si="20">D99+$K33</f>
        <v>100</v>
      </c>
      <c r="F99" s="540">
        <f t="shared" si="20"/>
        <v>100</v>
      </c>
      <c r="G99" s="540">
        <f t="shared" si="20"/>
        <v>100</v>
      </c>
      <c r="H99" s="540">
        <f t="shared" si="20"/>
        <v>100</v>
      </c>
      <c r="I99" s="540">
        <f t="shared" si="20"/>
        <v>100</v>
      </c>
      <c r="J99" s="540">
        <f t="shared" si="20"/>
        <v>100</v>
      </c>
      <c r="K99" s="540">
        <f t="shared" si="20"/>
        <v>100</v>
      </c>
      <c r="L99" s="540">
        <f t="shared" si="20"/>
        <v>100</v>
      </c>
      <c r="M99" s="540">
        <f t="shared" si="20"/>
        <v>100</v>
      </c>
      <c r="N99" s="1149"/>
      <c r="O99" s="1149"/>
      <c r="P99" s="45"/>
      <c r="Q99" s="500"/>
    </row>
    <row r="100" spans="1:17" s="467" customFormat="1" ht="15" thickTop="1">
      <c r="A100" s="589"/>
      <c r="B100" s="534" t="s">
        <v>2614</v>
      </c>
      <c r="C100" s="550"/>
      <c r="D100" s="550"/>
      <c r="E100" s="550"/>
      <c r="F100" s="550"/>
      <c r="G100" s="550"/>
      <c r="H100" s="579"/>
      <c r="I100" s="579"/>
      <c r="J100" s="579"/>
      <c r="K100" s="580"/>
      <c r="L100" s="581"/>
      <c r="M100" s="582"/>
      <c r="N100" s="1150"/>
      <c r="O100" s="1150"/>
      <c r="P100" s="554"/>
      <c r="Q100" s="555"/>
    </row>
    <row r="101" spans="1:17" s="467" customFormat="1" ht="15.75" thickBot="1">
      <c r="A101" s="549"/>
      <c r="B101" s="539"/>
      <c r="C101" s="540">
        <v>100</v>
      </c>
      <c r="D101" s="540">
        <f>C101-$K34</f>
        <v>100</v>
      </c>
      <c r="E101" s="540">
        <f t="shared" ref="E101:M101" si="21">D101-$K34</f>
        <v>100</v>
      </c>
      <c r="F101" s="540">
        <f t="shared" si="21"/>
        <v>100</v>
      </c>
      <c r="G101" s="540">
        <f t="shared" si="21"/>
        <v>100</v>
      </c>
      <c r="H101" s="540">
        <f t="shared" si="21"/>
        <v>100</v>
      </c>
      <c r="I101" s="540">
        <f t="shared" si="21"/>
        <v>100</v>
      </c>
      <c r="J101" s="540">
        <f t="shared" si="21"/>
        <v>100</v>
      </c>
      <c r="K101" s="540">
        <f t="shared" si="21"/>
        <v>100</v>
      </c>
      <c r="L101" s="540">
        <f t="shared" si="21"/>
        <v>100</v>
      </c>
      <c r="M101" s="540">
        <f t="shared" si="21"/>
        <v>100</v>
      </c>
      <c r="N101" s="1150"/>
      <c r="O101" s="1150"/>
      <c r="P101" s="554"/>
      <c r="Q101" s="555"/>
    </row>
    <row r="102" spans="1:17" ht="15" thickTop="1">
      <c r="A102" s="595"/>
      <c r="B102" s="534" t="s">
        <v>2615</v>
      </c>
      <c r="C102" s="550"/>
      <c r="D102" s="550"/>
      <c r="E102" s="550"/>
      <c r="F102" s="550"/>
      <c r="G102" s="550"/>
      <c r="H102" s="579"/>
      <c r="I102" s="579"/>
      <c r="J102" s="579"/>
      <c r="K102" s="580"/>
      <c r="L102" s="581"/>
      <c r="M102" s="582"/>
      <c r="N102" s="1148"/>
      <c r="O102" s="1148"/>
      <c r="P102" s="45"/>
      <c r="Q102" s="500"/>
    </row>
    <row r="103" spans="1:17" ht="15.75" thickBot="1">
      <c r="A103" s="530"/>
      <c r="B103" s="539"/>
      <c r="C103" s="540">
        <v>100</v>
      </c>
      <c r="D103" s="540">
        <f t="shared" ref="D103:M103" si="22">C103-$K35</f>
        <v>100</v>
      </c>
      <c r="E103" s="540">
        <f t="shared" si="22"/>
        <v>100</v>
      </c>
      <c r="F103" s="540">
        <f t="shared" si="22"/>
        <v>100</v>
      </c>
      <c r="G103" s="540">
        <f t="shared" si="22"/>
        <v>100</v>
      </c>
      <c r="H103" s="540">
        <f t="shared" si="22"/>
        <v>100</v>
      </c>
      <c r="I103" s="540">
        <f t="shared" si="22"/>
        <v>100</v>
      </c>
      <c r="J103" s="540">
        <f t="shared" si="22"/>
        <v>100</v>
      </c>
      <c r="K103" s="540">
        <f t="shared" si="22"/>
        <v>100</v>
      </c>
      <c r="L103" s="540">
        <f t="shared" si="22"/>
        <v>100</v>
      </c>
      <c r="M103" s="541">
        <f t="shared" si="22"/>
        <v>100</v>
      </c>
      <c r="N103" s="1149"/>
      <c r="O103" s="1149"/>
      <c r="P103" s="45"/>
      <c r="Q103" s="500"/>
    </row>
    <row r="104" spans="1:17" ht="15" thickTop="1">
      <c r="A104" s="595"/>
      <c r="B104" s="534" t="s">
        <v>2617</v>
      </c>
      <c r="C104" s="550"/>
      <c r="D104" s="550"/>
      <c r="E104" s="550"/>
      <c r="F104" s="550"/>
      <c r="G104" s="550"/>
      <c r="H104" s="579"/>
      <c r="I104" s="579"/>
      <c r="J104" s="579"/>
      <c r="K104" s="580"/>
      <c r="L104" s="581"/>
      <c r="M104" s="582"/>
      <c r="N104" s="1148"/>
      <c r="O104" s="1148"/>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49"/>
      <c r="O105" s="1149"/>
      <c r="P105" s="45"/>
      <c r="Q105" s="500"/>
    </row>
    <row r="106" spans="1:17" ht="15" thickTop="1">
      <c r="A106" s="595"/>
      <c r="B106" s="631" t="s">
        <v>2703</v>
      </c>
      <c r="C106" s="574" t="s">
        <v>2594</v>
      </c>
      <c r="D106" s="574" t="s">
        <v>2595</v>
      </c>
      <c r="E106" s="574" t="s">
        <v>2596</v>
      </c>
      <c r="F106" s="574" t="s">
        <v>2597</v>
      </c>
      <c r="G106" s="574" t="s">
        <v>2598</v>
      </c>
      <c r="H106" s="535"/>
      <c r="I106" s="535"/>
      <c r="J106" s="535"/>
      <c r="K106" s="536"/>
      <c r="L106" s="537"/>
      <c r="M106" s="538"/>
      <c r="N106" s="1149"/>
      <c r="O106" s="1149"/>
      <c r="P106" s="632"/>
      <c r="Q106" s="633"/>
    </row>
    <row r="107" spans="1:17" ht="15.75" thickBot="1">
      <c r="A107" s="530"/>
      <c r="B107" s="539"/>
      <c r="C107" s="578">
        <v>100</v>
      </c>
      <c r="D107" s="540">
        <f t="shared" ref="D107:M107" si="23">C107-$K37</f>
        <v>100</v>
      </c>
      <c r="E107" s="540">
        <f t="shared" si="23"/>
        <v>100</v>
      </c>
      <c r="F107" s="540">
        <f t="shared" si="23"/>
        <v>100</v>
      </c>
      <c r="G107" s="540">
        <f t="shared" si="23"/>
        <v>100</v>
      </c>
      <c r="H107" s="540">
        <f t="shared" si="23"/>
        <v>100</v>
      </c>
      <c r="I107" s="540">
        <f t="shared" si="23"/>
        <v>100</v>
      </c>
      <c r="J107" s="540">
        <f t="shared" si="23"/>
        <v>100</v>
      </c>
      <c r="K107" s="540">
        <f t="shared" si="23"/>
        <v>100</v>
      </c>
      <c r="L107" s="540">
        <f t="shared" si="23"/>
        <v>100</v>
      </c>
      <c r="M107" s="540">
        <f t="shared" si="23"/>
        <v>100</v>
      </c>
      <c r="N107" s="1149"/>
      <c r="O107" s="1149"/>
      <c r="P107" s="45"/>
      <c r="Q107" s="500"/>
    </row>
    <row r="108" spans="1:17" s="467" customFormat="1" ht="15" thickTop="1">
      <c r="A108" s="589"/>
      <c r="B108" s="534">
        <f>B38</f>
        <v>111</v>
      </c>
      <c r="C108" s="550"/>
      <c r="D108" s="550"/>
      <c r="E108" s="550"/>
      <c r="F108" s="550"/>
      <c r="G108" s="550"/>
      <c r="H108" s="551"/>
      <c r="I108" s="551"/>
      <c r="J108" s="551"/>
      <c r="K108" s="551"/>
      <c r="L108" s="552"/>
      <c r="M108" s="553"/>
      <c r="N108" s="1150"/>
      <c r="O108" s="1150"/>
      <c r="P108" s="554"/>
      <c r="Q108" s="555"/>
    </row>
    <row r="109" spans="1:17" s="467" customFormat="1" ht="15.75" thickBot="1">
      <c r="A109" s="549"/>
      <c r="B109" s="531"/>
      <c r="C109" s="556"/>
      <c r="D109" s="532"/>
      <c r="E109" s="532"/>
      <c r="F109" s="532"/>
      <c r="G109" s="556"/>
      <c r="H109" s="558"/>
      <c r="I109" s="558"/>
      <c r="J109" s="558"/>
      <c r="K109" s="558"/>
      <c r="L109" s="558"/>
      <c r="M109" s="559"/>
      <c r="N109" s="1150"/>
      <c r="O109" s="1150"/>
      <c r="P109" s="554"/>
      <c r="Q109" s="555"/>
    </row>
    <row r="110" spans="1:17" ht="15" thickTop="1">
      <c r="A110" s="595"/>
      <c r="B110" s="534">
        <f>B39</f>
        <v>111</v>
      </c>
      <c r="C110" s="550"/>
      <c r="D110" s="550"/>
      <c r="E110" s="550"/>
      <c r="F110" s="550"/>
      <c r="G110" s="550"/>
      <c r="H110" s="551"/>
      <c r="I110" s="551"/>
      <c r="J110" s="551"/>
      <c r="K110" s="551"/>
      <c r="L110" s="552"/>
      <c r="M110" s="553"/>
      <c r="N110" s="1148"/>
      <c r="O110" s="1148"/>
      <c r="P110" s="45"/>
      <c r="Q110" s="500"/>
    </row>
    <row r="111" spans="1:17" ht="15.75" thickBot="1">
      <c r="A111" s="530"/>
      <c r="B111" s="539"/>
      <c r="C111" s="556"/>
      <c r="D111" s="532"/>
      <c r="E111" s="532"/>
      <c r="F111" s="532"/>
      <c r="G111" s="556"/>
      <c r="H111" s="558"/>
      <c r="I111" s="558"/>
      <c r="J111" s="558"/>
      <c r="K111" s="558"/>
      <c r="L111" s="558"/>
      <c r="M111" s="559"/>
      <c r="N111" s="1149"/>
      <c r="O111" s="1149"/>
      <c r="P111" s="45"/>
      <c r="Q111" s="500"/>
    </row>
    <row r="112" spans="1:17" ht="15" thickTop="1">
      <c r="A112" s="595"/>
      <c r="B112" s="542">
        <f>B40</f>
        <v>111</v>
      </c>
      <c r="C112" s="519"/>
      <c r="D112" s="519"/>
      <c r="E112" s="519"/>
      <c r="F112" s="519"/>
      <c r="G112" s="583"/>
      <c r="H112" s="583"/>
      <c r="I112" s="583"/>
      <c r="J112" s="583"/>
      <c r="K112" s="519"/>
      <c r="L112" s="520"/>
      <c r="M112" s="586"/>
      <c r="N112" s="1148"/>
      <c r="O112" s="1148"/>
      <c r="P112" s="45"/>
      <c r="Q112" s="500"/>
    </row>
    <row r="113" spans="1:17" ht="15.75" thickBot="1">
      <c r="A113" s="2623"/>
      <c r="B113" s="565"/>
      <c r="C113" s="566"/>
      <c r="D113" s="566"/>
      <c r="E113" s="566"/>
      <c r="F113" s="566"/>
      <c r="G113" s="587"/>
      <c r="H113" s="587"/>
      <c r="I113" s="587"/>
      <c r="J113" s="587"/>
      <c r="K113" s="587"/>
      <c r="L113" s="587"/>
      <c r="M113" s="588"/>
      <c r="N113" s="1149"/>
      <c r="O113" s="1149"/>
      <c r="P113" s="45"/>
      <c r="Q113" s="50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34" customWidth="1"/>
    <col min="2" max="16384" width="9" style="1934"/>
  </cols>
  <sheetData>
    <row r="1" spans="1:1" ht="23.25">
      <c r="A1" s="1933" t="s">
        <v>1611</v>
      </c>
    </row>
    <row r="2" spans="1:1">
      <c r="A2" s="1935"/>
    </row>
    <row r="3" spans="1:1" ht="18">
      <c r="A3" s="1936" t="str">
        <f>项目基本情况!B5&amp;"："</f>
        <v>昆仑信托有限责任公司：</v>
      </c>
    </row>
    <row r="4" spans="1:1" ht="36">
      <c r="A4" s="1937" t="str">
        <f>"受贵公司委托，我公司对"&amp;项目基本情况!S1&amp;"进行了预评估。"</f>
        <v>受贵公司委托，我公司对浙江省杭州市下城区杭州新天地项目D地块办公用房房地产房地产抵押价值进行了预评估。</v>
      </c>
    </row>
    <row r="5" spans="1:1" ht="18.75">
      <c r="A5" s="1938" t="s">
        <v>1612</v>
      </c>
    </row>
    <row r="6" spans="1:1" ht="18.75">
      <c r="A6" s="1939" t="s">
        <v>1613</v>
      </c>
    </row>
    <row r="7" spans="1:1" ht="90">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下城区杭州新天地项目D地块办公用房房地产房地产，为杭州置信投资发展有限公司所有。根据《国有土地使用权证》[杭下国用（2010）第100061号]、《房地产测绘成果报告》[杭测字K2017第113号]及《抵押物清单》，估价对象（分摊）出让国有建设用地使用权面积为8.71平方米，建筑面积为49.61平方米。</v>
      </c>
    </row>
    <row r="8" spans="1:1" ht="57.75">
      <c r="A8" s="1940" t="s">
        <v>1614</v>
      </c>
    </row>
    <row r="9" spans="1:1" ht="18.75">
      <c r="A9" s="1939" t="s">
        <v>1615</v>
      </c>
    </row>
    <row r="10" spans="1:1" ht="90">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下城区杭州新天地项目D地块办公用房房地产房地产,为杭州置信投资发展有限公司开发建设的商业项目，该项目尚在开发建设中。根据《国有土地使用权证》[杭下国用（2010）第100061号]、《房地产测绘成果报告》[杭测字K2017第113号]及《抵押物清单》，估价对象（分摊）出让国有建设用地使用权面积为8.71平方米，规划建筑面积为49.61平方米。</v>
      </c>
    </row>
    <row r="11" spans="1:1" ht="76.5">
      <c r="A11" s="1940" t="s">
        <v>1616</v>
      </c>
    </row>
    <row r="12" spans="1:1" ht="18.75">
      <c r="A12" s="1938" t="s">
        <v>1617</v>
      </c>
    </row>
    <row r="13" spans="1:1" ht="38.25" customHeight="1">
      <c r="A13" s="1941" t="str">
        <f>IF(项目基本情况!B8="抵押",IF(项目基本情况!B5=项目基本情况!B6,定义!C51,定义!B51),定义!D51)</f>
        <v>杭州置信投资发展有限公司拟使用浙江省杭州市下城区杭州新天地项目D地块办公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2" t="s">
        <v>1618</v>
      </c>
    </row>
    <row r="15" spans="1:1" ht="18">
      <c r="A15" s="1943" t="str">
        <f>TEXT(项目基本情况!D3,"yyyy年m月d日;;")&amp;IF(项目基本情况!D3=项目基本情况!B3,"（评估专业人员实地查勘之日）","")</f>
        <v>2017年10月20日（评估专业人员实地查勘之日）</v>
      </c>
    </row>
    <row r="16" spans="1:1" ht="18.75">
      <c r="A16" s="1942" t="s">
        <v>1619</v>
      </c>
    </row>
    <row r="17" spans="1:1" ht="75">
      <c r="A17" s="1937" t="s">
        <v>1620</v>
      </c>
    </row>
    <row r="18" spans="1:1" ht="72">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20日，估价对象规划用途为商业，土地取得方式为出让，出让国有建设用地使用权剩余土地使用年限为办公43.3年，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六通”（即通路、通电、通讯、通上水、通下水、燃气）、红线内场地平整条件下，剩余土地使用年限为办公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7" t="str">
        <f>IF(项目基本情况!B9="房地产市场价值","——",IF(项目基本情况!E9="——","",定义!C57))</f>
        <v/>
      </c>
    </row>
    <row r="23" spans="1:1" ht="18.75">
      <c r="A23" s="1942" t="s">
        <v>1609</v>
      </c>
    </row>
    <row r="24" spans="1:1" ht="18">
      <c r="A24" s="1944" t="str">
        <f>"本次评估采用的主估价方法为"&amp;结果表!K4&amp;"和"&amp;结果表!L4&amp;"。"</f>
        <v>本次评估采用的主估价方法为收益法和比较法。</v>
      </c>
    </row>
    <row r="25" spans="1:1" ht="18">
      <c r="A25" s="1944"/>
    </row>
    <row r="26" spans="1:1" ht="18.75">
      <c r="A26" s="1945" t="s">
        <v>1610</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1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9" customFormat="1" ht="28.5" customHeight="1" thickBot="1">
      <c r="A1" s="1608" t="s">
        <v>2704</v>
      </c>
      <c r="B1" s="1609"/>
      <c r="C1" s="1610" t="s">
        <v>2527</v>
      </c>
      <c r="D1" s="1611"/>
      <c r="E1" s="1612"/>
      <c r="F1" s="2571"/>
      <c r="G1" s="1613" t="s">
        <v>2640</v>
      </c>
      <c r="H1" s="1612"/>
      <c r="I1" s="1612"/>
      <c r="J1" s="1612"/>
      <c r="K1" s="1614"/>
      <c r="L1" s="1615"/>
      <c r="M1" s="1616"/>
      <c r="N1" s="1616"/>
      <c r="O1" s="1616"/>
      <c r="P1" s="1617"/>
      <c r="Q1" s="1610"/>
      <c r="R1" s="1610"/>
      <c r="S1" s="1610"/>
      <c r="T1" s="1610"/>
      <c r="U1" s="1610"/>
      <c r="V1" s="1610"/>
      <c r="W1" s="1610"/>
      <c r="X1" s="1610"/>
      <c r="Y1" s="1610"/>
      <c r="Z1" s="1610"/>
      <c r="AA1" s="1610"/>
      <c r="AB1" s="1610"/>
      <c r="AC1" s="1618"/>
    </row>
    <row r="2" spans="1:29" s="394" customFormat="1" ht="28.5" customHeight="1" thickTop="1">
      <c r="A2" s="1607" t="s">
        <v>2324</v>
      </c>
      <c r="B2" s="1407" t="e">
        <f ca="1">IF(C2="——",IF(B37="元/平方米",ROUND(C39*D3/10000,0),ROUND(F3*C39/10000,0)),IF(B37="元/平方米",ROUND(C39*D3/10000,0),ROUND(F3*C39/10000,0))-D2)</f>
        <v>#DIV/0!</v>
      </c>
      <c r="C2" s="2573"/>
      <c r="D2" s="1120" t="e">
        <f ca="1">SUMIF(INDIRECT("'"&amp;F2&amp;"'"&amp;"!A:A"),"承租人权益价值",INDIRECT("'"&amp;F2&amp;"'"&amp;"!c:c"))</f>
        <v>#REF!</v>
      </c>
      <c r="E2" s="2574" t="s">
        <v>2325</v>
      </c>
      <c r="F2" s="2575"/>
      <c r="G2" s="1121"/>
      <c r="H2" s="1121"/>
      <c r="I2" s="1121"/>
      <c r="J2" s="1121"/>
      <c r="K2" s="1123"/>
      <c r="L2" s="1124"/>
      <c r="M2" s="1125"/>
      <c r="N2" s="1125"/>
      <c r="O2" s="1125"/>
      <c r="P2" s="1408"/>
      <c r="Q2" s="761"/>
      <c r="R2" s="761"/>
      <c r="S2" s="761"/>
      <c r="T2" s="761"/>
      <c r="U2" s="761"/>
      <c r="V2" s="761"/>
      <c r="W2" s="761"/>
      <c r="X2" s="761"/>
      <c r="Y2" s="761"/>
      <c r="Z2" s="761"/>
      <c r="AA2" s="761"/>
      <c r="AB2" s="761"/>
      <c r="AC2" s="762"/>
    </row>
    <row r="3" spans="1:29" s="394" customFormat="1" ht="28.5" customHeight="1" thickBot="1">
      <c r="A3" s="247" t="s">
        <v>2326</v>
      </c>
      <c r="B3" s="605" t="e">
        <f ca="1">IF(AND(C2="——",B37="元/平方米"),C39,ROUND(B2*10000/D3,0))</f>
        <v>#DIV/0!</v>
      </c>
      <c r="C3" s="396" t="s">
        <v>2641</v>
      </c>
      <c r="D3" s="395">
        <f>SUMIF('数据-汇总表'!$C19:$C33,D1,'数据-汇总表'!$E19:$E33)</f>
        <v>0</v>
      </c>
      <c r="E3" s="396" t="s">
        <v>2705</v>
      </c>
      <c r="F3" s="395">
        <f>SUMIF('数据-取费表'!A5:A15,D1,'数据-取费表'!AH5:AH15)</f>
        <v>0</v>
      </c>
      <c r="G3" s="1121"/>
      <c r="H3" s="1121"/>
      <c r="I3" s="1121"/>
      <c r="J3" s="1121"/>
      <c r="K3" s="1123"/>
      <c r="L3" s="1124"/>
      <c r="M3" s="1125"/>
      <c r="N3" s="1125"/>
      <c r="O3" s="1125"/>
      <c r="P3" s="1408"/>
      <c r="Q3" s="761"/>
      <c r="R3" s="761"/>
      <c r="S3" s="761"/>
      <c r="T3" s="761"/>
      <c r="U3" s="761"/>
      <c r="V3" s="761"/>
      <c r="W3" s="761"/>
      <c r="X3" s="761"/>
      <c r="Y3" s="761"/>
      <c r="Z3" s="761"/>
      <c r="AA3" s="761"/>
      <c r="AB3" s="779"/>
      <c r="AC3" s="775"/>
    </row>
    <row r="4" spans="1:29" ht="15">
      <c r="A4" s="397" t="s">
        <v>2642</v>
      </c>
      <c r="B4" s="398"/>
      <c r="C4" s="3215" t="s">
        <v>2643</v>
      </c>
      <c r="D4" s="3216"/>
      <c r="E4" s="3217" t="s">
        <v>2644</v>
      </c>
      <c r="F4" s="3218"/>
      <c r="G4" s="3215" t="s">
        <v>2645</v>
      </c>
      <c r="H4" s="3216"/>
      <c r="I4" s="3215" t="s">
        <v>2646</v>
      </c>
      <c r="J4" s="3216"/>
      <c r="K4" s="606" t="s">
        <v>2647</v>
      </c>
      <c r="L4" s="1126"/>
      <c r="M4" s="1127"/>
      <c r="N4" s="1127"/>
      <c r="O4" s="1127"/>
      <c r="P4" s="3219" t="s">
        <v>2648</v>
      </c>
      <c r="Q4" s="3220"/>
      <c r="R4" s="3201" t="s">
        <v>2644</v>
      </c>
      <c r="S4" s="3202"/>
      <c r="T4" s="3201" t="s">
        <v>2645</v>
      </c>
      <c r="U4" s="3202"/>
      <c r="V4" s="3198" t="s">
        <v>2646</v>
      </c>
      <c r="W4" s="3198"/>
      <c r="X4" s="1803"/>
      <c r="Y4" s="3201" t="s">
        <v>2648</v>
      </c>
      <c r="Z4" s="3202"/>
      <c r="AA4" s="3195" t="s">
        <v>2644</v>
      </c>
      <c r="AB4" s="3196" t="s">
        <v>2645</v>
      </c>
      <c r="AC4" s="3195" t="s">
        <v>2646</v>
      </c>
    </row>
    <row r="5" spans="1:29" ht="15">
      <c r="A5" s="400"/>
      <c r="B5" s="401"/>
      <c r="C5" s="3207" t="s">
        <v>2539</v>
      </c>
      <c r="D5" s="3208"/>
      <c r="E5" s="3205" t="s">
        <v>2540</v>
      </c>
      <c r="F5" s="3206"/>
      <c r="G5" s="3207" t="s">
        <v>2541</v>
      </c>
      <c r="H5" s="3208"/>
      <c r="I5" s="3207" t="s">
        <v>2542</v>
      </c>
      <c r="J5" s="3208"/>
      <c r="K5" s="606"/>
      <c r="L5" s="1126"/>
      <c r="M5" s="1127"/>
      <c r="N5" s="1127"/>
      <c r="O5" s="1127"/>
      <c r="P5" s="3221"/>
      <c r="Q5" s="3222"/>
      <c r="R5" s="3203"/>
      <c r="S5" s="3204"/>
      <c r="T5" s="3203"/>
      <c r="U5" s="3204"/>
      <c r="V5" s="3198"/>
      <c r="W5" s="3198"/>
      <c r="X5" s="1803"/>
      <c r="Y5" s="3203"/>
      <c r="Z5" s="3204"/>
      <c r="AA5" s="3196"/>
      <c r="AB5" s="3196"/>
      <c r="AC5" s="3196"/>
    </row>
    <row r="6" spans="1:29" ht="15.75" thickBot="1">
      <c r="A6" s="402"/>
      <c r="B6" s="403"/>
      <c r="C6" s="3209" t="s">
        <v>2543</v>
      </c>
      <c r="D6" s="3210"/>
      <c r="E6" s="3212" t="s">
        <v>2543</v>
      </c>
      <c r="F6" s="3213"/>
      <c r="G6" s="3209" t="s">
        <v>2543</v>
      </c>
      <c r="H6" s="3210"/>
      <c r="I6" s="3209" t="s">
        <v>2543</v>
      </c>
      <c r="J6" s="3210"/>
      <c r="K6" s="606" t="s">
        <v>2544</v>
      </c>
      <c r="L6" s="1126"/>
      <c r="M6" s="1127"/>
      <c r="N6" s="1127"/>
      <c r="O6" s="1127"/>
      <c r="P6" s="3223"/>
      <c r="Q6" s="3224"/>
      <c r="R6" s="3203"/>
      <c r="S6" s="3204"/>
      <c r="T6" s="3225"/>
      <c r="U6" s="3226"/>
      <c r="V6" s="3198"/>
      <c r="W6" s="3198"/>
      <c r="X6" s="1803"/>
      <c r="Y6" s="3225"/>
      <c r="Z6" s="3226"/>
      <c r="AA6" s="3197"/>
      <c r="AB6" s="3197"/>
      <c r="AC6" s="3197"/>
    </row>
    <row r="7" spans="1:29" s="116" customFormat="1" ht="15.75" thickBot="1">
      <c r="A7" s="404" t="s">
        <v>2545</v>
      </c>
      <c r="B7" s="405"/>
      <c r="C7" s="406">
        <f>'数据-取费表'!B2</f>
        <v>43028</v>
      </c>
      <c r="D7" s="407">
        <v>100</v>
      </c>
      <c r="E7" s="408"/>
      <c r="F7" s="409">
        <f>SUMIF(48:48,YEAR(E7)&amp;"-"&amp;MONTH(E7),49:49)</f>
        <v>0</v>
      </c>
      <c r="G7" s="408"/>
      <c r="H7" s="407">
        <f>SUMIF(48:48,YEAR(G7)&amp;"-"&amp;MONTH(G7),49:49)</f>
        <v>0</v>
      </c>
      <c r="I7" s="408"/>
      <c r="J7" s="407">
        <f>SUMIF(48:48,YEAR(I7)&amp;"-"&amp;MONTH(I7),49:49)</f>
        <v>0</v>
      </c>
      <c r="K7" s="607"/>
      <c r="L7" s="1128"/>
      <c r="M7" s="1129"/>
      <c r="N7" s="1129"/>
      <c r="O7" s="1129"/>
      <c r="P7" s="3199" t="s">
        <v>2546</v>
      </c>
      <c r="Q7" s="3228"/>
      <c r="R7" s="763" t="s">
        <v>17</v>
      </c>
      <c r="S7" s="764">
        <f t="shared" ref="S7:S14" si="0">F7</f>
        <v>0</v>
      </c>
      <c r="T7" s="763" t="s">
        <v>17</v>
      </c>
      <c r="U7" s="764">
        <f t="shared" ref="U7:U14" si="1">H7</f>
        <v>0</v>
      </c>
      <c r="V7" s="763" t="s">
        <v>17</v>
      </c>
      <c r="W7" s="764">
        <f t="shared" ref="W7:W14" si="2">J7</f>
        <v>0</v>
      </c>
      <c r="X7" s="765"/>
      <c r="Y7" s="3199" t="s">
        <v>2546</v>
      </c>
      <c r="Z7" s="3200"/>
      <c r="AA7" s="766" t="e">
        <f>D7/F7</f>
        <v>#DIV/0!</v>
      </c>
      <c r="AB7" s="766" t="e">
        <f>D7/H7</f>
        <v>#DIV/0!</v>
      </c>
      <c r="AC7" s="766" t="e">
        <f>D7/J7</f>
        <v>#DIV/0!</v>
      </c>
    </row>
    <row r="8" spans="1:29" s="116" customFormat="1" ht="15.75" thickBot="1">
      <c r="A8" s="404" t="s">
        <v>2547</v>
      </c>
      <c r="B8" s="405"/>
      <c r="C8" s="410" t="s">
        <v>2649</v>
      </c>
      <c r="D8" s="407">
        <v>100</v>
      </c>
      <c r="E8" s="410"/>
      <c r="F8" s="409">
        <f>SUMIF(51:51,E8,52:52)-SUMIF(51:51,C8,52:52)+100</f>
        <v>0</v>
      </c>
      <c r="G8" s="410"/>
      <c r="H8" s="407">
        <f>SUMIF(51:51,G8,52:52)-SUMIF(51:51,C8,52:52)+100</f>
        <v>0</v>
      </c>
      <c r="I8" s="410"/>
      <c r="J8" s="407">
        <f>SUMIF(51:51,I8,52:52)-SUMIF(51:51,C8,52:52)+100</f>
        <v>0</v>
      </c>
      <c r="K8" s="607"/>
      <c r="L8" s="1128"/>
      <c r="M8" s="1129"/>
      <c r="N8" s="1129"/>
      <c r="O8" s="1129"/>
      <c r="P8" s="3199" t="s">
        <v>2549</v>
      </c>
      <c r="Q8" s="3200"/>
      <c r="R8" s="763" t="s">
        <v>17</v>
      </c>
      <c r="S8" s="764">
        <f t="shared" si="0"/>
        <v>0</v>
      </c>
      <c r="T8" s="763" t="s">
        <v>17</v>
      </c>
      <c r="U8" s="764">
        <f t="shared" si="1"/>
        <v>0</v>
      </c>
      <c r="V8" s="763" t="s">
        <v>17</v>
      </c>
      <c r="W8" s="764">
        <f t="shared" si="2"/>
        <v>0</v>
      </c>
      <c r="X8" s="765"/>
      <c r="Y8" s="3199" t="s">
        <v>2549</v>
      </c>
      <c r="Z8" s="3200"/>
      <c r="AA8" s="766" t="e">
        <f t="shared" ref="AA8:AA36" si="3">D8/F8</f>
        <v>#DIV/0!</v>
      </c>
      <c r="AB8" s="766" t="e">
        <f t="shared" ref="AB8:AB36" si="4">D8/H8</f>
        <v>#DIV/0!</v>
      </c>
      <c r="AC8" s="766" t="e">
        <f t="shared" ref="AC8:AC36" si="5">D8/J8</f>
        <v>#DIV/0!</v>
      </c>
    </row>
    <row r="9" spans="1:29" s="116" customFormat="1">
      <c r="A9" s="67" t="s">
        <v>2550</v>
      </c>
      <c r="B9" s="635" t="s">
        <v>2551</v>
      </c>
      <c r="C9" s="412"/>
      <c r="D9" s="134">
        <v>100</v>
      </c>
      <c r="E9" s="415"/>
      <c r="F9" s="134">
        <f>SUMIF(53:53,E9,54:54)-SUMIF(53:53,C9,54:54)+100</f>
        <v>100</v>
      </c>
      <c r="G9" s="413"/>
      <c r="H9" s="134">
        <f>SUMIF(53:53,G9,54:54)-SUMIF(53:53,C9,54:54)+100</f>
        <v>100</v>
      </c>
      <c r="I9" s="413"/>
      <c r="J9" s="134">
        <f>SUMIF(53:53,I9,54:54)-SUMIF(53:53,C9,54:54)+100</f>
        <v>100</v>
      </c>
      <c r="K9" s="607"/>
      <c r="L9" s="1128"/>
      <c r="M9" s="1129"/>
      <c r="N9" s="1129"/>
      <c r="O9" s="1129"/>
      <c r="P9" s="3238" t="s">
        <v>2552</v>
      </c>
      <c r="Q9" s="1785" t="str">
        <f t="shared" ref="Q9:Q14" si="6">B9</f>
        <v>用途</v>
      </c>
      <c r="R9" s="763" t="s">
        <v>17</v>
      </c>
      <c r="S9" s="764">
        <f t="shared" si="0"/>
        <v>100</v>
      </c>
      <c r="T9" s="763" t="s">
        <v>17</v>
      </c>
      <c r="U9" s="764">
        <f t="shared" si="1"/>
        <v>100</v>
      </c>
      <c r="V9" s="763" t="s">
        <v>17</v>
      </c>
      <c r="W9" s="764">
        <f t="shared" si="2"/>
        <v>100</v>
      </c>
      <c r="X9" s="765"/>
      <c r="Y9" s="3072" t="s">
        <v>2553</v>
      </c>
      <c r="Z9" s="55" t="str">
        <f t="shared" ref="Z9:Z14" si="7">Q9</f>
        <v>用途</v>
      </c>
      <c r="AA9" s="766">
        <f t="shared" si="3"/>
        <v>1</v>
      </c>
      <c r="AB9" s="766">
        <f t="shared" si="4"/>
        <v>1</v>
      </c>
      <c r="AC9" s="766">
        <f t="shared" si="5"/>
        <v>1</v>
      </c>
    </row>
    <row r="10" spans="1:29" s="423" customFormat="1" ht="27">
      <c r="A10" s="636"/>
      <c r="B10" s="637" t="s">
        <v>2554</v>
      </c>
      <c r="C10" s="419"/>
      <c r="D10" s="135">
        <v>100</v>
      </c>
      <c r="E10" s="419"/>
      <c r="F10" s="135">
        <f>SUMIF(55:55,E10,56:56)-SUMIF(55:55,C10,56:56)+100</f>
        <v>100</v>
      </c>
      <c r="G10" s="420"/>
      <c r="H10" s="135">
        <f>SUMIF(55:55,G10,56:56)-SUMIF(55:55,C10,56:56)+100</f>
        <v>100</v>
      </c>
      <c r="I10" s="419"/>
      <c r="J10" s="135">
        <f>SUMIF(55:55,I10,56:56)-SUMIF(55:55,C10,56:56)+100</f>
        <v>100</v>
      </c>
      <c r="K10" s="608"/>
      <c r="L10" s="1131"/>
      <c r="M10" s="1132"/>
      <c r="N10" s="1132"/>
      <c r="O10" s="1132"/>
      <c r="P10" s="3238"/>
      <c r="Q10" s="1785" t="str">
        <f t="shared" si="6"/>
        <v>土地使用年限（年）</v>
      </c>
      <c r="R10" s="763" t="s">
        <v>17</v>
      </c>
      <c r="S10" s="764">
        <f t="shared" si="0"/>
        <v>100</v>
      </c>
      <c r="T10" s="763" t="s">
        <v>17</v>
      </c>
      <c r="U10" s="764">
        <f t="shared" si="1"/>
        <v>100</v>
      </c>
      <c r="V10" s="763" t="s">
        <v>17</v>
      </c>
      <c r="W10" s="764">
        <f t="shared" si="2"/>
        <v>100</v>
      </c>
      <c r="X10" s="765"/>
      <c r="Y10" s="3072"/>
      <c r="Z10" s="55" t="str">
        <f t="shared" si="7"/>
        <v>土地使用年限（年）</v>
      </c>
      <c r="AA10" s="766">
        <f t="shared" si="3"/>
        <v>1</v>
      </c>
      <c r="AB10" s="766">
        <f t="shared" si="4"/>
        <v>1</v>
      </c>
      <c r="AC10" s="766">
        <f t="shared" si="5"/>
        <v>1</v>
      </c>
    </row>
    <row r="11" spans="1:29" ht="15">
      <c r="A11" s="638"/>
      <c r="B11" s="639">
        <v>111</v>
      </c>
      <c r="C11" s="428"/>
      <c r="D11" s="135">
        <v>100</v>
      </c>
      <c r="E11" s="428"/>
      <c r="F11" s="135">
        <f>SUMIF(57:57,E11,58:58)-SUMIF(57:57,C11,58:58)+100</f>
        <v>100</v>
      </c>
      <c r="G11" s="428"/>
      <c r="H11" s="135">
        <f>SUMIF(57:57,G11,58:58)-SUMIF(57:57,C11,58:58)+100</f>
        <v>100</v>
      </c>
      <c r="I11" s="428"/>
      <c r="J11" s="135">
        <f>SUMIF(57:57,I11,58:58)-SUMIF(57:57,C11,58:58)+100</f>
        <v>100</v>
      </c>
      <c r="K11" s="609"/>
      <c r="L11" s="1134"/>
      <c r="M11" s="1127"/>
      <c r="N11" s="1127"/>
      <c r="O11" s="1127"/>
      <c r="P11" s="3238"/>
      <c r="Q11" s="1785">
        <f t="shared" si="6"/>
        <v>111</v>
      </c>
      <c r="R11" s="763" t="s">
        <v>17</v>
      </c>
      <c r="S11" s="764">
        <f t="shared" si="0"/>
        <v>100</v>
      </c>
      <c r="T11" s="763" t="s">
        <v>17</v>
      </c>
      <c r="U11" s="764">
        <f t="shared" si="1"/>
        <v>100</v>
      </c>
      <c r="V11" s="763" t="s">
        <v>17</v>
      </c>
      <c r="W11" s="764">
        <f t="shared" si="2"/>
        <v>100</v>
      </c>
      <c r="X11" s="765"/>
      <c r="Y11" s="3072"/>
      <c r="Z11" s="55">
        <f t="shared" si="7"/>
        <v>111</v>
      </c>
      <c r="AA11" s="766">
        <f t="shared" si="3"/>
        <v>1</v>
      </c>
      <c r="AB11" s="766">
        <f t="shared" si="4"/>
        <v>1</v>
      </c>
      <c r="AC11" s="766">
        <f t="shared" si="5"/>
        <v>1</v>
      </c>
    </row>
    <row r="12" spans="1:29" s="116" customFormat="1" ht="15">
      <c r="A12" s="640"/>
      <c r="B12" s="639">
        <v>111</v>
      </c>
      <c r="C12" s="428"/>
      <c r="D12" s="429">
        <v>100</v>
      </c>
      <c r="E12" s="428"/>
      <c r="F12" s="135">
        <f>SUMIF(59:59,E12,60:60)-SUMIF(59:59,C12,60:60)+100</f>
        <v>100</v>
      </c>
      <c r="G12" s="428"/>
      <c r="H12" s="135">
        <f>SUMIF(59:59,G12,60:60)-SUMIF(59:59,C12,60:60)+100</f>
        <v>100</v>
      </c>
      <c r="I12" s="428"/>
      <c r="J12" s="135">
        <f>SUMIF(59:59,I12,60:60)-SUMIF(59:59,C12,60:60)+100</f>
        <v>100</v>
      </c>
      <c r="K12" s="609"/>
      <c r="L12" s="1128"/>
      <c r="M12" s="1129"/>
      <c r="N12" s="1129"/>
      <c r="O12" s="1129"/>
      <c r="P12" s="3238"/>
      <c r="Q12" s="1785">
        <f t="shared" si="6"/>
        <v>111</v>
      </c>
      <c r="R12" s="763" t="s">
        <v>17</v>
      </c>
      <c r="S12" s="764">
        <f t="shared" si="0"/>
        <v>100</v>
      </c>
      <c r="T12" s="763" t="s">
        <v>17</v>
      </c>
      <c r="U12" s="764">
        <f t="shared" si="1"/>
        <v>100</v>
      </c>
      <c r="V12" s="763" t="s">
        <v>17</v>
      </c>
      <c r="W12" s="764">
        <f t="shared" si="2"/>
        <v>100</v>
      </c>
      <c r="X12" s="765"/>
      <c r="Y12" s="3072"/>
      <c r="Z12" s="55">
        <f t="shared" si="7"/>
        <v>111</v>
      </c>
      <c r="AA12" s="766">
        <f>D12/F12</f>
        <v>1</v>
      </c>
      <c r="AB12" s="766">
        <f>D12/H12</f>
        <v>1</v>
      </c>
      <c r="AC12" s="766">
        <f>D12/J12</f>
        <v>1</v>
      </c>
    </row>
    <row r="13" spans="1:29" ht="15.75" thickBot="1">
      <c r="A13" s="641"/>
      <c r="B13" s="639">
        <v>111</v>
      </c>
      <c r="C13" s="430"/>
      <c r="D13" s="431">
        <v>100</v>
      </c>
      <c r="E13" s="428"/>
      <c r="F13" s="135">
        <f>SUMIF(61:61,E13,62:62)-SUMIF(61:61,C13,62:62)+100</f>
        <v>100</v>
      </c>
      <c r="G13" s="428"/>
      <c r="H13" s="431">
        <f>SUMIF(61:61,G13,62:62)-SUMIF(61:61,C13,62:62)+100</f>
        <v>100</v>
      </c>
      <c r="I13" s="428"/>
      <c r="J13" s="431">
        <f>SUMIF(61:61,I13,62:62)-SUMIF(61:61,C13,62:62)+100</f>
        <v>100</v>
      </c>
      <c r="K13" s="609"/>
      <c r="L13" s="1136"/>
      <c r="M13" s="1127"/>
      <c r="N13" s="1127"/>
      <c r="O13" s="1127"/>
      <c r="P13" s="3238"/>
      <c r="Q13" s="1785">
        <f t="shared" si="6"/>
        <v>111</v>
      </c>
      <c r="R13" s="763" t="s">
        <v>17</v>
      </c>
      <c r="S13" s="764">
        <f t="shared" si="0"/>
        <v>100</v>
      </c>
      <c r="T13" s="763" t="s">
        <v>17</v>
      </c>
      <c r="U13" s="764">
        <f t="shared" si="1"/>
        <v>100</v>
      </c>
      <c r="V13" s="763" t="s">
        <v>17</v>
      </c>
      <c r="W13" s="764">
        <f t="shared" si="2"/>
        <v>100</v>
      </c>
      <c r="X13" s="765"/>
      <c r="Y13" s="3072"/>
      <c r="Z13" s="55">
        <f t="shared" si="7"/>
        <v>111</v>
      </c>
      <c r="AA13" s="766">
        <f t="shared" si="3"/>
        <v>1</v>
      </c>
      <c r="AB13" s="766">
        <f t="shared" si="4"/>
        <v>1</v>
      </c>
      <c r="AC13" s="766">
        <f t="shared" si="5"/>
        <v>1</v>
      </c>
    </row>
    <row r="14" spans="1:29" ht="85.5">
      <c r="A14" s="397" t="s">
        <v>2556</v>
      </c>
      <c r="B14" s="624" t="s">
        <v>2706</v>
      </c>
      <c r="C14" s="2680" t="str">
        <f>IF(B1="工业",估价对象房地状况!G4,估价对象房地状况!C6)</f>
        <v>估价对象周边道路状况、公共交通通达情况、停车便捷程度，综合评价交通便捷度较好</v>
      </c>
      <c r="D14" s="437">
        <v>100</v>
      </c>
      <c r="E14" s="438"/>
      <c r="F14" s="439">
        <f>SUMIF(63:63,E15,64:64)-SUMIF(63:63,C15,64:64)+100</f>
        <v>100</v>
      </c>
      <c r="G14" s="440"/>
      <c r="H14" s="437">
        <f>SUMIF(63:63,G15,64:64)-SUMIF(63:63,C15,64:64)+100</f>
        <v>100</v>
      </c>
      <c r="I14" s="438"/>
      <c r="J14" s="437">
        <f>SUMIF(63:63,I15,64:64)-SUMIF(63:63,C15,64:64)+100</f>
        <v>100</v>
      </c>
      <c r="K14" s="610"/>
      <c r="L14" s="1136"/>
      <c r="M14" s="1127"/>
      <c r="N14" s="1127"/>
      <c r="O14" s="1127"/>
      <c r="P14" s="3231" t="s">
        <v>2557</v>
      </c>
      <c r="Q14" s="1800" t="str">
        <f t="shared" si="6"/>
        <v>交通便捷度</v>
      </c>
      <c r="R14" s="767" t="s">
        <v>17</v>
      </c>
      <c r="S14" s="768">
        <f t="shared" si="0"/>
        <v>100</v>
      </c>
      <c r="T14" s="767" t="s">
        <v>17</v>
      </c>
      <c r="U14" s="768">
        <f t="shared" si="1"/>
        <v>100</v>
      </c>
      <c r="V14" s="767" t="s">
        <v>17</v>
      </c>
      <c r="W14" s="768">
        <f t="shared" si="2"/>
        <v>100</v>
      </c>
      <c r="X14" s="1803"/>
      <c r="Y14" s="3231" t="s">
        <v>2557</v>
      </c>
      <c r="Z14" s="1804" t="str">
        <f t="shared" si="7"/>
        <v>交通便捷度</v>
      </c>
      <c r="AA14" s="1801">
        <f t="shared" si="3"/>
        <v>1</v>
      </c>
      <c r="AB14" s="1801">
        <f t="shared" si="4"/>
        <v>1</v>
      </c>
      <c r="AC14" s="1801">
        <f t="shared" si="5"/>
        <v>1</v>
      </c>
    </row>
    <row r="15" spans="1:29" ht="15">
      <c r="A15" s="400"/>
      <c r="B15" s="642"/>
      <c r="C15" s="443"/>
      <c r="D15" s="444"/>
      <c r="E15" s="443"/>
      <c r="F15" s="445"/>
      <c r="G15" s="443"/>
      <c r="H15" s="446"/>
      <c r="I15" s="443"/>
      <c r="J15" s="444"/>
      <c r="K15" s="611"/>
      <c r="L15" s="1136"/>
      <c r="M15" s="1127"/>
      <c r="N15" s="1127"/>
      <c r="O15" s="1127"/>
      <c r="P15" s="3232"/>
      <c r="Q15" s="1800"/>
      <c r="R15" s="767"/>
      <c r="S15" s="768"/>
      <c r="T15" s="767"/>
      <c r="U15" s="768"/>
      <c r="V15" s="767"/>
      <c r="W15" s="768"/>
      <c r="X15" s="1803"/>
      <c r="Y15" s="3232"/>
      <c r="Z15" s="1804"/>
      <c r="AA15" s="1801">
        <v>1</v>
      </c>
      <c r="AB15" s="1801">
        <v>1</v>
      </c>
      <c r="AC15" s="1801">
        <v>1</v>
      </c>
    </row>
    <row r="16" spans="1:29" ht="42.75">
      <c r="A16" s="400"/>
      <c r="B16" s="626" t="s">
        <v>2685</v>
      </c>
      <c r="C16" s="2594" t="str">
        <f>IF(B1="工业",估价对象房地状况!G5,估价对象房地状况!C7)</f>
        <v>估价对象所在区域公共配套设施齐备情况</v>
      </c>
      <c r="D16" s="451">
        <v>100</v>
      </c>
      <c r="E16" s="453"/>
      <c r="F16" s="454">
        <f>SUMIF(65:65,E17,66:66)-SUMIF(65:65,C17,66:66)+100</f>
        <v>100</v>
      </c>
      <c r="G16" s="455"/>
      <c r="H16" s="451">
        <f>SUMIF(65:65,G17,66:66)-SUMIF(65:65,C17,66:66)+100</f>
        <v>100</v>
      </c>
      <c r="I16" s="453"/>
      <c r="J16" s="451">
        <f>SUMIF(65:65,I17,66:66)-SUMIF(65:65,C17,66:66)+100</f>
        <v>100</v>
      </c>
      <c r="K16" s="610"/>
      <c r="L16" s="1136"/>
      <c r="M16" s="1127"/>
      <c r="N16" s="1127"/>
      <c r="O16" s="1127"/>
      <c r="P16" s="3232"/>
      <c r="Q16" s="1800" t="str">
        <f>B16</f>
        <v>公共配套设施</v>
      </c>
      <c r="R16" s="767" t="s">
        <v>17</v>
      </c>
      <c r="S16" s="768">
        <f>F16</f>
        <v>100</v>
      </c>
      <c r="T16" s="767" t="s">
        <v>17</v>
      </c>
      <c r="U16" s="768">
        <f>H16</f>
        <v>100</v>
      </c>
      <c r="V16" s="767" t="s">
        <v>17</v>
      </c>
      <c r="W16" s="768">
        <f>J16</f>
        <v>100</v>
      </c>
      <c r="X16" s="1803"/>
      <c r="Y16" s="3232"/>
      <c r="Z16" s="1804" t="str">
        <f>Q16</f>
        <v>公共配套设施</v>
      </c>
      <c r="AA16" s="1801">
        <f t="shared" si="3"/>
        <v>1</v>
      </c>
      <c r="AB16" s="1801">
        <f t="shared" si="4"/>
        <v>1</v>
      </c>
      <c r="AC16" s="1801">
        <f t="shared" si="5"/>
        <v>1</v>
      </c>
    </row>
    <row r="17" spans="1:29" ht="15">
      <c r="A17" s="400"/>
      <c r="B17" s="627"/>
      <c r="C17" s="2595"/>
      <c r="D17" s="444"/>
      <c r="E17" s="443"/>
      <c r="F17" s="445"/>
      <c r="G17" s="443"/>
      <c r="H17" s="444"/>
      <c r="I17" s="443"/>
      <c r="J17" s="444"/>
      <c r="K17" s="611"/>
      <c r="L17" s="1136"/>
      <c r="M17" s="1127"/>
      <c r="N17" s="1127"/>
      <c r="O17" s="1127"/>
      <c r="P17" s="3232"/>
      <c r="Q17" s="1800"/>
      <c r="R17" s="767"/>
      <c r="S17" s="768"/>
      <c r="T17" s="767"/>
      <c r="U17" s="768"/>
      <c r="V17" s="767"/>
      <c r="W17" s="768"/>
      <c r="X17" s="1803"/>
      <c r="Y17" s="3232"/>
      <c r="Z17" s="1804"/>
      <c r="AA17" s="1801">
        <v>1</v>
      </c>
      <c r="AB17" s="1801">
        <v>1</v>
      </c>
      <c r="AC17" s="1801">
        <v>1</v>
      </c>
    </row>
    <row r="18" spans="1:29" ht="28.5">
      <c r="A18" s="400"/>
      <c r="B18" s="628" t="s">
        <v>2686</v>
      </c>
      <c r="C18" s="2594" t="str">
        <f>IF(B1="工业",估价对象房地状况!G6,估价对象房地状况!C8)</f>
        <v>估价对象所在区域基础设施水平</v>
      </c>
      <c r="D18" s="446">
        <v>100</v>
      </c>
      <c r="E18" s="448"/>
      <c r="F18" s="454">
        <f>SUMIF(67:67,E19,68:68)-SUMIF(67:67,C19,68:68)+100</f>
        <v>100</v>
      </c>
      <c r="G18" s="450"/>
      <c r="H18" s="451">
        <f>SUMIF(67:67,G19,68:68)-SUMIF(67:67,C19,68:68)+100</f>
        <v>100</v>
      </c>
      <c r="I18" s="448"/>
      <c r="J18" s="451">
        <f>SUMIF(67:67,I19,68:68)-SUMIF(67:67,C19,68:68)+100</f>
        <v>100</v>
      </c>
      <c r="K18" s="610"/>
      <c r="L18" s="1136"/>
      <c r="M18" s="1127"/>
      <c r="N18" s="1127"/>
      <c r="O18" s="1127"/>
      <c r="P18" s="3232"/>
      <c r="Q18" s="1800" t="str">
        <f>B18</f>
        <v>基础设施水平</v>
      </c>
      <c r="R18" s="767" t="s">
        <v>17</v>
      </c>
      <c r="S18" s="768">
        <f>F18</f>
        <v>100</v>
      </c>
      <c r="T18" s="767" t="s">
        <v>17</v>
      </c>
      <c r="U18" s="768">
        <f>H18</f>
        <v>100</v>
      </c>
      <c r="V18" s="767" t="s">
        <v>17</v>
      </c>
      <c r="W18" s="768">
        <f>J18</f>
        <v>100</v>
      </c>
      <c r="X18" s="1803"/>
      <c r="Y18" s="3232"/>
      <c r="Z18" s="1804" t="str">
        <f>Q18</f>
        <v>基础设施水平</v>
      </c>
      <c r="AA18" s="1801">
        <f>D18/F18</f>
        <v>1</v>
      </c>
      <c r="AB18" s="1801">
        <f>D18/H18</f>
        <v>1</v>
      </c>
      <c r="AC18" s="1801">
        <f>D18/J18</f>
        <v>1</v>
      </c>
    </row>
    <row r="19" spans="1:29" ht="15">
      <c r="A19" s="400"/>
      <c r="B19" s="628"/>
      <c r="C19" s="2595"/>
      <c r="D19" s="446"/>
      <c r="E19" s="2595"/>
      <c r="F19" s="449"/>
      <c r="G19" s="2595"/>
      <c r="H19" s="444"/>
      <c r="I19" s="443"/>
      <c r="J19" s="444"/>
      <c r="K19" s="1372"/>
      <c r="L19" s="1136"/>
      <c r="M19" s="1127"/>
      <c r="N19" s="1127"/>
      <c r="O19" s="1127"/>
      <c r="P19" s="3232"/>
      <c r="Q19" s="1800"/>
      <c r="R19" s="767"/>
      <c r="S19" s="768"/>
      <c r="T19" s="767"/>
      <c r="U19" s="768"/>
      <c r="V19" s="767"/>
      <c r="W19" s="768"/>
      <c r="X19" s="1803"/>
      <c r="Y19" s="3232"/>
      <c r="Z19" s="1804"/>
      <c r="AA19" s="1801">
        <v>1</v>
      </c>
      <c r="AB19" s="1801">
        <v>1</v>
      </c>
      <c r="AC19" s="1801">
        <v>1</v>
      </c>
    </row>
    <row r="20" spans="1:29" ht="57">
      <c r="A20" s="400"/>
      <c r="B20" s="626" t="s">
        <v>2707</v>
      </c>
      <c r="C20" s="2594" t="str">
        <f>IF(B1="工业",估价对象房地状况!G7,估价对象房地状况!C9)</f>
        <v>区域自然环境：；人文环境；综合评价环境状况一般</v>
      </c>
      <c r="D20" s="451">
        <v>100</v>
      </c>
      <c r="E20" s="453"/>
      <c r="F20" s="454">
        <f>SUMIF(69:69,E21,70:70)-SUMIF(69:69,C21,70:70)+100</f>
        <v>100</v>
      </c>
      <c r="G20" s="455"/>
      <c r="H20" s="446">
        <f>SUMIF(69:69,G21,70:70)-SUMIF(69:69,C21,70:70)+100</f>
        <v>100</v>
      </c>
      <c r="I20" s="448"/>
      <c r="J20" s="446">
        <f>SUMIF(69:69,I21,70:70)-SUMIF(69:69,C21,70:70)+100</f>
        <v>100</v>
      </c>
      <c r="K20" s="610"/>
      <c r="L20" s="1136"/>
      <c r="M20" s="1127"/>
      <c r="N20" s="1127"/>
      <c r="O20" s="1127"/>
      <c r="P20" s="3232"/>
      <c r="Q20" s="1800" t="str">
        <f>B20</f>
        <v>自然及人文环境</v>
      </c>
      <c r="R20" s="767" t="s">
        <v>17</v>
      </c>
      <c r="S20" s="768">
        <f>F20</f>
        <v>100</v>
      </c>
      <c r="T20" s="767" t="s">
        <v>17</v>
      </c>
      <c r="U20" s="768">
        <f>H20</f>
        <v>100</v>
      </c>
      <c r="V20" s="767" t="s">
        <v>17</v>
      </c>
      <c r="W20" s="768">
        <f>J20</f>
        <v>100</v>
      </c>
      <c r="X20" s="1803"/>
      <c r="Y20" s="3232"/>
      <c r="Z20" s="1804" t="str">
        <f>Q20</f>
        <v>自然及人文环境</v>
      </c>
      <c r="AA20" s="1801">
        <f t="shared" si="3"/>
        <v>1</v>
      </c>
      <c r="AB20" s="1801">
        <f t="shared" si="4"/>
        <v>1</v>
      </c>
      <c r="AC20" s="1801">
        <f t="shared" si="5"/>
        <v>1</v>
      </c>
    </row>
    <row r="21" spans="1:29" ht="15">
      <c r="A21" s="400"/>
      <c r="B21" s="627"/>
      <c r="C21" s="443"/>
      <c r="D21" s="444"/>
      <c r="E21" s="443"/>
      <c r="F21" s="445"/>
      <c r="G21" s="443"/>
      <c r="H21" s="444"/>
      <c r="I21" s="443"/>
      <c r="J21" s="444"/>
      <c r="K21" s="611"/>
      <c r="L21" s="1136"/>
      <c r="M21" s="1127"/>
      <c r="N21" s="1127"/>
      <c r="O21" s="1127"/>
      <c r="P21" s="3232"/>
      <c r="Q21" s="1800"/>
      <c r="R21" s="767"/>
      <c r="S21" s="768"/>
      <c r="T21" s="767"/>
      <c r="U21" s="768"/>
      <c r="V21" s="767"/>
      <c r="W21" s="768"/>
      <c r="X21" s="1803"/>
      <c r="Y21" s="3232"/>
      <c r="Z21" s="1804"/>
      <c r="AA21" s="1801">
        <v>1</v>
      </c>
      <c r="AB21" s="1801">
        <v>1</v>
      </c>
      <c r="AC21" s="1801">
        <v>1</v>
      </c>
    </row>
    <row r="22" spans="1:29" ht="15">
      <c r="A22" s="400"/>
      <c r="B22" s="626" t="s">
        <v>2708</v>
      </c>
      <c r="C22" s="612"/>
      <c r="D22" s="446">
        <v>100</v>
      </c>
      <c r="E22" s="612"/>
      <c r="F22" s="457">
        <f>SUMIF(71:71,E22,72:72)-SUMIF(71:71,C22,72:72)+100</f>
        <v>100</v>
      </c>
      <c r="G22" s="612"/>
      <c r="H22" s="431">
        <f>SUMIF(71:71,G22,72:72)-SUMIF(71:71,C22,72:72)+100</f>
        <v>100</v>
      </c>
      <c r="I22" s="612"/>
      <c r="J22" s="431">
        <f>SUMIF(71:71,I22,72:72)-SUMIF(71:71,C22,72:72)+100</f>
        <v>100</v>
      </c>
      <c r="K22" s="608"/>
      <c r="L22" s="1136"/>
      <c r="M22" s="1127"/>
      <c r="N22" s="1127"/>
      <c r="O22" s="1127"/>
      <c r="P22" s="3232"/>
      <c r="Q22" s="1800" t="str">
        <f>B22</f>
        <v>楼层</v>
      </c>
      <c r="R22" s="767" t="s">
        <v>17</v>
      </c>
      <c r="S22" s="768">
        <f>F22</f>
        <v>100</v>
      </c>
      <c r="T22" s="767" t="s">
        <v>17</v>
      </c>
      <c r="U22" s="768">
        <f>H22</f>
        <v>100</v>
      </c>
      <c r="V22" s="767" t="s">
        <v>17</v>
      </c>
      <c r="W22" s="768">
        <f>J22</f>
        <v>100</v>
      </c>
      <c r="X22" s="1803"/>
      <c r="Y22" s="3232"/>
      <c r="Z22" s="1804" t="str">
        <f>Q22</f>
        <v>楼层</v>
      </c>
      <c r="AA22" s="1801">
        <f t="shared" si="3"/>
        <v>1</v>
      </c>
      <c r="AB22" s="1801">
        <f t="shared" si="4"/>
        <v>1</v>
      </c>
      <c r="AC22" s="1801">
        <f t="shared" si="5"/>
        <v>1</v>
      </c>
    </row>
    <row r="23" spans="1:29" ht="15">
      <c r="A23" s="400"/>
      <c r="B23" s="643">
        <v>111</v>
      </c>
      <c r="C23" s="428"/>
      <c r="D23" s="431">
        <v>100</v>
      </c>
      <c r="E23" s="428"/>
      <c r="F23" s="457">
        <f>SUMIF(73:73,E23,74:74)-SUMIF(73:73,C23,74:74)+100</f>
        <v>100</v>
      </c>
      <c r="G23" s="428"/>
      <c r="H23" s="431">
        <f>SUMIF(73:73,G23,74:74)-SUMIF(73:73,C23,74:74)+100</f>
        <v>100</v>
      </c>
      <c r="I23" s="428"/>
      <c r="J23" s="431">
        <f>SUMIF(73:73,I23,74:74)-SUMIF(73:73,C23,74:74)+100</f>
        <v>100</v>
      </c>
      <c r="K23" s="609"/>
      <c r="L23" s="1136"/>
      <c r="M23" s="1127"/>
      <c r="N23" s="1127"/>
      <c r="O23" s="1127"/>
      <c r="P23" s="3232"/>
      <c r="Q23" s="1800">
        <f>B23</f>
        <v>111</v>
      </c>
      <c r="R23" s="767" t="s">
        <v>17</v>
      </c>
      <c r="S23" s="768">
        <f>F23</f>
        <v>100</v>
      </c>
      <c r="T23" s="767" t="s">
        <v>17</v>
      </c>
      <c r="U23" s="768">
        <f>H23</f>
        <v>100</v>
      </c>
      <c r="V23" s="767" t="s">
        <v>17</v>
      </c>
      <c r="W23" s="768">
        <f>J23</f>
        <v>100</v>
      </c>
      <c r="X23" s="1803"/>
      <c r="Y23" s="3232"/>
      <c r="Z23" s="1804">
        <f>Q23</f>
        <v>111</v>
      </c>
      <c r="AA23" s="1801">
        <f t="shared" si="3"/>
        <v>1</v>
      </c>
      <c r="AB23" s="1801">
        <f t="shared" si="4"/>
        <v>1</v>
      </c>
      <c r="AC23" s="1801">
        <f t="shared" si="5"/>
        <v>1</v>
      </c>
    </row>
    <row r="24" spans="1:29" ht="15">
      <c r="A24" s="400"/>
      <c r="B24" s="643">
        <v>111</v>
      </c>
      <c r="C24" s="428"/>
      <c r="D24" s="431">
        <v>100</v>
      </c>
      <c r="E24" s="428"/>
      <c r="F24" s="457">
        <f>SUMIF(75:75,E24,76:76)-SUMIF(75:75,C24,76:76)+100</f>
        <v>100</v>
      </c>
      <c r="G24" s="428"/>
      <c r="H24" s="431">
        <f>SUMIF(75:75,G24,76:76)-SUMIF(75:75,C24,76:76)+100</f>
        <v>100</v>
      </c>
      <c r="I24" s="428"/>
      <c r="J24" s="431">
        <f>SUMIF(75:75,I24,76:76)-SUMIF(75:75,C24,76:76)+100</f>
        <v>100</v>
      </c>
      <c r="K24" s="609"/>
      <c r="L24" s="1136"/>
      <c r="M24" s="1127"/>
      <c r="N24" s="1127"/>
      <c r="O24" s="1127"/>
      <c r="P24" s="3232"/>
      <c r="Q24" s="1800">
        <f t="shared" ref="Q24:Q36" si="8">B24</f>
        <v>111</v>
      </c>
      <c r="R24" s="767" t="s">
        <v>17</v>
      </c>
      <c r="S24" s="768">
        <f>F24</f>
        <v>100</v>
      </c>
      <c r="T24" s="767" t="s">
        <v>17</v>
      </c>
      <c r="U24" s="768">
        <f>H24</f>
        <v>100</v>
      </c>
      <c r="V24" s="767" t="s">
        <v>17</v>
      </c>
      <c r="W24" s="768">
        <f>J24</f>
        <v>100</v>
      </c>
      <c r="X24" s="1803"/>
      <c r="Y24" s="3232"/>
      <c r="Z24" s="1804">
        <f>Q24</f>
        <v>111</v>
      </c>
      <c r="AA24" s="1801">
        <f t="shared" si="3"/>
        <v>1</v>
      </c>
      <c r="AB24" s="1801">
        <f t="shared" si="4"/>
        <v>1</v>
      </c>
      <c r="AC24" s="1801">
        <f t="shared" si="5"/>
        <v>1</v>
      </c>
    </row>
    <row r="25" spans="1:29" s="116" customFormat="1" ht="15.75" thickBot="1">
      <c r="A25" s="644"/>
      <c r="B25" s="630">
        <v>111</v>
      </c>
      <c r="C25" s="433"/>
      <c r="D25" s="645">
        <v>100</v>
      </c>
      <c r="E25" s="623"/>
      <c r="F25" s="646">
        <f>SUMIF(77:77,E25,78:78)-SUMIF(77:77,C25,78:78)+100</f>
        <v>100</v>
      </c>
      <c r="G25" s="623"/>
      <c r="H25" s="645">
        <f>SUMIF(77:77,G25,78:78)-SUMIF(77:77,C25,78:78)+100</f>
        <v>100</v>
      </c>
      <c r="I25" s="623"/>
      <c r="J25" s="645">
        <f>SUMIF(77:77,I25,78:78)-SUMIF(77:77,C25,78:78)+100</f>
        <v>100</v>
      </c>
      <c r="K25" s="609"/>
      <c r="L25" s="1128"/>
      <c r="M25" s="1129"/>
      <c r="N25" s="1129"/>
      <c r="O25" s="1129"/>
      <c r="P25" s="3232"/>
      <c r="Q25" s="1785">
        <f t="shared" si="8"/>
        <v>111</v>
      </c>
      <c r="R25" s="763" t="s">
        <v>17</v>
      </c>
      <c r="S25" s="764">
        <f>F25</f>
        <v>100</v>
      </c>
      <c r="T25" s="763" t="s">
        <v>17</v>
      </c>
      <c r="U25" s="764">
        <f>H25</f>
        <v>100</v>
      </c>
      <c r="V25" s="763" t="s">
        <v>17</v>
      </c>
      <c r="W25" s="764">
        <f>J25</f>
        <v>100</v>
      </c>
      <c r="X25" s="765"/>
      <c r="Y25" s="3232"/>
      <c r="Z25" s="55">
        <f>Q25</f>
        <v>111</v>
      </c>
      <c r="AA25" s="1801">
        <f>D25/F25</f>
        <v>1</v>
      </c>
      <c r="AB25" s="1801">
        <f>D25/H25</f>
        <v>1</v>
      </c>
      <c r="AC25" s="1801">
        <f>D25/J25</f>
        <v>1</v>
      </c>
    </row>
    <row r="26" spans="1:29" ht="15">
      <c r="A26" s="647" t="s">
        <v>2560</v>
      </c>
      <c r="B26" s="69" t="s">
        <v>2709</v>
      </c>
      <c r="C26" s="2681">
        <f>B1</f>
        <v>0</v>
      </c>
      <c r="D26" s="444">
        <v>100</v>
      </c>
      <c r="E26" s="443"/>
      <c r="F26" s="445">
        <f>SUMIF(79:79,E26,80:80)-SUMIF(79:79,C26,80:80)+100</f>
        <v>100</v>
      </c>
      <c r="G26" s="443"/>
      <c r="H26" s="444">
        <f>SUMIF(79:79,G26,80:80)-SUMIF(79:79,C26,80:80)+100</f>
        <v>100</v>
      </c>
      <c r="I26" s="443"/>
      <c r="J26" s="444">
        <f>SUMIF(79:79,I26,80:80)-SUMIF(79:79,C26,80:80)+100</f>
        <v>100</v>
      </c>
      <c r="K26" s="608"/>
      <c r="L26" s="1136"/>
      <c r="M26" s="1127"/>
      <c r="N26" s="1127"/>
      <c r="O26" s="1127"/>
      <c r="P26" s="3287" t="s">
        <v>2562</v>
      </c>
      <c r="Q26" s="1800" t="str">
        <f t="shared" si="8"/>
        <v>配套类型</v>
      </c>
      <c r="R26" s="767" t="s">
        <v>17</v>
      </c>
      <c r="S26" s="768">
        <f t="shared" ref="S26:S36" si="9">F26</f>
        <v>100</v>
      </c>
      <c r="T26" s="767" t="s">
        <v>17</v>
      </c>
      <c r="U26" s="768">
        <f t="shared" ref="U26:U36" si="10">H26</f>
        <v>100</v>
      </c>
      <c r="V26" s="767" t="s">
        <v>17</v>
      </c>
      <c r="W26" s="768">
        <f t="shared" ref="W26:W36" si="11">J26</f>
        <v>100</v>
      </c>
      <c r="X26" s="1803"/>
      <c r="Y26" s="3236" t="s">
        <v>2562</v>
      </c>
      <c r="Z26" s="1804" t="str">
        <f t="shared" ref="Z26:Z36" si="12">Q26</f>
        <v>配套类型</v>
      </c>
      <c r="AA26" s="1801">
        <f t="shared" si="3"/>
        <v>1</v>
      </c>
      <c r="AB26" s="1801">
        <f t="shared" si="4"/>
        <v>1</v>
      </c>
      <c r="AC26" s="1801">
        <f t="shared" si="5"/>
        <v>1</v>
      </c>
    </row>
    <row r="27" spans="1:29" s="467" customFormat="1" ht="15">
      <c r="A27" s="648"/>
      <c r="B27" s="649" t="s">
        <v>2710</v>
      </c>
      <c r="C27" s="650"/>
      <c r="D27" s="135">
        <v>100</v>
      </c>
      <c r="E27" s="650"/>
      <c r="F27" s="457">
        <f>SUMIF(81:81,E27,82:82)-SUMIF(81:81,C27,82:82)+100</f>
        <v>100</v>
      </c>
      <c r="G27" s="650"/>
      <c r="H27" s="431">
        <f>SUMIF(81:81,G27,82:82)-SUMIF(81:81,C27,82:82)+100</f>
        <v>100</v>
      </c>
      <c r="I27" s="650"/>
      <c r="J27" s="431">
        <f>SUMIF(81:81,I27,82:82)-SUMIF(81:81,C27,82:82)+100</f>
        <v>100</v>
      </c>
      <c r="K27" s="609"/>
      <c r="L27" s="1134"/>
      <c r="M27" s="1137"/>
      <c r="N27" s="1137"/>
      <c r="O27" s="1137"/>
      <c r="P27" s="3236"/>
      <c r="Q27" s="769" t="str">
        <f t="shared" si="8"/>
        <v>项目停车位配比</v>
      </c>
      <c r="R27" s="770" t="s">
        <v>17</v>
      </c>
      <c r="S27" s="771">
        <f t="shared" si="9"/>
        <v>100</v>
      </c>
      <c r="T27" s="770" t="s">
        <v>17</v>
      </c>
      <c r="U27" s="771">
        <f t="shared" si="10"/>
        <v>100</v>
      </c>
      <c r="V27" s="770" t="s">
        <v>17</v>
      </c>
      <c r="W27" s="771">
        <f t="shared" si="11"/>
        <v>100</v>
      </c>
      <c r="X27" s="772"/>
      <c r="Y27" s="3236"/>
      <c r="Z27" s="773" t="str">
        <f t="shared" si="12"/>
        <v>项目停车位配比</v>
      </c>
      <c r="AA27" s="1801">
        <f t="shared" si="3"/>
        <v>1</v>
      </c>
      <c r="AB27" s="1801">
        <f t="shared" si="4"/>
        <v>1</v>
      </c>
      <c r="AC27" s="1801">
        <f t="shared" si="5"/>
        <v>1</v>
      </c>
    </row>
    <row r="28" spans="1:29" ht="15">
      <c r="A28" s="651"/>
      <c r="B28" s="649" t="s">
        <v>2711</v>
      </c>
      <c r="C28" s="456"/>
      <c r="D28" s="431">
        <v>100</v>
      </c>
      <c r="E28" s="456"/>
      <c r="F28" s="457">
        <f>SUMIF(83:83,E28,84:84)-SUMIF(83:83,C28,84:84)+100</f>
        <v>100</v>
      </c>
      <c r="G28" s="456"/>
      <c r="H28" s="431">
        <f>SUMIF(83:83,G28,84:84)-SUMIF(83:83,C28,84:84)+100</f>
        <v>100</v>
      </c>
      <c r="I28" s="456"/>
      <c r="J28" s="431">
        <f>SUMIF(83:83,I28,84:84)-SUMIF(83:83,C28,84:84)+100</f>
        <v>100</v>
      </c>
      <c r="K28" s="608"/>
      <c r="L28" s="1136"/>
      <c r="M28" s="1127"/>
      <c r="N28" s="1127"/>
      <c r="O28" s="1127"/>
      <c r="P28" s="3236"/>
      <c r="Q28" s="1800" t="str">
        <f t="shared" si="8"/>
        <v>公共部分装修</v>
      </c>
      <c r="R28" s="767" t="s">
        <v>17</v>
      </c>
      <c r="S28" s="768">
        <f t="shared" si="9"/>
        <v>100</v>
      </c>
      <c r="T28" s="767" t="s">
        <v>17</v>
      </c>
      <c r="U28" s="768">
        <f t="shared" si="10"/>
        <v>100</v>
      </c>
      <c r="V28" s="767" t="s">
        <v>17</v>
      </c>
      <c r="W28" s="768">
        <f t="shared" si="11"/>
        <v>100</v>
      </c>
      <c r="X28" s="1803"/>
      <c r="Y28" s="3236"/>
      <c r="Z28" s="1804" t="str">
        <f t="shared" si="12"/>
        <v>公共部分装修</v>
      </c>
      <c r="AA28" s="1801">
        <f t="shared" si="3"/>
        <v>1</v>
      </c>
      <c r="AB28" s="1801">
        <f t="shared" si="4"/>
        <v>1</v>
      </c>
      <c r="AC28" s="1801">
        <f t="shared" si="5"/>
        <v>1</v>
      </c>
    </row>
    <row r="29" spans="1:29" ht="15">
      <c r="A29" s="651"/>
      <c r="B29" s="649" t="s">
        <v>2712</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6"/>
      <c r="M29" s="1127"/>
      <c r="N29" s="1127"/>
      <c r="O29" s="1127"/>
      <c r="P29" s="3236"/>
      <c r="Q29" s="1800" t="str">
        <f t="shared" si="8"/>
        <v>成新率</v>
      </c>
      <c r="R29" s="767" t="s">
        <v>17</v>
      </c>
      <c r="S29" s="768" t="e">
        <f t="shared" si="9"/>
        <v>#N/A</v>
      </c>
      <c r="T29" s="767" t="s">
        <v>17</v>
      </c>
      <c r="U29" s="768" t="e">
        <f t="shared" si="10"/>
        <v>#N/A</v>
      </c>
      <c r="V29" s="767" t="s">
        <v>17</v>
      </c>
      <c r="W29" s="768" t="e">
        <f t="shared" si="11"/>
        <v>#N/A</v>
      </c>
      <c r="X29" s="1803"/>
      <c r="Y29" s="3236"/>
      <c r="Z29" s="1804" t="str">
        <f t="shared" si="12"/>
        <v>成新率</v>
      </c>
      <c r="AA29" s="1801" t="e">
        <f t="shared" si="3"/>
        <v>#N/A</v>
      </c>
      <c r="AB29" s="1801" t="e">
        <f t="shared" si="4"/>
        <v>#N/A</v>
      </c>
      <c r="AC29" s="1801" t="e">
        <f t="shared" si="5"/>
        <v>#N/A</v>
      </c>
    </row>
    <row r="30" spans="1:29" ht="15">
      <c r="A30" s="651"/>
      <c r="B30" s="649" t="s">
        <v>2713</v>
      </c>
      <c r="C30" s="652"/>
      <c r="D30" s="431">
        <v>100</v>
      </c>
      <c r="E30" s="652"/>
      <c r="F30" s="457">
        <f>SUMIF(88:88,E30,89:89)-SUMIF(88:88,C30,89:89)+100</f>
        <v>100</v>
      </c>
      <c r="G30" s="652"/>
      <c r="H30" s="431">
        <f>SUMIF(88:88,E30,89:89)-SUMIF(88:88,C30,89:89)+100</f>
        <v>100</v>
      </c>
      <c r="I30" s="652"/>
      <c r="J30" s="431">
        <f>SUMIF(88:88,E30,89:89)-SUMIF(88:88,C30,89:89)+100</f>
        <v>100</v>
      </c>
      <c r="K30" s="608"/>
      <c r="L30" s="1136"/>
      <c r="M30" s="1127"/>
      <c r="N30" s="1127"/>
      <c r="O30" s="1127"/>
      <c r="P30" s="3236"/>
      <c r="Q30" s="1800" t="str">
        <f t="shared" si="8"/>
        <v>物业等级</v>
      </c>
      <c r="R30" s="767" t="s">
        <v>17</v>
      </c>
      <c r="S30" s="768">
        <f t="shared" si="9"/>
        <v>100</v>
      </c>
      <c r="T30" s="767" t="s">
        <v>17</v>
      </c>
      <c r="U30" s="768">
        <f t="shared" si="10"/>
        <v>100</v>
      </c>
      <c r="V30" s="767" t="s">
        <v>17</v>
      </c>
      <c r="W30" s="768">
        <f t="shared" si="11"/>
        <v>100</v>
      </c>
      <c r="X30" s="1803"/>
      <c r="Y30" s="3236"/>
      <c r="Z30" s="1804" t="str">
        <f t="shared" si="12"/>
        <v>物业等级</v>
      </c>
      <c r="AA30" s="1801">
        <f t="shared" si="3"/>
        <v>1</v>
      </c>
      <c r="AB30" s="1801">
        <f t="shared" si="4"/>
        <v>1</v>
      </c>
      <c r="AC30" s="1801">
        <f t="shared" si="5"/>
        <v>1</v>
      </c>
    </row>
    <row r="31" spans="1:29" s="116" customFormat="1" ht="15">
      <c r="A31" s="653"/>
      <c r="B31" s="649" t="s">
        <v>2714</v>
      </c>
      <c r="C31" s="465"/>
      <c r="D31" s="135">
        <v>100</v>
      </c>
      <c r="E31" s="465"/>
      <c r="F31" s="457" t="e">
        <f>LOOKUP(E31,91:91,92:92)-LOOKUP(C31,91:91,92:92)+100</f>
        <v>#N/A</v>
      </c>
      <c r="G31" s="465"/>
      <c r="H31" s="431" t="e">
        <f>LOOKUP(G31,91:91,92:92)-LOOKUP(C31,91:91,92:92)+100</f>
        <v>#N/A</v>
      </c>
      <c r="I31" s="465"/>
      <c r="J31" s="431" t="e">
        <f>LOOKUP(I31,91:91,92:92)-LOOKUP(C31,91:91,92:92)+100</f>
        <v>#N/A</v>
      </c>
      <c r="K31" s="608"/>
      <c r="L31" s="1128"/>
      <c r="M31" s="1129"/>
      <c r="N31" s="1129"/>
      <c r="O31" s="1129"/>
      <c r="P31" s="3236"/>
      <c r="Q31" s="1785" t="str">
        <f t="shared" si="8"/>
        <v>停车位面积</v>
      </c>
      <c r="R31" s="763" t="s">
        <v>17</v>
      </c>
      <c r="S31" s="764" t="e">
        <f t="shared" si="9"/>
        <v>#N/A</v>
      </c>
      <c r="T31" s="763" t="s">
        <v>17</v>
      </c>
      <c r="U31" s="764" t="e">
        <f t="shared" si="10"/>
        <v>#N/A</v>
      </c>
      <c r="V31" s="763" t="s">
        <v>17</v>
      </c>
      <c r="W31" s="764" t="e">
        <f t="shared" si="11"/>
        <v>#N/A</v>
      </c>
      <c r="X31" s="765"/>
      <c r="Y31" s="3236"/>
      <c r="Z31" s="55" t="str">
        <f t="shared" si="12"/>
        <v>停车位面积</v>
      </c>
      <c r="AA31" s="766" t="e">
        <f t="shared" si="3"/>
        <v>#N/A</v>
      </c>
      <c r="AB31" s="766" t="e">
        <f t="shared" si="4"/>
        <v>#N/A</v>
      </c>
      <c r="AC31" s="766" t="e">
        <f t="shared" si="5"/>
        <v>#N/A</v>
      </c>
    </row>
    <row r="32" spans="1:29" ht="15">
      <c r="A32" s="651"/>
      <c r="B32" s="649" t="s">
        <v>2715</v>
      </c>
      <c r="C32" s="456"/>
      <c r="D32" s="431">
        <v>100</v>
      </c>
      <c r="E32" s="456"/>
      <c r="F32" s="457">
        <f>SUMIF(93:93,E32,94:94)-SUMIF(93:93,C32,94:94)+100</f>
        <v>100</v>
      </c>
      <c r="G32" s="456"/>
      <c r="H32" s="431">
        <f>SUMIF(93:93,G32,94:94)-SUMIF(93:93,C32,94:94)+100</f>
        <v>100</v>
      </c>
      <c r="I32" s="456"/>
      <c r="J32" s="431">
        <f>SUMIF(93:93,I32,94:94)-SUMIF(93:93,C32,94:94)+100</f>
        <v>100</v>
      </c>
      <c r="K32" s="608"/>
      <c r="L32" s="1136"/>
      <c r="M32" s="1127"/>
      <c r="N32" s="1127"/>
      <c r="O32" s="1127"/>
      <c r="P32" s="3236" t="s">
        <v>2562</v>
      </c>
      <c r="Q32" s="1800" t="str">
        <f t="shared" si="8"/>
        <v>车位类型</v>
      </c>
      <c r="R32" s="767" t="s">
        <v>17</v>
      </c>
      <c r="S32" s="768">
        <f t="shared" si="9"/>
        <v>100</v>
      </c>
      <c r="T32" s="767" t="s">
        <v>17</v>
      </c>
      <c r="U32" s="768">
        <f t="shared" si="10"/>
        <v>100</v>
      </c>
      <c r="V32" s="767" t="s">
        <v>17</v>
      </c>
      <c r="W32" s="768">
        <f t="shared" si="11"/>
        <v>100</v>
      </c>
      <c r="X32" s="1803"/>
      <c r="Y32" s="3236" t="s">
        <v>2562</v>
      </c>
      <c r="Z32" s="1804" t="str">
        <f t="shared" si="12"/>
        <v>车位类型</v>
      </c>
      <c r="AA32" s="1801">
        <f t="shared" si="3"/>
        <v>1</v>
      </c>
      <c r="AB32" s="1801">
        <f t="shared" si="4"/>
        <v>1</v>
      </c>
      <c r="AC32" s="1801">
        <f t="shared" si="5"/>
        <v>1</v>
      </c>
    </row>
    <row r="33" spans="1:29" ht="15">
      <c r="A33" s="651"/>
      <c r="B33" s="649" t="s">
        <v>2716</v>
      </c>
      <c r="C33" s="456"/>
      <c r="D33" s="431">
        <v>100</v>
      </c>
      <c r="E33" s="456"/>
      <c r="F33" s="457">
        <f>SUMIF(95:95,E33,96:96)-SUMIF(95:95,C33,96:96)+100</f>
        <v>100</v>
      </c>
      <c r="G33" s="456"/>
      <c r="H33" s="431">
        <f>SUMIF(95:95,G33,96:96)-SUMIF(95:95,C33,96:96)+100</f>
        <v>100</v>
      </c>
      <c r="I33" s="456"/>
      <c r="J33" s="431">
        <f>SUMIF(95:95,I33,96:96)-SUMIF(95:95,C33,96:96)+100</f>
        <v>100</v>
      </c>
      <c r="K33" s="608"/>
      <c r="L33" s="1136"/>
      <c r="M33" s="1127"/>
      <c r="N33" s="1127"/>
      <c r="O33" s="1127"/>
      <c r="P33" s="3236"/>
      <c r="Q33" s="1800" t="str">
        <f t="shared" si="8"/>
        <v>是否直接入户</v>
      </c>
      <c r="R33" s="767" t="s">
        <v>17</v>
      </c>
      <c r="S33" s="768">
        <f t="shared" si="9"/>
        <v>100</v>
      </c>
      <c r="T33" s="767" t="s">
        <v>17</v>
      </c>
      <c r="U33" s="768">
        <f t="shared" si="10"/>
        <v>100</v>
      </c>
      <c r="V33" s="767" t="s">
        <v>17</v>
      </c>
      <c r="W33" s="768">
        <f t="shared" si="11"/>
        <v>100</v>
      </c>
      <c r="X33" s="1803"/>
      <c r="Y33" s="3236"/>
      <c r="Z33" s="1804" t="str">
        <f t="shared" si="12"/>
        <v>是否直接入户</v>
      </c>
      <c r="AA33" s="1801">
        <f t="shared" si="3"/>
        <v>1</v>
      </c>
      <c r="AB33" s="1801">
        <f t="shared" si="4"/>
        <v>1</v>
      </c>
      <c r="AC33" s="1801">
        <f t="shared" si="5"/>
        <v>1</v>
      </c>
    </row>
    <row r="34" spans="1:29" ht="15">
      <c r="A34" s="651"/>
      <c r="B34" s="643">
        <v>111</v>
      </c>
      <c r="C34" s="428"/>
      <c r="D34" s="431">
        <v>100</v>
      </c>
      <c r="E34" s="428"/>
      <c r="F34" s="457">
        <f>SUMIF(97:97,E34,98:98)-SUMIF(97:97,C34,98:98)+100</f>
        <v>100</v>
      </c>
      <c r="G34" s="428"/>
      <c r="H34" s="431">
        <f>SUMIF(97:97,G34,98:98)-SUMIF(97:97,C34,98:98)+100</f>
        <v>100</v>
      </c>
      <c r="I34" s="428"/>
      <c r="J34" s="431">
        <f>SUMIF(97:97,I34,98:98)-SUMIF(97:97,C34,98:98)+100</f>
        <v>100</v>
      </c>
      <c r="K34" s="609"/>
      <c r="L34" s="1136"/>
      <c r="M34" s="1127"/>
      <c r="N34" s="1127"/>
      <c r="O34" s="1127"/>
      <c r="P34" s="3236"/>
      <c r="Q34" s="1800">
        <f t="shared" si="8"/>
        <v>111</v>
      </c>
      <c r="R34" s="767" t="s">
        <v>17</v>
      </c>
      <c r="S34" s="768">
        <f t="shared" si="9"/>
        <v>100</v>
      </c>
      <c r="T34" s="767" t="s">
        <v>17</v>
      </c>
      <c r="U34" s="768">
        <f t="shared" si="10"/>
        <v>100</v>
      </c>
      <c r="V34" s="767" t="s">
        <v>17</v>
      </c>
      <c r="W34" s="768">
        <f t="shared" si="11"/>
        <v>100</v>
      </c>
      <c r="X34" s="1803"/>
      <c r="Y34" s="3236"/>
      <c r="Z34" s="1804">
        <f t="shared" si="12"/>
        <v>111</v>
      </c>
      <c r="AA34" s="1801">
        <f t="shared" si="3"/>
        <v>1</v>
      </c>
      <c r="AB34" s="1801">
        <f t="shared" si="4"/>
        <v>1</v>
      </c>
      <c r="AC34" s="1801">
        <f t="shared" si="5"/>
        <v>1</v>
      </c>
    </row>
    <row r="35" spans="1:29" s="467" customFormat="1" ht="15">
      <c r="A35" s="648"/>
      <c r="B35" s="643">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4"/>
      <c r="M35" s="1137"/>
      <c r="N35" s="1137"/>
      <c r="O35" s="1137"/>
      <c r="P35" s="3236"/>
      <c r="Q35" s="769">
        <f t="shared" si="8"/>
        <v>111</v>
      </c>
      <c r="R35" s="770" t="s">
        <v>17</v>
      </c>
      <c r="S35" s="771">
        <f t="shared" si="9"/>
        <v>100</v>
      </c>
      <c r="T35" s="770" t="s">
        <v>17</v>
      </c>
      <c r="U35" s="771">
        <f t="shared" si="10"/>
        <v>100</v>
      </c>
      <c r="V35" s="770" t="s">
        <v>17</v>
      </c>
      <c r="W35" s="771">
        <f t="shared" si="11"/>
        <v>100</v>
      </c>
      <c r="X35" s="772"/>
      <c r="Y35" s="3236"/>
      <c r="Z35" s="773">
        <f t="shared" si="12"/>
        <v>111</v>
      </c>
      <c r="AA35" s="1801">
        <f t="shared" si="3"/>
        <v>1</v>
      </c>
      <c r="AB35" s="1801">
        <f t="shared" si="4"/>
        <v>1</v>
      </c>
      <c r="AC35" s="1801">
        <f t="shared" si="5"/>
        <v>1</v>
      </c>
    </row>
    <row r="36" spans="1:29" ht="15.75" thickBot="1">
      <c r="A36" s="654"/>
      <c r="B36" s="630">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6"/>
      <c r="M36" s="1127"/>
      <c r="N36" s="1127"/>
      <c r="O36" s="1127"/>
      <c r="P36" s="3236"/>
      <c r="Q36" s="1800">
        <f t="shared" si="8"/>
        <v>111</v>
      </c>
      <c r="R36" s="767" t="s">
        <v>17</v>
      </c>
      <c r="S36" s="768">
        <f t="shared" si="9"/>
        <v>100</v>
      </c>
      <c r="T36" s="767" t="s">
        <v>17</v>
      </c>
      <c r="U36" s="768">
        <f t="shared" si="10"/>
        <v>100</v>
      </c>
      <c r="V36" s="767" t="s">
        <v>17</v>
      </c>
      <c r="W36" s="768">
        <f t="shared" si="11"/>
        <v>100</v>
      </c>
      <c r="X36" s="1803"/>
      <c r="Y36" s="3236"/>
      <c r="Z36" s="1804">
        <f t="shared" si="12"/>
        <v>111</v>
      </c>
      <c r="AA36" s="1801">
        <f t="shared" si="3"/>
        <v>1</v>
      </c>
      <c r="AB36" s="1801">
        <f t="shared" si="4"/>
        <v>1</v>
      </c>
      <c r="AC36" s="1801">
        <f t="shared" si="5"/>
        <v>1</v>
      </c>
    </row>
    <row r="37" spans="1:29" ht="15">
      <c r="A37" s="475" t="s">
        <v>2717</v>
      </c>
      <c r="B37" s="2682" t="s">
        <v>2718</v>
      </c>
      <c r="C37" s="1396" t="s">
        <v>1</v>
      </c>
      <c r="D37" s="1397"/>
      <c r="E37" s="1398"/>
      <c r="F37" s="1399"/>
      <c r="G37" s="1400"/>
      <c r="H37" s="1401"/>
      <c r="I37" s="1398"/>
      <c r="J37" s="1401"/>
      <c r="K37" s="614"/>
      <c r="L37" s="1139"/>
      <c r="M37" s="1140"/>
      <c r="N37" s="1127"/>
      <c r="O37" s="1140"/>
      <c r="P37" s="3238" t="str">
        <f>A37</f>
        <v>成交单价</v>
      </c>
      <c r="Q37" s="3238"/>
      <c r="R37" s="3239">
        <f>E37</f>
        <v>0</v>
      </c>
      <c r="S37" s="3239"/>
      <c r="T37" s="3239">
        <f>G37</f>
        <v>0</v>
      </c>
      <c r="U37" s="3239"/>
      <c r="V37" s="3239">
        <f>I37</f>
        <v>0</v>
      </c>
      <c r="W37" s="3239"/>
      <c r="X37" s="752"/>
      <c r="Y37" s="774"/>
      <c r="Z37" s="752"/>
      <c r="AA37" s="752"/>
      <c r="AB37" s="752"/>
      <c r="AC37" s="752"/>
    </row>
    <row r="38" spans="1:29" ht="15.75" thickBot="1">
      <c r="A38" s="482" t="s">
        <v>2719</v>
      </c>
      <c r="B38" s="483" t="str">
        <f>B37</f>
        <v>元/车位</v>
      </c>
      <c r="C38" s="1402" t="e">
        <f>R39</f>
        <v>#DIV/0!</v>
      </c>
      <c r="D38" s="1403"/>
      <c r="E38" s="1404" t="e">
        <f>R38</f>
        <v>#DIV/0!</v>
      </c>
      <c r="F38" s="1404"/>
      <c r="G38" s="1402" t="e">
        <f>T38</f>
        <v>#DIV/0!</v>
      </c>
      <c r="H38" s="1403"/>
      <c r="I38" s="1404" t="e">
        <f>V38</f>
        <v>#DIV/0!</v>
      </c>
      <c r="J38" s="1403"/>
      <c r="K38" s="615"/>
      <c r="L38" s="1139"/>
      <c r="M38" s="1140"/>
      <c r="N38" s="1140"/>
      <c r="O38" s="1140"/>
      <c r="P38" s="3238" t="str">
        <f>A38</f>
        <v>比较价值（元/平方米）</v>
      </c>
      <c r="Q38" s="3238"/>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2"/>
      <c r="Y38" s="752"/>
      <c r="Z38" s="752"/>
      <c r="AA38" s="752"/>
      <c r="AB38" s="752"/>
      <c r="AC38" s="752"/>
    </row>
    <row r="39" spans="1:29" ht="15.75" thickBot="1">
      <c r="A39" s="488" t="s">
        <v>2720</v>
      </c>
      <c r="B39" s="489"/>
      <c r="C39" s="1406" t="e">
        <f>R39</f>
        <v>#DIV/0!</v>
      </c>
      <c r="D39" s="1406"/>
      <c r="E39" s="1406"/>
      <c r="F39" s="1406"/>
      <c r="G39" s="1406"/>
      <c r="H39" s="1406"/>
      <c r="I39" s="1406"/>
      <c r="J39" s="1406"/>
      <c r="K39" s="616"/>
      <c r="L39" s="1139"/>
      <c r="M39" s="1140"/>
      <c r="N39" s="1140"/>
      <c r="O39" s="1140"/>
      <c r="P39" s="3240" t="str">
        <f>A39</f>
        <v>估价对象XX用房的比较价值（楼面单价，元/平方米）</v>
      </c>
      <c r="Q39" s="3241"/>
      <c r="R39" s="3242" t="e">
        <f>IF(F1="售价",ROUND(AVERAGE(R38:V38),0),ROUND(AVERAGE(R38:V38),1))</f>
        <v>#DIV/0!</v>
      </c>
      <c r="S39" s="3242"/>
      <c r="T39" s="3242"/>
      <c r="U39" s="3242"/>
      <c r="V39" s="3242"/>
      <c r="W39" s="3242"/>
      <c r="X39" s="752"/>
      <c r="Y39" s="752"/>
      <c r="Z39" s="752"/>
      <c r="AA39" s="752"/>
      <c r="AB39" s="752"/>
      <c r="AC39" s="752"/>
    </row>
    <row r="40" spans="1:29">
      <c r="A40" s="1140"/>
      <c r="B40" s="1140"/>
      <c r="C40" s="1140"/>
      <c r="D40" s="1140"/>
      <c r="E40" s="1140"/>
      <c r="F40" s="1140"/>
      <c r="G40" s="1143"/>
      <c r="H40" s="1140"/>
      <c r="I40" s="1140"/>
      <c r="J40" s="1140"/>
      <c r="K40" s="1101"/>
      <c r="L40" s="1102"/>
      <c r="M40" s="1140"/>
      <c r="N40" s="1140"/>
      <c r="O40" s="1140"/>
      <c r="P40" s="1409"/>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09"/>
      <c r="Q41" s="1140"/>
      <c r="R41" s="1140"/>
      <c r="S41" s="1140"/>
      <c r="T41" s="1140"/>
      <c r="U41" s="1140"/>
      <c r="V41" s="1140"/>
      <c r="W41" s="1140"/>
      <c r="X41" s="1140"/>
      <c r="Y41" s="1140"/>
      <c r="Z41" s="1140"/>
      <c r="AA41" s="1140"/>
      <c r="AB41" s="1140"/>
      <c r="AC41" s="1140"/>
    </row>
    <row r="42" spans="1:29" ht="13.5" customHeight="1">
      <c r="A42" s="1140"/>
      <c r="B42" s="1140"/>
      <c r="C42" s="493" t="s">
        <v>2721</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101"/>
      <c r="L42" s="1102"/>
      <c r="M42" s="1140"/>
      <c r="N42" s="1140"/>
      <c r="O42" s="1140"/>
      <c r="P42" s="1409"/>
      <c r="Q42" s="1140"/>
      <c r="R42" s="1140"/>
      <c r="S42" s="1140"/>
      <c r="T42" s="1140"/>
      <c r="U42" s="1140"/>
      <c r="V42" s="1140"/>
      <c r="W42" s="1140"/>
      <c r="X42" s="1140"/>
      <c r="Y42" s="1140"/>
      <c r="Z42" s="1140"/>
      <c r="AA42" s="1140"/>
      <c r="AB42" s="1140"/>
      <c r="AC42" s="1140"/>
    </row>
    <row r="43" spans="1:29" ht="13.5" customHeight="1">
      <c r="A43" s="1140"/>
      <c r="B43" s="1140"/>
      <c r="C43" s="493" t="s">
        <v>2722</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101"/>
      <c r="L43" s="1102"/>
      <c r="M43" s="1140"/>
      <c r="N43" s="1140"/>
      <c r="O43" s="1140"/>
      <c r="P43" s="1409"/>
      <c r="Q43" s="1140"/>
      <c r="R43" s="1140"/>
      <c r="S43" s="1140"/>
      <c r="T43" s="1140"/>
      <c r="U43" s="1140"/>
      <c r="V43" s="1140"/>
      <c r="W43" s="1140"/>
      <c r="X43" s="1140"/>
      <c r="Y43" s="1140"/>
      <c r="Z43" s="1140"/>
      <c r="AA43" s="1140"/>
      <c r="AB43" s="1140"/>
      <c r="AC43" s="1140"/>
    </row>
    <row r="44" spans="1:29" s="498" customFormat="1" ht="13.5" customHeight="1">
      <c r="A44" s="1141"/>
      <c r="B44" s="1141"/>
      <c r="C44" s="493" t="s">
        <v>2723</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4"/>
      <c r="L44" s="1145"/>
      <c r="M44" s="1141"/>
      <c r="N44" s="1141"/>
      <c r="O44" s="1141"/>
      <c r="P44" s="1410"/>
      <c r="Q44" s="1141"/>
      <c r="R44" s="1141"/>
      <c r="S44" s="1141"/>
      <c r="T44" s="1141"/>
      <c r="U44" s="1141"/>
      <c r="V44" s="1141"/>
      <c r="W44" s="1141"/>
      <c r="X44" s="1141"/>
      <c r="Y44" s="1141"/>
      <c r="Z44" s="1141"/>
      <c r="AA44" s="1141"/>
      <c r="AB44" s="1141"/>
      <c r="AC44" s="1141"/>
    </row>
    <row r="45" spans="1:29" s="498" customFormat="1">
      <c r="A45" s="1141"/>
      <c r="B45" s="1142"/>
      <c r="C45" s="1146"/>
      <c r="D45" s="1141"/>
      <c r="E45" s="1141"/>
      <c r="F45" s="1141"/>
      <c r="G45" s="1141"/>
      <c r="H45" s="1141"/>
      <c r="I45" s="1141"/>
      <c r="J45" s="1141"/>
      <c r="K45" s="1144"/>
      <c r="L45" s="1145"/>
      <c r="M45" s="1141"/>
      <c r="N45" s="1141"/>
      <c r="O45" s="1141"/>
      <c r="P45" s="1410"/>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09"/>
      <c r="Q46" s="1140"/>
      <c r="R46" s="1140"/>
      <c r="S46" s="1140"/>
      <c r="T46" s="1140"/>
      <c r="U46" s="1140"/>
      <c r="V46" s="1140"/>
      <c r="W46" s="1140"/>
      <c r="X46" s="1140"/>
      <c r="Y46" s="1140"/>
      <c r="Z46" s="1140"/>
      <c r="AA46" s="1140"/>
      <c r="AB46" s="1140"/>
      <c r="AC46" s="1140"/>
    </row>
    <row r="47" spans="1:29" ht="21.75" thickBot="1">
      <c r="A47" s="1413" t="s">
        <v>2724</v>
      </c>
      <c r="B47" s="1140"/>
      <c r="C47" s="1155"/>
      <c r="D47" s="1155"/>
      <c r="E47" s="1155"/>
      <c r="F47" s="1414"/>
      <c r="G47" s="1414"/>
      <c r="H47" s="1155"/>
      <c r="I47" s="1155"/>
      <c r="J47" s="1155"/>
      <c r="K47" s="1156"/>
      <c r="L47" s="1157"/>
      <c r="M47" s="1155"/>
      <c r="N47" s="1155"/>
      <c r="O47" s="1155"/>
      <c r="P47" s="1411"/>
      <c r="Q47" s="1412"/>
      <c r="R47" s="1140"/>
      <c r="S47" s="1140"/>
      <c r="T47" s="1140"/>
      <c r="U47" s="1140"/>
      <c r="V47" s="1140"/>
      <c r="W47" s="1140"/>
      <c r="X47" s="1140"/>
      <c r="Y47" s="1140"/>
      <c r="Z47" s="1140"/>
      <c r="AA47" s="1140"/>
      <c r="AB47" s="1140"/>
      <c r="AC47" s="1140"/>
    </row>
    <row r="48" spans="1:29" s="504" customFormat="1" ht="15">
      <c r="A48" s="501" t="s">
        <v>2725</v>
      </c>
      <c r="B48" s="502"/>
      <c r="C48" s="1564" t="str">
        <f>YEAR(C7)&amp;"-"&amp;MONTH(C7)</f>
        <v>2017-10</v>
      </c>
      <c r="D48" s="1565">
        <f>EDATE(C48,-1)</f>
        <v>42979</v>
      </c>
      <c r="E48" s="1565">
        <f t="shared" ref="E48:O48" si="13">EDATE(D48,-1)</f>
        <v>42948</v>
      </c>
      <c r="F48" s="1565">
        <f t="shared" si="13"/>
        <v>42917</v>
      </c>
      <c r="G48" s="1565">
        <f t="shared" si="13"/>
        <v>42887</v>
      </c>
      <c r="H48" s="1565">
        <f t="shared" si="13"/>
        <v>42856</v>
      </c>
      <c r="I48" s="1565">
        <f t="shared" si="13"/>
        <v>42826</v>
      </c>
      <c r="J48" s="1565">
        <f t="shared" si="13"/>
        <v>42795</v>
      </c>
      <c r="K48" s="1565">
        <f t="shared" si="13"/>
        <v>42767</v>
      </c>
      <c r="L48" s="1565">
        <f t="shared" si="13"/>
        <v>42736</v>
      </c>
      <c r="M48" s="1565">
        <f t="shared" si="13"/>
        <v>42705</v>
      </c>
      <c r="N48" s="1565">
        <f t="shared" si="13"/>
        <v>42675</v>
      </c>
      <c r="O48" s="1565">
        <f t="shared" si="13"/>
        <v>42644</v>
      </c>
      <c r="P48" s="1427"/>
      <c r="Q48" s="1428"/>
      <c r="R48" s="1428"/>
      <c r="S48" s="1428"/>
      <c r="T48" s="1428"/>
      <c r="U48" s="1428"/>
      <c r="V48" s="1428"/>
      <c r="W48" s="1428"/>
      <c r="X48" s="1428"/>
      <c r="Y48" s="1428"/>
      <c r="Z48" s="1428"/>
      <c r="AA48" s="1428"/>
      <c r="AB48" s="1428"/>
      <c r="AC48" s="1428"/>
    </row>
    <row r="49" spans="1:29" s="116" customFormat="1" ht="15">
      <c r="A49" s="505"/>
      <c r="B49" s="506"/>
      <c r="C49" s="1556">
        <v>100</v>
      </c>
      <c r="D49" s="508"/>
      <c r="E49" s="508"/>
      <c r="F49" s="508"/>
      <c r="G49" s="508"/>
      <c r="H49" s="508"/>
      <c r="I49" s="508"/>
      <c r="J49" s="508"/>
      <c r="K49" s="508"/>
      <c r="L49" s="508"/>
      <c r="M49" s="509"/>
      <c r="N49" s="508"/>
      <c r="O49" s="509"/>
      <c r="P49" s="1417"/>
      <c r="Q49" s="1416"/>
      <c r="R49" s="1416"/>
      <c r="S49" s="1416"/>
      <c r="T49" s="1416"/>
      <c r="U49" s="1416"/>
      <c r="V49" s="1416"/>
      <c r="W49" s="1416"/>
      <c r="X49" s="1416"/>
      <c r="Y49" s="1416"/>
      <c r="Z49" s="1416"/>
      <c r="AA49" s="1416"/>
      <c r="AB49" s="1416"/>
      <c r="AC49" s="1416"/>
    </row>
    <row r="50" spans="1:29" s="116" customFormat="1" ht="15.75" thickBot="1">
      <c r="A50" s="511" t="s">
        <v>2582</v>
      </c>
      <c r="B50" s="512"/>
      <c r="C50" s="513"/>
      <c r="D50" s="514"/>
      <c r="E50" s="514"/>
      <c r="F50" s="514"/>
      <c r="G50" s="514"/>
      <c r="H50" s="514"/>
      <c r="I50" s="514"/>
      <c r="J50" s="514"/>
      <c r="K50" s="514"/>
      <c r="L50" s="514"/>
      <c r="M50" s="515"/>
      <c r="N50" s="514"/>
      <c r="O50" s="515"/>
      <c r="P50" s="1417"/>
      <c r="Q50" s="1412"/>
      <c r="R50" s="1416"/>
      <c r="S50" s="1416"/>
      <c r="T50" s="1416"/>
      <c r="U50" s="1416"/>
      <c r="V50" s="1416"/>
      <c r="W50" s="1416"/>
      <c r="X50" s="1416"/>
      <c r="Y50" s="1416"/>
      <c r="Z50" s="1416"/>
      <c r="AA50" s="1416"/>
      <c r="AB50" s="1416"/>
      <c r="AC50" s="1416"/>
    </row>
    <row r="51" spans="1:29" s="116" customFormat="1" ht="15">
      <c r="A51" s="517" t="s">
        <v>2547</v>
      </c>
      <c r="B51" s="506"/>
      <c r="C51" s="518" t="s">
        <v>2649</v>
      </c>
      <c r="D51" s="519"/>
      <c r="E51" s="519"/>
      <c r="F51" s="519"/>
      <c r="G51" s="519"/>
      <c r="H51" s="519"/>
      <c r="I51" s="519"/>
      <c r="J51" s="519"/>
      <c r="K51" s="519"/>
      <c r="L51" s="520"/>
      <c r="M51" s="521"/>
      <c r="N51" s="1147"/>
      <c r="O51" s="1147"/>
      <c r="P51" s="1415"/>
      <c r="Q51" s="1412"/>
      <c r="R51" s="1416"/>
      <c r="S51" s="1416"/>
      <c r="T51" s="1416"/>
      <c r="U51" s="1416"/>
      <c r="V51" s="1416"/>
      <c r="W51" s="1416"/>
      <c r="X51" s="1416"/>
      <c r="Y51" s="1416"/>
      <c r="Z51" s="1416"/>
      <c r="AA51" s="1416"/>
      <c r="AB51" s="1416"/>
      <c r="AC51" s="1416"/>
    </row>
    <row r="52" spans="1:29" s="116" customFormat="1" ht="15.75" thickBot="1">
      <c r="A52" s="517"/>
      <c r="B52" s="506"/>
      <c r="C52" s="634">
        <v>100</v>
      </c>
      <c r="D52" s="508"/>
      <c r="E52" s="508"/>
      <c r="F52" s="508"/>
      <c r="G52" s="508"/>
      <c r="H52" s="508"/>
      <c r="I52" s="508"/>
      <c r="J52" s="508"/>
      <c r="K52" s="508"/>
      <c r="L52" s="508"/>
      <c r="M52" s="510"/>
      <c r="N52" s="1147"/>
      <c r="O52" s="1147"/>
      <c r="P52" s="1417"/>
      <c r="Q52" s="1412"/>
      <c r="R52" s="1416"/>
      <c r="S52" s="1416"/>
      <c r="T52" s="1416"/>
      <c r="U52" s="1416"/>
      <c r="V52" s="1416"/>
      <c r="W52" s="1416"/>
      <c r="X52" s="1416"/>
      <c r="Y52" s="1416"/>
      <c r="Z52" s="1416"/>
      <c r="AA52" s="1416"/>
      <c r="AB52" s="1416"/>
      <c r="AC52" s="1416"/>
    </row>
    <row r="53" spans="1:29">
      <c r="A53" s="523" t="s">
        <v>2585</v>
      </c>
      <c r="B53" s="524" t="s">
        <v>2551</v>
      </c>
      <c r="C53" s="525">
        <f>C9</f>
        <v>0</v>
      </c>
      <c r="D53" s="526"/>
      <c r="E53" s="526"/>
      <c r="F53" s="526"/>
      <c r="G53" s="526"/>
      <c r="H53" s="526"/>
      <c r="I53" s="526"/>
      <c r="J53" s="526"/>
      <c r="K53" s="527"/>
      <c r="L53" s="528"/>
      <c r="M53" s="529"/>
      <c r="N53" s="1148"/>
      <c r="O53" s="1148"/>
      <c r="P53" s="1418"/>
      <c r="Q53" s="1412"/>
      <c r="R53" s="1140"/>
      <c r="S53" s="1140"/>
      <c r="T53" s="1140"/>
      <c r="U53" s="1140"/>
      <c r="V53" s="1140"/>
      <c r="W53" s="1140"/>
      <c r="X53" s="1140"/>
      <c r="Y53" s="1140"/>
      <c r="Z53" s="1140"/>
      <c r="AA53" s="1140"/>
      <c r="AB53" s="1140"/>
      <c r="AC53" s="1140"/>
    </row>
    <row r="54" spans="1:29" ht="15.75" thickBot="1">
      <c r="A54" s="530"/>
      <c r="B54" s="531"/>
      <c r="C54" s="532">
        <v>100</v>
      </c>
      <c r="D54" s="532"/>
      <c r="E54" s="532"/>
      <c r="F54" s="532"/>
      <c r="G54" s="532"/>
      <c r="H54" s="532"/>
      <c r="I54" s="532"/>
      <c r="J54" s="532"/>
      <c r="K54" s="532"/>
      <c r="L54" s="532"/>
      <c r="M54" s="533"/>
      <c r="N54" s="1149"/>
      <c r="O54" s="1149"/>
      <c r="P54" s="1418"/>
      <c r="Q54" s="1412"/>
      <c r="R54" s="1140"/>
      <c r="S54" s="1140"/>
      <c r="T54" s="1140"/>
      <c r="U54" s="1140"/>
      <c r="V54" s="1140"/>
      <c r="W54" s="1140"/>
      <c r="X54" s="1140"/>
      <c r="Y54" s="1140"/>
      <c r="Z54" s="1140"/>
      <c r="AA54" s="1140"/>
      <c r="AB54" s="1140"/>
      <c r="AC54" s="1140"/>
    </row>
    <row r="55" spans="1:29" ht="27.75" thickTop="1">
      <c r="A55" s="530"/>
      <c r="B55" s="534" t="s">
        <v>2554</v>
      </c>
      <c r="C55" s="535" t="s">
        <v>2586</v>
      </c>
      <c r="D55" s="535" t="s">
        <v>2587</v>
      </c>
      <c r="E55" s="535" t="s">
        <v>2588</v>
      </c>
      <c r="F55" s="535" t="s">
        <v>2589</v>
      </c>
      <c r="G55" s="535" t="s">
        <v>2590</v>
      </c>
      <c r="H55" s="535" t="s">
        <v>2591</v>
      </c>
      <c r="I55" s="535" t="s">
        <v>2592</v>
      </c>
      <c r="J55" s="535"/>
      <c r="K55" s="536"/>
      <c r="L55" s="537"/>
      <c r="M55" s="538"/>
      <c r="N55" s="1148"/>
      <c r="O55" s="1148"/>
      <c r="P55" s="1418"/>
      <c r="Q55" s="1412"/>
      <c r="R55" s="1140"/>
      <c r="S55" s="1140"/>
      <c r="T55" s="1140"/>
      <c r="U55" s="1140"/>
      <c r="V55" s="1140"/>
      <c r="W55" s="1140"/>
      <c r="X55" s="1140"/>
      <c r="Y55" s="1140"/>
      <c r="Z55" s="1140"/>
      <c r="AA55" s="1140"/>
      <c r="AB55" s="1140"/>
      <c r="AC55" s="1140"/>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49"/>
      <c r="O56" s="1149"/>
      <c r="P56" s="1418"/>
      <c r="Q56" s="1412"/>
      <c r="R56" s="1140"/>
      <c r="S56" s="1140"/>
      <c r="T56" s="1140"/>
      <c r="U56" s="1140"/>
      <c r="V56" s="1140"/>
      <c r="W56" s="1140"/>
      <c r="X56" s="1140"/>
      <c r="Y56" s="1140"/>
      <c r="Z56" s="1140"/>
      <c r="AA56" s="1140"/>
      <c r="AB56" s="1140"/>
      <c r="AC56" s="1140"/>
    </row>
    <row r="57" spans="1:29" ht="15.75" thickTop="1">
      <c r="A57" s="530"/>
      <c r="B57" s="655">
        <f>B11</f>
        <v>111</v>
      </c>
      <c r="C57" s="545"/>
      <c r="D57" s="545"/>
      <c r="E57" s="545"/>
      <c r="F57" s="545"/>
      <c r="G57" s="545"/>
      <c r="H57" s="545"/>
      <c r="I57" s="545"/>
      <c r="J57" s="545"/>
      <c r="K57" s="546"/>
      <c r="L57" s="547"/>
      <c r="M57" s="548"/>
      <c r="N57" s="1148"/>
      <c r="O57" s="1148"/>
      <c r="P57" s="1418"/>
      <c r="Q57" s="1412"/>
      <c r="R57" s="1140"/>
      <c r="S57" s="1140"/>
      <c r="T57" s="1140"/>
      <c r="U57" s="1140"/>
      <c r="V57" s="1140"/>
      <c r="W57" s="1140"/>
      <c r="X57" s="1140"/>
      <c r="Y57" s="1140"/>
      <c r="Z57" s="1140"/>
      <c r="AA57" s="1140"/>
      <c r="AB57" s="1140"/>
      <c r="AC57" s="1140"/>
    </row>
    <row r="58" spans="1:29" ht="15.75" thickBot="1">
      <c r="A58" s="530"/>
      <c r="B58" s="531"/>
      <c r="C58" s="556"/>
      <c r="D58" s="532"/>
      <c r="E58" s="532"/>
      <c r="F58" s="532"/>
      <c r="G58" s="532"/>
      <c r="H58" s="532"/>
      <c r="I58" s="532"/>
      <c r="J58" s="532"/>
      <c r="K58" s="532"/>
      <c r="L58" s="532"/>
      <c r="M58" s="533"/>
      <c r="N58" s="1149"/>
      <c r="O58" s="1149"/>
      <c r="P58" s="1418"/>
      <c r="Q58" s="1412"/>
      <c r="R58" s="1140"/>
      <c r="S58" s="1140"/>
      <c r="T58" s="1140"/>
      <c r="U58" s="1140"/>
      <c r="V58" s="1140"/>
      <c r="W58" s="1140"/>
      <c r="X58" s="1140"/>
      <c r="Y58" s="1140"/>
      <c r="Z58" s="1140"/>
      <c r="AA58" s="1140"/>
      <c r="AB58" s="1140"/>
      <c r="AC58" s="1140"/>
    </row>
    <row r="59" spans="1:29" s="467" customFormat="1" ht="15.75" thickTop="1">
      <c r="A59" s="549"/>
      <c r="B59" s="534">
        <f>B12</f>
        <v>111</v>
      </c>
      <c r="C59" s="545"/>
      <c r="D59" s="545"/>
      <c r="E59" s="545"/>
      <c r="F59" s="545"/>
      <c r="G59" s="550"/>
      <c r="H59" s="551"/>
      <c r="I59" s="551"/>
      <c r="J59" s="551"/>
      <c r="K59" s="551"/>
      <c r="L59" s="552"/>
      <c r="M59" s="553"/>
      <c r="N59" s="1150"/>
      <c r="O59" s="1150"/>
      <c r="P59" s="1419"/>
      <c r="Q59" s="1420"/>
      <c r="R59" s="1421"/>
      <c r="S59" s="1421"/>
      <c r="T59" s="1421"/>
      <c r="U59" s="1421"/>
      <c r="V59" s="1421"/>
      <c r="W59" s="1421"/>
      <c r="X59" s="1421"/>
      <c r="Y59" s="1421"/>
      <c r="Z59" s="1421"/>
      <c r="AA59" s="1421"/>
      <c r="AB59" s="1421"/>
      <c r="AC59" s="1421"/>
    </row>
    <row r="60" spans="1:29" s="467" customFormat="1" ht="15.75" thickBot="1">
      <c r="A60" s="549"/>
      <c r="B60" s="539"/>
      <c r="C60" s="556"/>
      <c r="D60" s="532"/>
      <c r="E60" s="532"/>
      <c r="F60" s="532"/>
      <c r="G60" s="532"/>
      <c r="H60" s="532"/>
      <c r="I60" s="532"/>
      <c r="J60" s="532"/>
      <c r="K60" s="532"/>
      <c r="L60" s="532"/>
      <c r="M60" s="533"/>
      <c r="N60" s="1149"/>
      <c r="O60" s="1149"/>
      <c r="P60" s="1419"/>
      <c r="Q60" s="1420"/>
      <c r="R60" s="1421"/>
      <c r="S60" s="1421"/>
      <c r="T60" s="1421"/>
      <c r="U60" s="1421"/>
      <c r="V60" s="1421"/>
      <c r="W60" s="1421"/>
      <c r="X60" s="1421"/>
      <c r="Y60" s="1421"/>
      <c r="Z60" s="1421"/>
      <c r="AA60" s="1421"/>
      <c r="AB60" s="1421"/>
      <c r="AC60" s="1421"/>
    </row>
    <row r="61" spans="1:29" s="467" customFormat="1" ht="15.75" thickTop="1">
      <c r="A61" s="549"/>
      <c r="B61" s="534">
        <f>B13</f>
        <v>111</v>
      </c>
      <c r="C61" s="550"/>
      <c r="D61" s="550"/>
      <c r="E61" s="550"/>
      <c r="F61" s="550"/>
      <c r="G61" s="550"/>
      <c r="H61" s="551"/>
      <c r="I61" s="551"/>
      <c r="J61" s="551"/>
      <c r="K61" s="551"/>
      <c r="L61" s="552"/>
      <c r="M61" s="553"/>
      <c r="N61" s="1150"/>
      <c r="O61" s="1150"/>
      <c r="P61" s="1422"/>
      <c r="Q61" s="1423"/>
      <c r="R61" s="1421"/>
      <c r="S61" s="1421"/>
      <c r="T61" s="1421"/>
      <c r="U61" s="1421"/>
      <c r="V61" s="1421"/>
      <c r="W61" s="1421"/>
      <c r="X61" s="1421"/>
      <c r="Y61" s="1421"/>
      <c r="Z61" s="1421"/>
      <c r="AA61" s="1421"/>
      <c r="AB61" s="1421"/>
      <c r="AC61" s="1421"/>
    </row>
    <row r="62" spans="1:29" s="467" customFormat="1" ht="15.75" thickBot="1">
      <c r="A62" s="549"/>
      <c r="B62" s="539"/>
      <c r="C62" s="556"/>
      <c r="D62" s="556"/>
      <c r="E62" s="556"/>
      <c r="F62" s="556"/>
      <c r="G62" s="556"/>
      <c r="H62" s="558"/>
      <c r="I62" s="558"/>
      <c r="J62" s="558"/>
      <c r="K62" s="558"/>
      <c r="L62" s="558"/>
      <c r="M62" s="559"/>
      <c r="N62" s="1150"/>
      <c r="O62" s="1150"/>
      <c r="P62" s="1419"/>
      <c r="Q62" s="1420"/>
      <c r="R62" s="1421"/>
      <c r="S62" s="1421"/>
      <c r="T62" s="1421"/>
      <c r="U62" s="1421"/>
      <c r="V62" s="1421"/>
      <c r="W62" s="1421"/>
      <c r="X62" s="1421"/>
      <c r="Y62" s="1421"/>
      <c r="Z62" s="1421"/>
      <c r="AA62" s="1421"/>
      <c r="AB62" s="1421"/>
      <c r="AC62" s="1421"/>
    </row>
    <row r="63" spans="1:29" ht="15" thickTop="1">
      <c r="A63" s="523" t="s">
        <v>2556</v>
      </c>
      <c r="B63" s="524" t="s">
        <v>2599</v>
      </c>
      <c r="C63" s="569" t="s">
        <v>2594</v>
      </c>
      <c r="D63" s="569" t="s">
        <v>2595</v>
      </c>
      <c r="E63" s="569" t="s">
        <v>2596</v>
      </c>
      <c r="F63" s="569" t="s">
        <v>2597</v>
      </c>
      <c r="G63" s="569" t="s">
        <v>2598</v>
      </c>
      <c r="H63" s="525"/>
      <c r="I63" s="525"/>
      <c r="J63" s="525"/>
      <c r="K63" s="570"/>
      <c r="L63" s="571"/>
      <c r="M63" s="572"/>
      <c r="N63" s="1148"/>
      <c r="O63" s="1148"/>
      <c r="P63" s="1424"/>
      <c r="Q63" s="1412"/>
      <c r="R63" s="1140"/>
      <c r="S63" s="1140"/>
      <c r="T63" s="1140"/>
      <c r="U63" s="1140"/>
      <c r="V63" s="1140"/>
      <c r="W63" s="1140"/>
      <c r="X63" s="1140"/>
      <c r="Y63" s="1140"/>
      <c r="Z63" s="1140"/>
      <c r="AA63" s="1140"/>
      <c r="AB63" s="1140"/>
      <c r="AC63" s="1140"/>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49"/>
      <c r="O64" s="1149"/>
      <c r="P64" s="1418"/>
      <c r="Q64" s="1412"/>
      <c r="R64" s="1140"/>
      <c r="S64" s="1140"/>
      <c r="T64" s="1140"/>
      <c r="U64" s="1140"/>
      <c r="V64" s="1140"/>
      <c r="W64" s="1140"/>
      <c r="X64" s="1140"/>
      <c r="Y64" s="1140"/>
      <c r="Z64" s="1140"/>
      <c r="AA64" s="1140"/>
      <c r="AB64" s="1140"/>
      <c r="AC64" s="1140"/>
    </row>
    <row r="65" spans="1:29" ht="15.75" thickTop="1">
      <c r="A65" s="530"/>
      <c r="B65" s="534" t="s">
        <v>2600</v>
      </c>
      <c r="C65" s="574" t="s">
        <v>2594</v>
      </c>
      <c r="D65" s="574" t="s">
        <v>2595</v>
      </c>
      <c r="E65" s="574" t="s">
        <v>2596</v>
      </c>
      <c r="F65" s="574" t="s">
        <v>2597</v>
      </c>
      <c r="G65" s="574" t="s">
        <v>2598</v>
      </c>
      <c r="H65" s="535"/>
      <c r="I65" s="535"/>
      <c r="J65" s="535"/>
      <c r="K65" s="536"/>
      <c r="L65" s="537"/>
      <c r="M65" s="538"/>
      <c r="N65" s="1148"/>
      <c r="O65" s="1148"/>
      <c r="P65" s="1418"/>
      <c r="Q65" s="1412"/>
      <c r="R65" s="1140"/>
      <c r="S65" s="1140"/>
      <c r="T65" s="1140"/>
      <c r="U65" s="1140"/>
      <c r="V65" s="1140"/>
      <c r="W65" s="1140"/>
      <c r="X65" s="1140"/>
      <c r="Y65" s="1140"/>
      <c r="Z65" s="1140"/>
      <c r="AA65" s="1140"/>
      <c r="AB65" s="1140"/>
      <c r="AC65" s="1140"/>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49"/>
      <c r="O66" s="1149"/>
      <c r="P66" s="1418"/>
      <c r="Q66" s="1412"/>
      <c r="R66" s="1140"/>
      <c r="S66" s="1140"/>
      <c r="T66" s="1140"/>
      <c r="U66" s="1140"/>
      <c r="V66" s="1140"/>
      <c r="W66" s="1140"/>
      <c r="X66" s="1140"/>
      <c r="Y66" s="1140"/>
      <c r="Z66" s="1140"/>
      <c r="AA66" s="1140"/>
      <c r="AB66" s="1140"/>
      <c r="AC66" s="1140"/>
    </row>
    <row r="67" spans="1:29" ht="15.75" thickTop="1">
      <c r="A67" s="530"/>
      <c r="B67" s="542" t="s">
        <v>2686</v>
      </c>
      <c r="C67" s="655" t="s">
        <v>2672</v>
      </c>
      <c r="D67" s="655" t="s">
        <v>2673</v>
      </c>
      <c r="E67" s="655" t="s">
        <v>2674</v>
      </c>
      <c r="F67" s="655" t="s">
        <v>2675</v>
      </c>
      <c r="G67" s="655" t="s">
        <v>2676</v>
      </c>
      <c r="H67" s="535"/>
      <c r="I67" s="535"/>
      <c r="J67" s="535"/>
      <c r="K67" s="535"/>
      <c r="L67" s="535"/>
      <c r="M67" s="1371"/>
      <c r="N67" s="1149"/>
      <c r="O67" s="1149"/>
      <c r="P67" s="1418"/>
      <c r="Q67" s="1412"/>
      <c r="R67" s="1140"/>
      <c r="S67" s="1140"/>
      <c r="T67" s="1140"/>
      <c r="U67" s="1140"/>
      <c r="V67" s="1140"/>
      <c r="W67" s="1140"/>
      <c r="X67" s="1140"/>
      <c r="Y67" s="1140"/>
      <c r="Z67" s="1140"/>
      <c r="AA67" s="1140"/>
      <c r="AB67" s="1140"/>
      <c r="AC67" s="1140"/>
    </row>
    <row r="68" spans="1:29" ht="15.75" thickBot="1">
      <c r="A68" s="530"/>
      <c r="B68" s="542"/>
      <c r="C68" s="540">
        <v>100</v>
      </c>
      <c r="D68" s="540">
        <f>C68-$K18</f>
        <v>100</v>
      </c>
      <c r="E68" s="540">
        <f>D68-$K18</f>
        <v>100</v>
      </c>
      <c r="F68" s="540">
        <f>E68-$K18</f>
        <v>100</v>
      </c>
      <c r="G68" s="540">
        <f>F68-$K18</f>
        <v>100</v>
      </c>
      <c r="H68" s="655"/>
      <c r="I68" s="655"/>
      <c r="J68" s="655"/>
      <c r="K68" s="655"/>
      <c r="L68" s="655"/>
      <c r="M68" s="446"/>
      <c r="N68" s="1149"/>
      <c r="O68" s="1149"/>
      <c r="P68" s="1418"/>
      <c r="Q68" s="1412"/>
      <c r="R68" s="1140"/>
      <c r="S68" s="1140"/>
      <c r="T68" s="1140"/>
      <c r="U68" s="1140"/>
      <c r="V68" s="1140"/>
      <c r="W68" s="1140"/>
      <c r="X68" s="1140"/>
      <c r="Y68" s="1140"/>
      <c r="Z68" s="1140"/>
      <c r="AA68" s="1140"/>
      <c r="AB68" s="1140"/>
      <c r="AC68" s="1140"/>
    </row>
    <row r="69" spans="1:29" ht="15.75" thickTop="1">
      <c r="A69" s="530"/>
      <c r="B69" s="534" t="s">
        <v>2606</v>
      </c>
      <c r="C69" s="574" t="s">
        <v>2594</v>
      </c>
      <c r="D69" s="574" t="s">
        <v>2595</v>
      </c>
      <c r="E69" s="574" t="s">
        <v>2596</v>
      </c>
      <c r="F69" s="574" t="s">
        <v>2597</v>
      </c>
      <c r="G69" s="574" t="s">
        <v>2598</v>
      </c>
      <c r="H69" s="535"/>
      <c r="I69" s="535"/>
      <c r="J69" s="535"/>
      <c r="K69" s="536"/>
      <c r="L69" s="537"/>
      <c r="M69" s="538"/>
      <c r="N69" s="1148"/>
      <c r="O69" s="1148"/>
      <c r="P69" s="1418"/>
      <c r="Q69" s="1412"/>
      <c r="R69" s="1140"/>
      <c r="S69" s="1140"/>
      <c r="T69" s="1140"/>
      <c r="U69" s="1140"/>
      <c r="V69" s="1140"/>
      <c r="W69" s="1140"/>
      <c r="X69" s="1140"/>
      <c r="Y69" s="1140"/>
      <c r="Z69" s="1140"/>
      <c r="AA69" s="1140"/>
      <c r="AB69" s="1140"/>
      <c r="AC69" s="1140"/>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49"/>
      <c r="O70" s="1149"/>
      <c r="P70" s="1418"/>
      <c r="Q70" s="1412"/>
      <c r="R70" s="1140"/>
      <c r="S70" s="1140"/>
      <c r="T70" s="1140"/>
      <c r="U70" s="1140"/>
      <c r="V70" s="1140"/>
      <c r="W70" s="1140"/>
      <c r="X70" s="1140"/>
      <c r="Y70" s="1140"/>
      <c r="Z70" s="1140"/>
      <c r="AA70" s="1140"/>
      <c r="AB70" s="1140"/>
      <c r="AC70" s="1140"/>
    </row>
    <row r="71" spans="1:29" ht="15.75" thickTop="1">
      <c r="A71" s="530"/>
      <c r="B71" s="534" t="s">
        <v>2726</v>
      </c>
      <c r="C71" s="550"/>
      <c r="D71" s="550"/>
      <c r="E71" s="550"/>
      <c r="F71" s="550"/>
      <c r="G71" s="550"/>
      <c r="H71" s="579"/>
      <c r="I71" s="579"/>
      <c r="J71" s="579"/>
      <c r="K71" s="580"/>
      <c r="L71" s="581"/>
      <c r="M71" s="582"/>
      <c r="N71" s="1148"/>
      <c r="O71" s="1148"/>
      <c r="P71" s="1418"/>
      <c r="Q71" s="1412"/>
      <c r="R71" s="1140"/>
      <c r="S71" s="1140"/>
      <c r="T71" s="1140"/>
      <c r="U71" s="1140"/>
      <c r="V71" s="1140"/>
      <c r="W71" s="1140"/>
      <c r="X71" s="1140"/>
      <c r="Y71" s="1140"/>
      <c r="Z71" s="1140"/>
      <c r="AA71" s="1140"/>
      <c r="AB71" s="1140"/>
      <c r="AC71" s="1140"/>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49"/>
      <c r="O72" s="1149"/>
      <c r="P72" s="1418"/>
      <c r="Q72" s="1412"/>
      <c r="R72" s="1140"/>
      <c r="S72" s="1140"/>
      <c r="T72" s="1140"/>
      <c r="U72" s="1140"/>
      <c r="V72" s="1140"/>
      <c r="W72" s="1140"/>
      <c r="X72" s="1140"/>
      <c r="Y72" s="1140"/>
      <c r="Z72" s="1140"/>
      <c r="AA72" s="1140"/>
      <c r="AB72" s="1140"/>
      <c r="AC72" s="1140"/>
    </row>
    <row r="73" spans="1:29" s="116" customFormat="1" ht="15.75" thickTop="1">
      <c r="A73" s="575"/>
      <c r="B73" s="534">
        <f>B23</f>
        <v>111</v>
      </c>
      <c r="C73" s="545"/>
      <c r="D73" s="545"/>
      <c r="E73" s="545"/>
      <c r="F73" s="545"/>
      <c r="G73" s="550"/>
      <c r="H73" s="550"/>
      <c r="I73" s="550"/>
      <c r="J73" s="550"/>
      <c r="K73" s="550"/>
      <c r="L73" s="576"/>
      <c r="M73" s="577"/>
      <c r="N73" s="1147"/>
      <c r="O73" s="1147"/>
      <c r="P73" s="1418"/>
      <c r="Q73" s="1412"/>
      <c r="R73" s="1416"/>
      <c r="S73" s="1416"/>
      <c r="T73" s="1416"/>
      <c r="U73" s="1416"/>
      <c r="V73" s="1416"/>
      <c r="W73" s="1416"/>
      <c r="X73" s="1416"/>
      <c r="Y73" s="1416"/>
      <c r="Z73" s="1416"/>
      <c r="AA73" s="1416"/>
      <c r="AB73" s="1416"/>
      <c r="AC73" s="1416"/>
    </row>
    <row r="74" spans="1:29" s="116" customFormat="1" ht="15.75" thickBot="1">
      <c r="A74" s="575"/>
      <c r="B74" s="539"/>
      <c r="C74" s="556"/>
      <c r="D74" s="532"/>
      <c r="E74" s="532"/>
      <c r="F74" s="532"/>
      <c r="G74" s="532"/>
      <c r="H74" s="532"/>
      <c r="I74" s="532"/>
      <c r="J74" s="532"/>
      <c r="K74" s="532"/>
      <c r="L74" s="532"/>
      <c r="M74" s="533"/>
      <c r="N74" s="1149"/>
      <c r="O74" s="1149"/>
      <c r="P74" s="1418"/>
      <c r="Q74" s="1412"/>
      <c r="R74" s="1416"/>
      <c r="S74" s="1416"/>
      <c r="T74" s="1416"/>
      <c r="U74" s="1416"/>
      <c r="V74" s="1416"/>
      <c r="W74" s="1416"/>
      <c r="X74" s="1416"/>
      <c r="Y74" s="1416"/>
      <c r="Z74" s="1416"/>
      <c r="AA74" s="1416"/>
      <c r="AB74" s="1416"/>
      <c r="AC74" s="1416"/>
    </row>
    <row r="75" spans="1:29" s="116" customFormat="1" ht="15.75" thickTop="1">
      <c r="A75" s="575"/>
      <c r="B75" s="534">
        <f>B24</f>
        <v>111</v>
      </c>
      <c r="C75" s="545"/>
      <c r="D75" s="545"/>
      <c r="E75" s="545"/>
      <c r="F75" s="545"/>
      <c r="G75" s="550"/>
      <c r="H75" s="550"/>
      <c r="I75" s="550"/>
      <c r="J75" s="550"/>
      <c r="K75" s="550"/>
      <c r="L75" s="550"/>
      <c r="M75" s="577"/>
      <c r="N75" s="1147"/>
      <c r="O75" s="1147"/>
      <c r="P75" s="1418"/>
      <c r="Q75" s="1412"/>
      <c r="R75" s="1416"/>
      <c r="S75" s="1416"/>
      <c r="T75" s="1416"/>
      <c r="U75" s="1416"/>
      <c r="V75" s="1416"/>
      <c r="W75" s="1416"/>
      <c r="X75" s="1416"/>
      <c r="Y75" s="1416"/>
      <c r="Z75" s="1416"/>
      <c r="AA75" s="1416"/>
      <c r="AB75" s="1416"/>
      <c r="AC75" s="1416"/>
    </row>
    <row r="76" spans="1:29" s="116" customFormat="1" ht="15.75" thickBot="1">
      <c r="A76" s="575"/>
      <c r="B76" s="539"/>
      <c r="C76" s="556"/>
      <c r="D76" s="532"/>
      <c r="E76" s="532"/>
      <c r="F76" s="532"/>
      <c r="G76" s="532"/>
      <c r="H76" s="532"/>
      <c r="I76" s="532"/>
      <c r="J76" s="532"/>
      <c r="K76" s="532"/>
      <c r="L76" s="532"/>
      <c r="M76" s="533"/>
      <c r="N76" s="1149"/>
      <c r="O76" s="1149"/>
      <c r="P76" s="1418"/>
      <c r="Q76" s="1412"/>
      <c r="R76" s="1416"/>
      <c r="S76" s="1416"/>
      <c r="T76" s="1416"/>
      <c r="U76" s="1416"/>
      <c r="V76" s="1416"/>
      <c r="W76" s="1416"/>
      <c r="X76" s="1416"/>
      <c r="Y76" s="1416"/>
      <c r="Z76" s="1416"/>
      <c r="AA76" s="1416"/>
      <c r="AB76" s="1416"/>
      <c r="AC76" s="1416"/>
    </row>
    <row r="77" spans="1:29" s="467" customFormat="1" ht="15.75" thickTop="1">
      <c r="A77" s="549"/>
      <c r="B77" s="534">
        <f>B25</f>
        <v>111</v>
      </c>
      <c r="C77" s="550"/>
      <c r="D77" s="550"/>
      <c r="E77" s="550"/>
      <c r="F77" s="550"/>
      <c r="G77" s="550"/>
      <c r="H77" s="551"/>
      <c r="I77" s="551"/>
      <c r="J77" s="551"/>
      <c r="K77" s="551"/>
      <c r="L77" s="552"/>
      <c r="M77" s="553"/>
      <c r="N77" s="1150"/>
      <c r="O77" s="1150"/>
      <c r="P77" s="1419"/>
      <c r="Q77" s="1420"/>
      <c r="R77" s="1421"/>
      <c r="S77" s="1421"/>
      <c r="T77" s="1421"/>
      <c r="U77" s="1421"/>
      <c r="V77" s="1421"/>
      <c r="W77" s="1421"/>
      <c r="X77" s="1421"/>
      <c r="Y77" s="1421"/>
      <c r="Z77" s="1421"/>
      <c r="AA77" s="1421"/>
      <c r="AB77" s="1421"/>
      <c r="AC77" s="1421"/>
    </row>
    <row r="78" spans="1:29" s="467" customFormat="1" ht="15.75" thickBot="1">
      <c r="A78" s="549"/>
      <c r="B78" s="539"/>
      <c r="C78" s="556"/>
      <c r="D78" s="556"/>
      <c r="E78" s="556"/>
      <c r="F78" s="556"/>
      <c r="G78" s="532"/>
      <c r="H78" s="532"/>
      <c r="I78" s="532"/>
      <c r="J78" s="532"/>
      <c r="K78" s="532"/>
      <c r="L78" s="532"/>
      <c r="M78" s="533"/>
      <c r="N78" s="1150"/>
      <c r="O78" s="1150"/>
      <c r="P78" s="1419"/>
      <c r="Q78" s="1420"/>
      <c r="R78" s="1421"/>
      <c r="S78" s="1421"/>
      <c r="T78" s="1421"/>
      <c r="U78" s="1421"/>
      <c r="V78" s="1421"/>
      <c r="W78" s="1421"/>
      <c r="X78" s="1421"/>
      <c r="Y78" s="1421"/>
      <c r="Z78" s="1421"/>
      <c r="AA78" s="1421"/>
      <c r="AB78" s="1421"/>
      <c r="AC78" s="1421"/>
    </row>
    <row r="79" spans="1:29" ht="27.75" thickTop="1">
      <c r="A79" s="523" t="s">
        <v>2560</v>
      </c>
      <c r="B79" s="524" t="s">
        <v>2727</v>
      </c>
      <c r="C79" s="525">
        <f>C26</f>
        <v>0</v>
      </c>
      <c r="D79" s="526"/>
      <c r="E79" s="526"/>
      <c r="F79" s="526"/>
      <c r="G79" s="526"/>
      <c r="H79" s="526"/>
      <c r="I79" s="526"/>
      <c r="J79" s="526"/>
      <c r="K79" s="527"/>
      <c r="L79" s="528"/>
      <c r="M79" s="529"/>
      <c r="N79" s="1148"/>
      <c r="O79" s="1148"/>
      <c r="P79" s="1418"/>
      <c r="Q79" s="1412"/>
      <c r="R79" s="1140"/>
      <c r="S79" s="1140"/>
      <c r="T79" s="1140"/>
      <c r="U79" s="1140"/>
      <c r="V79" s="1140"/>
      <c r="W79" s="1140"/>
      <c r="X79" s="1140"/>
      <c r="Y79" s="1140"/>
      <c r="Z79" s="1140"/>
      <c r="AA79" s="1140"/>
      <c r="AB79" s="1140"/>
      <c r="AC79" s="1140"/>
    </row>
    <row r="80" spans="1:29" ht="15.75" thickBot="1">
      <c r="A80" s="530"/>
      <c r="B80" s="539"/>
      <c r="C80" s="540">
        <v>100</v>
      </c>
      <c r="D80" s="540">
        <f t="shared" ref="D80:M80" si="14">C80-$K26</f>
        <v>100</v>
      </c>
      <c r="E80" s="540">
        <f t="shared" si="14"/>
        <v>100</v>
      </c>
      <c r="F80" s="540">
        <f t="shared" si="14"/>
        <v>100</v>
      </c>
      <c r="G80" s="540">
        <f t="shared" si="14"/>
        <v>100</v>
      </c>
      <c r="H80" s="540">
        <f t="shared" si="14"/>
        <v>100</v>
      </c>
      <c r="I80" s="540">
        <f t="shared" si="14"/>
        <v>100</v>
      </c>
      <c r="J80" s="540">
        <f t="shared" si="14"/>
        <v>100</v>
      </c>
      <c r="K80" s="540">
        <f t="shared" si="14"/>
        <v>100</v>
      </c>
      <c r="L80" s="540">
        <f t="shared" si="14"/>
        <v>100</v>
      </c>
      <c r="M80" s="541">
        <f t="shared" si="14"/>
        <v>100</v>
      </c>
      <c r="N80" s="1149"/>
      <c r="O80" s="1149"/>
      <c r="P80" s="1418"/>
      <c r="Q80" s="1412"/>
      <c r="R80" s="1140"/>
      <c r="S80" s="1140"/>
      <c r="T80" s="1140"/>
      <c r="U80" s="1140"/>
      <c r="V80" s="1140"/>
      <c r="W80" s="1140"/>
      <c r="X80" s="1140"/>
      <c r="Y80" s="1140"/>
      <c r="Z80" s="1140"/>
      <c r="AA80" s="1140"/>
      <c r="AB80" s="1140"/>
      <c r="AC80" s="1140"/>
    </row>
    <row r="81" spans="1:29" ht="15.75" thickTop="1">
      <c r="A81" s="530"/>
      <c r="B81" s="534" t="s">
        <v>2728</v>
      </c>
      <c r="C81" s="656"/>
      <c r="D81" s="656"/>
      <c r="E81" s="656"/>
      <c r="F81" s="656"/>
      <c r="G81" s="656"/>
      <c r="H81" s="656"/>
      <c r="I81" s="656"/>
      <c r="J81" s="656"/>
      <c r="K81" s="657"/>
      <c r="L81" s="658"/>
      <c r="M81" s="659"/>
      <c r="N81" s="1147"/>
      <c r="O81" s="1147"/>
      <c r="P81" s="1418"/>
      <c r="Q81" s="1412"/>
      <c r="R81" s="1140"/>
      <c r="S81" s="1140"/>
      <c r="T81" s="1140"/>
      <c r="U81" s="1140"/>
      <c r="V81" s="1140"/>
      <c r="W81" s="1140"/>
      <c r="X81" s="1140"/>
      <c r="Y81" s="1140"/>
      <c r="Z81" s="1140"/>
      <c r="AA81" s="1140"/>
      <c r="AB81" s="1140"/>
      <c r="AC81" s="1140"/>
    </row>
    <row r="82" spans="1:29" s="467" customFormat="1" ht="15.75" thickBot="1">
      <c r="A82" s="549"/>
      <c r="B82" s="539"/>
      <c r="C82" s="556"/>
      <c r="D82" s="532"/>
      <c r="E82" s="532"/>
      <c r="F82" s="532"/>
      <c r="G82" s="532"/>
      <c r="H82" s="532"/>
      <c r="I82" s="532"/>
      <c r="J82" s="532"/>
      <c r="K82" s="532"/>
      <c r="L82" s="532"/>
      <c r="M82" s="533"/>
      <c r="N82" s="1149"/>
      <c r="O82" s="1149"/>
      <c r="P82" s="1419"/>
      <c r="Q82" s="1420"/>
      <c r="R82" s="1421"/>
      <c r="S82" s="1421"/>
      <c r="T82" s="1421"/>
      <c r="U82" s="1421"/>
      <c r="V82" s="1421"/>
      <c r="W82" s="1421"/>
      <c r="X82" s="1421"/>
      <c r="Y82" s="1421"/>
      <c r="Z82" s="1421"/>
      <c r="AA82" s="1421"/>
      <c r="AB82" s="1421"/>
      <c r="AC82" s="1421"/>
    </row>
    <row r="83" spans="1:29" ht="15" thickTop="1">
      <c r="A83" s="595"/>
      <c r="B83" s="534" t="s">
        <v>2613</v>
      </c>
      <c r="C83" s="550"/>
      <c r="D83" s="550"/>
      <c r="E83" s="579"/>
      <c r="F83" s="579"/>
      <c r="G83" s="579"/>
      <c r="H83" s="579"/>
      <c r="I83" s="579"/>
      <c r="J83" s="579"/>
      <c r="K83" s="580"/>
      <c r="L83" s="581"/>
      <c r="M83" s="582"/>
      <c r="N83" s="1148"/>
      <c r="O83" s="1148"/>
      <c r="P83" s="1418"/>
      <c r="Q83" s="1412"/>
      <c r="R83" s="1140"/>
      <c r="S83" s="1140"/>
      <c r="T83" s="1140"/>
      <c r="U83" s="1140"/>
      <c r="V83" s="1140"/>
      <c r="W83" s="1140"/>
      <c r="X83" s="1140"/>
      <c r="Y83" s="1140"/>
      <c r="Z83" s="1140"/>
      <c r="AA83" s="1140"/>
      <c r="AB83" s="1140"/>
      <c r="AC83" s="1140"/>
    </row>
    <row r="84" spans="1:29" ht="15.75" thickBot="1">
      <c r="A84" s="530"/>
      <c r="B84" s="539"/>
      <c r="C84" s="540">
        <v>100</v>
      </c>
      <c r="D84" s="540">
        <f t="shared" ref="D84:M84" si="15">C84-$K28</f>
        <v>100</v>
      </c>
      <c r="E84" s="540">
        <f t="shared" si="15"/>
        <v>100</v>
      </c>
      <c r="F84" s="540">
        <f t="shared" si="15"/>
        <v>100</v>
      </c>
      <c r="G84" s="540">
        <f t="shared" si="15"/>
        <v>100</v>
      </c>
      <c r="H84" s="540">
        <f t="shared" si="15"/>
        <v>100</v>
      </c>
      <c r="I84" s="540">
        <f t="shared" si="15"/>
        <v>100</v>
      </c>
      <c r="J84" s="540">
        <f t="shared" si="15"/>
        <v>100</v>
      </c>
      <c r="K84" s="540">
        <f t="shared" si="15"/>
        <v>100</v>
      </c>
      <c r="L84" s="540">
        <f t="shared" si="15"/>
        <v>100</v>
      </c>
      <c r="M84" s="541">
        <f t="shared" si="15"/>
        <v>100</v>
      </c>
      <c r="N84" s="1149"/>
      <c r="O84" s="1149"/>
      <c r="P84" s="1418"/>
      <c r="Q84" s="1412"/>
      <c r="R84" s="1140"/>
      <c r="S84" s="1140"/>
      <c r="T84" s="1140"/>
      <c r="U84" s="1140"/>
      <c r="V84" s="1140"/>
      <c r="W84" s="1140"/>
      <c r="X84" s="1140"/>
      <c r="Y84" s="1140"/>
      <c r="Z84" s="1140"/>
      <c r="AA84" s="1140"/>
      <c r="AB84" s="1140"/>
      <c r="AC84" s="1140"/>
    </row>
    <row r="85" spans="1:29" ht="15" thickTop="1">
      <c r="A85" s="595"/>
      <c r="B85" s="534" t="s">
        <v>2729</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8"/>
      <c r="O85" s="1148"/>
      <c r="P85" s="1418"/>
      <c r="Q85" s="1412"/>
      <c r="R85" s="1140"/>
      <c r="S85" s="1140"/>
      <c r="T85" s="1140"/>
      <c r="U85" s="1140"/>
      <c r="V85" s="1140"/>
      <c r="W85" s="1140"/>
      <c r="X85" s="1140"/>
      <c r="Y85" s="1140"/>
      <c r="Z85" s="1140"/>
      <c r="AA85" s="1140"/>
      <c r="AB85" s="1140"/>
      <c r="AC85" s="1140"/>
    </row>
    <row r="86" spans="1:29">
      <c r="A86" s="595"/>
      <c r="B86" s="542"/>
      <c r="C86" s="599">
        <v>0.5</v>
      </c>
      <c r="D86" s="599">
        <v>0.6</v>
      </c>
      <c r="E86" s="599">
        <v>0.7</v>
      </c>
      <c r="F86" s="599">
        <v>0.8</v>
      </c>
      <c r="G86" s="599">
        <v>0.9</v>
      </c>
      <c r="H86" s="599">
        <v>1.0001</v>
      </c>
      <c r="I86" s="618"/>
      <c r="J86" s="618"/>
      <c r="K86" s="619"/>
      <c r="L86" s="620"/>
      <c r="M86" s="621"/>
      <c r="N86" s="1148"/>
      <c r="O86" s="1148"/>
      <c r="P86" s="1418"/>
      <c r="Q86" s="1412"/>
      <c r="R86" s="1140"/>
      <c r="S86" s="1140"/>
      <c r="T86" s="1140"/>
      <c r="U86" s="1140"/>
      <c r="V86" s="1140"/>
      <c r="W86" s="1140"/>
      <c r="X86" s="1140"/>
      <c r="Y86" s="1140"/>
      <c r="Z86" s="1140"/>
      <c r="AA86" s="1140"/>
      <c r="AB86" s="1140"/>
      <c r="AC86" s="1140"/>
    </row>
    <row r="87" spans="1:29" ht="15.75" thickBot="1">
      <c r="A87" s="530"/>
      <c r="B87" s="539"/>
      <c r="C87" s="578">
        <v>100</v>
      </c>
      <c r="D87" s="540">
        <f>C87+$K$29</f>
        <v>100</v>
      </c>
      <c r="E87" s="540">
        <f t="shared" ref="E87:M87" si="16">D87+$K$29</f>
        <v>100</v>
      </c>
      <c r="F87" s="540">
        <f t="shared" si="16"/>
        <v>100</v>
      </c>
      <c r="G87" s="540">
        <f t="shared" si="16"/>
        <v>100</v>
      </c>
      <c r="H87" s="540">
        <f t="shared" si="16"/>
        <v>100</v>
      </c>
      <c r="I87" s="540">
        <f t="shared" si="16"/>
        <v>100</v>
      </c>
      <c r="J87" s="540">
        <f t="shared" si="16"/>
        <v>100</v>
      </c>
      <c r="K87" s="540">
        <f t="shared" si="16"/>
        <v>100</v>
      </c>
      <c r="L87" s="540">
        <f t="shared" si="16"/>
        <v>100</v>
      </c>
      <c r="M87" s="540">
        <f t="shared" si="16"/>
        <v>100</v>
      </c>
      <c r="N87" s="1149"/>
      <c r="O87" s="1149"/>
      <c r="P87" s="1418"/>
      <c r="Q87" s="1412"/>
      <c r="R87" s="1140"/>
      <c r="S87" s="1140"/>
      <c r="T87" s="1140"/>
      <c r="U87" s="1140"/>
      <c r="V87" s="1140"/>
      <c r="W87" s="1140"/>
      <c r="X87" s="1140"/>
      <c r="Y87" s="1140"/>
      <c r="Z87" s="1140"/>
      <c r="AA87" s="1140"/>
      <c r="AB87" s="1140"/>
      <c r="AC87" s="1140"/>
    </row>
    <row r="88" spans="1:29" ht="15" thickTop="1">
      <c r="A88" s="595"/>
      <c r="B88" s="542" t="s">
        <v>2730</v>
      </c>
      <c r="C88" s="526"/>
      <c r="D88" s="526"/>
      <c r="E88" s="526"/>
      <c r="F88" s="526"/>
      <c r="G88" s="526"/>
      <c r="H88" s="526"/>
      <c r="I88" s="526"/>
      <c r="J88" s="526"/>
      <c r="K88" s="527"/>
      <c r="L88" s="528"/>
      <c r="M88" s="529"/>
      <c r="N88" s="1148"/>
      <c r="O88" s="1148"/>
      <c r="P88" s="1418"/>
      <c r="Q88" s="1412"/>
      <c r="R88" s="1140"/>
      <c r="S88" s="1140"/>
      <c r="T88" s="1140"/>
      <c r="U88" s="1140"/>
      <c r="V88" s="1140"/>
      <c r="W88" s="1140"/>
      <c r="X88" s="1140"/>
      <c r="Y88" s="1140"/>
      <c r="Z88" s="1140"/>
      <c r="AA88" s="1140"/>
      <c r="AB88" s="1140"/>
      <c r="AC88" s="1140"/>
    </row>
    <row r="89" spans="1:29" ht="15.75" thickBot="1">
      <c r="A89" s="530"/>
      <c r="B89" s="539"/>
      <c r="C89" s="578">
        <v>100</v>
      </c>
      <c r="D89" s="540">
        <f t="shared" ref="D89:M89" si="17">C89+$K30</f>
        <v>100</v>
      </c>
      <c r="E89" s="540">
        <f t="shared" si="17"/>
        <v>100</v>
      </c>
      <c r="F89" s="540">
        <f t="shared" si="17"/>
        <v>100</v>
      </c>
      <c r="G89" s="540">
        <f t="shared" si="17"/>
        <v>100</v>
      </c>
      <c r="H89" s="540">
        <f t="shared" si="17"/>
        <v>100</v>
      </c>
      <c r="I89" s="540">
        <f t="shared" si="17"/>
        <v>100</v>
      </c>
      <c r="J89" s="540">
        <f t="shared" si="17"/>
        <v>100</v>
      </c>
      <c r="K89" s="540">
        <f t="shared" si="17"/>
        <v>100</v>
      </c>
      <c r="L89" s="540">
        <f t="shared" si="17"/>
        <v>100</v>
      </c>
      <c r="M89" s="540">
        <f t="shared" si="17"/>
        <v>100</v>
      </c>
      <c r="N89" s="1149"/>
      <c r="O89" s="1149"/>
      <c r="P89" s="1418"/>
      <c r="Q89" s="1412"/>
      <c r="R89" s="1140"/>
      <c r="S89" s="1140"/>
      <c r="T89" s="1140"/>
      <c r="U89" s="1140"/>
      <c r="V89" s="1140"/>
      <c r="W89" s="1140"/>
      <c r="X89" s="1140"/>
      <c r="Y89" s="1140"/>
      <c r="Z89" s="1140"/>
      <c r="AA89" s="1140"/>
      <c r="AB89" s="1140"/>
      <c r="AC89" s="1140"/>
    </row>
    <row r="90" spans="1:29" s="467" customFormat="1" ht="15" thickTop="1">
      <c r="A90" s="589"/>
      <c r="B90" s="534" t="s">
        <v>2731</v>
      </c>
      <c r="C90" s="574" t="str">
        <f>C91&amp;"(含)"&amp;"-"&amp;D91</f>
        <v>(含)-</v>
      </c>
      <c r="D90" s="574" t="str">
        <f t="shared" ref="D90:L90" si="18">D91&amp;"(含)"&amp;"-"&amp;E91</f>
        <v>(含)-</v>
      </c>
      <c r="E90" s="574" t="str">
        <f t="shared" si="18"/>
        <v>(含)-</v>
      </c>
      <c r="F90" s="574" t="str">
        <f t="shared" si="18"/>
        <v>(含)-</v>
      </c>
      <c r="G90" s="574" t="str">
        <f t="shared" si="18"/>
        <v>(含)-</v>
      </c>
      <c r="H90" s="574" t="str">
        <f t="shared" si="18"/>
        <v>(含)-</v>
      </c>
      <c r="I90" s="574" t="str">
        <f t="shared" si="18"/>
        <v>(含)-</v>
      </c>
      <c r="J90" s="574" t="str">
        <f t="shared" si="18"/>
        <v>(含)-</v>
      </c>
      <c r="K90" s="574" t="str">
        <f t="shared" si="18"/>
        <v>(含)-</v>
      </c>
      <c r="L90" s="574" t="str">
        <f t="shared" si="18"/>
        <v>(含)-</v>
      </c>
      <c r="M90" s="617" t="str">
        <f>M91&amp;"(含)"&amp;"-"&amp;P91</f>
        <v>(含)-</v>
      </c>
      <c r="N90" s="1150"/>
      <c r="O90" s="1150"/>
      <c r="P90" s="1419"/>
      <c r="Q90" s="1420"/>
      <c r="R90" s="1421"/>
      <c r="S90" s="1421"/>
      <c r="T90" s="1421"/>
      <c r="U90" s="1421"/>
      <c r="V90" s="1421"/>
      <c r="W90" s="1421"/>
      <c r="X90" s="1421"/>
      <c r="Y90" s="1421"/>
      <c r="Z90" s="1421"/>
      <c r="AA90" s="1421"/>
      <c r="AB90" s="1421"/>
      <c r="AC90" s="1421"/>
    </row>
    <row r="91" spans="1:29" s="467" customFormat="1">
      <c r="A91" s="589"/>
      <c r="B91" s="542"/>
      <c r="C91" s="591"/>
      <c r="D91" s="591"/>
      <c r="E91" s="591"/>
      <c r="F91" s="591"/>
      <c r="G91" s="591"/>
      <c r="H91" s="591"/>
      <c r="I91" s="591"/>
      <c r="J91" s="592"/>
      <c r="K91" s="592"/>
      <c r="L91" s="593"/>
      <c r="M91" s="594"/>
      <c r="N91" s="1150"/>
      <c r="O91" s="1150"/>
      <c r="P91" s="1419"/>
      <c r="Q91" s="1420"/>
      <c r="R91" s="1421"/>
      <c r="S91" s="1421"/>
      <c r="T91" s="1421"/>
      <c r="U91" s="1421"/>
      <c r="V91" s="1421"/>
      <c r="W91" s="1421"/>
      <c r="X91" s="1421"/>
      <c r="Y91" s="1421"/>
      <c r="Z91" s="1421"/>
      <c r="AA91" s="1421"/>
      <c r="AB91" s="1421"/>
      <c r="AC91" s="1421"/>
    </row>
    <row r="92" spans="1:29" s="467" customFormat="1" ht="15.75" thickBot="1">
      <c r="A92" s="549"/>
      <c r="B92" s="539"/>
      <c r="C92" s="556"/>
      <c r="D92" s="532"/>
      <c r="E92" s="532"/>
      <c r="F92" s="532"/>
      <c r="G92" s="532"/>
      <c r="H92" s="532"/>
      <c r="I92" s="532"/>
      <c r="J92" s="532"/>
      <c r="K92" s="532"/>
      <c r="L92" s="532"/>
      <c r="M92" s="533"/>
      <c r="N92" s="1150"/>
      <c r="O92" s="1150"/>
      <c r="P92" s="1419"/>
      <c r="Q92" s="1420"/>
      <c r="R92" s="1421"/>
      <c r="S92" s="1421"/>
      <c r="T92" s="1421"/>
      <c r="U92" s="1421"/>
      <c r="V92" s="1421"/>
      <c r="W92" s="1421"/>
      <c r="X92" s="1421"/>
      <c r="Y92" s="1421"/>
      <c r="Z92" s="1421"/>
      <c r="AA92" s="1421"/>
      <c r="AB92" s="1421"/>
      <c r="AC92" s="1421"/>
    </row>
    <row r="93" spans="1:29" ht="15" thickTop="1">
      <c r="A93" s="595"/>
      <c r="B93" s="534" t="s">
        <v>2732</v>
      </c>
      <c r="C93" s="550"/>
      <c r="D93" s="550"/>
      <c r="E93" s="579"/>
      <c r="F93" s="579"/>
      <c r="G93" s="579"/>
      <c r="H93" s="579"/>
      <c r="I93" s="579"/>
      <c r="J93" s="579"/>
      <c r="K93" s="580"/>
      <c r="L93" s="581"/>
      <c r="M93" s="582"/>
      <c r="N93" s="1148"/>
      <c r="O93" s="1148"/>
      <c r="P93" s="1418"/>
      <c r="Q93" s="1412"/>
      <c r="R93" s="1140"/>
      <c r="S93" s="1140"/>
      <c r="T93" s="1140"/>
      <c r="U93" s="1140"/>
      <c r="V93" s="1140"/>
      <c r="W93" s="1140"/>
      <c r="X93" s="1140"/>
      <c r="Y93" s="1140"/>
      <c r="Z93" s="1140"/>
      <c r="AA93" s="1140"/>
      <c r="AB93" s="1140"/>
      <c r="AC93" s="1140"/>
    </row>
    <row r="94" spans="1:29" ht="15.75" thickBot="1">
      <c r="A94" s="530"/>
      <c r="B94" s="539"/>
      <c r="C94" s="540">
        <v>100</v>
      </c>
      <c r="D94" s="540">
        <f t="shared" ref="D94:M94" si="19">C94-$K32</f>
        <v>100</v>
      </c>
      <c r="E94" s="540">
        <f t="shared" si="19"/>
        <v>100</v>
      </c>
      <c r="F94" s="540">
        <f t="shared" si="19"/>
        <v>100</v>
      </c>
      <c r="G94" s="540">
        <f t="shared" si="19"/>
        <v>100</v>
      </c>
      <c r="H94" s="540">
        <f t="shared" si="19"/>
        <v>100</v>
      </c>
      <c r="I94" s="540">
        <f t="shared" si="19"/>
        <v>100</v>
      </c>
      <c r="J94" s="540">
        <f t="shared" si="19"/>
        <v>100</v>
      </c>
      <c r="K94" s="540">
        <f t="shared" si="19"/>
        <v>100</v>
      </c>
      <c r="L94" s="540">
        <f t="shared" si="19"/>
        <v>100</v>
      </c>
      <c r="M94" s="541">
        <f t="shared" si="19"/>
        <v>100</v>
      </c>
      <c r="N94" s="1149"/>
      <c r="O94" s="1149"/>
      <c r="P94" s="1418"/>
      <c r="Q94" s="1412"/>
      <c r="R94" s="1140"/>
      <c r="S94" s="1140"/>
      <c r="T94" s="1140"/>
      <c r="U94" s="1140"/>
      <c r="V94" s="1140"/>
      <c r="W94" s="1140"/>
      <c r="X94" s="1140"/>
      <c r="Y94" s="1140"/>
      <c r="Z94" s="1140"/>
      <c r="AA94" s="1140"/>
      <c r="AB94" s="1140"/>
      <c r="AC94" s="1140"/>
    </row>
    <row r="95" spans="1:29" ht="15" thickTop="1">
      <c r="A95" s="595"/>
      <c r="B95" s="534" t="s">
        <v>2733</v>
      </c>
      <c r="C95" s="526"/>
      <c r="D95" s="526"/>
      <c r="E95" s="526"/>
      <c r="F95" s="526"/>
      <c r="G95" s="526"/>
      <c r="H95" s="526"/>
      <c r="I95" s="526"/>
      <c r="J95" s="526"/>
      <c r="K95" s="527"/>
      <c r="L95" s="528"/>
      <c r="M95" s="529"/>
      <c r="N95" s="1148"/>
      <c r="O95" s="1148"/>
      <c r="P95" s="1418"/>
      <c r="Q95" s="1412"/>
      <c r="R95" s="1140"/>
      <c r="S95" s="1140"/>
      <c r="T95" s="1140"/>
      <c r="U95" s="1140"/>
      <c r="V95" s="1140"/>
      <c r="W95" s="1140"/>
      <c r="X95" s="1140"/>
      <c r="Y95" s="1140"/>
      <c r="Z95" s="1140"/>
      <c r="AA95" s="1140"/>
      <c r="AB95" s="1140"/>
      <c r="AC95" s="1140"/>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49"/>
      <c r="O96" s="1149"/>
      <c r="P96" s="1418"/>
      <c r="Q96" s="1412"/>
      <c r="R96" s="1140"/>
      <c r="S96" s="1140"/>
      <c r="T96" s="1140"/>
      <c r="U96" s="1140"/>
      <c r="V96" s="1140"/>
      <c r="W96" s="1140"/>
      <c r="X96" s="1140"/>
      <c r="Y96" s="1140"/>
      <c r="Z96" s="1140"/>
      <c r="AA96" s="1140"/>
      <c r="AB96" s="1140"/>
      <c r="AC96" s="1140"/>
    </row>
    <row r="97" spans="1:29" ht="15" thickTop="1">
      <c r="A97" s="595"/>
      <c r="B97" s="631">
        <f>B34</f>
        <v>111</v>
      </c>
      <c r="C97" s="545"/>
      <c r="D97" s="545"/>
      <c r="E97" s="545"/>
      <c r="F97" s="545"/>
      <c r="G97" s="550"/>
      <c r="H97" s="551"/>
      <c r="I97" s="551"/>
      <c r="J97" s="551"/>
      <c r="K97" s="551"/>
      <c r="L97" s="552"/>
      <c r="M97" s="553"/>
      <c r="N97" s="1149"/>
      <c r="O97" s="1149"/>
      <c r="P97" s="1425"/>
      <c r="Q97" s="1426"/>
      <c r="R97" s="1140"/>
      <c r="S97" s="1140"/>
      <c r="T97" s="1140"/>
      <c r="U97" s="1140"/>
      <c r="V97" s="1140"/>
      <c r="W97" s="1140"/>
      <c r="X97" s="1140"/>
      <c r="Y97" s="1140"/>
      <c r="Z97" s="1140"/>
      <c r="AA97" s="1140"/>
      <c r="AB97" s="1140"/>
      <c r="AC97" s="1140"/>
    </row>
    <row r="98" spans="1:29" ht="15.75" thickBot="1">
      <c r="A98" s="530"/>
      <c r="B98" s="539"/>
      <c r="C98" s="556"/>
      <c r="D98" s="532"/>
      <c r="E98" s="532"/>
      <c r="F98" s="532"/>
      <c r="G98" s="556"/>
      <c r="H98" s="558"/>
      <c r="I98" s="558"/>
      <c r="J98" s="558"/>
      <c r="K98" s="558"/>
      <c r="L98" s="558"/>
      <c r="M98" s="559"/>
      <c r="N98" s="1149"/>
      <c r="O98" s="1149"/>
      <c r="P98" s="1418"/>
      <c r="Q98" s="1412"/>
      <c r="R98" s="1140"/>
      <c r="S98" s="1140"/>
      <c r="T98" s="1140"/>
      <c r="U98" s="1140"/>
      <c r="V98" s="1140"/>
      <c r="W98" s="1140"/>
      <c r="X98" s="1140"/>
      <c r="Y98" s="1140"/>
      <c r="Z98" s="1140"/>
      <c r="AA98" s="1140"/>
      <c r="AB98" s="1140"/>
      <c r="AC98" s="1140"/>
    </row>
    <row r="99" spans="1:29" s="467" customFormat="1" ht="15" thickTop="1">
      <c r="A99" s="589"/>
      <c r="B99" s="534">
        <f>B35</f>
        <v>111</v>
      </c>
      <c r="C99" s="545"/>
      <c r="D99" s="545"/>
      <c r="E99" s="545"/>
      <c r="F99" s="545"/>
      <c r="G99" s="550"/>
      <c r="H99" s="551"/>
      <c r="I99" s="551"/>
      <c r="J99" s="551"/>
      <c r="K99" s="551"/>
      <c r="L99" s="552"/>
      <c r="M99" s="553"/>
      <c r="N99" s="1150"/>
      <c r="O99" s="1150"/>
      <c r="P99" s="1419"/>
      <c r="Q99" s="1420"/>
      <c r="R99" s="1421"/>
      <c r="S99" s="1421"/>
      <c r="T99" s="1421"/>
      <c r="U99" s="1421"/>
      <c r="V99" s="1421"/>
      <c r="W99" s="1421"/>
      <c r="X99" s="1421"/>
      <c r="Y99" s="1421"/>
      <c r="Z99" s="1421"/>
      <c r="AA99" s="1421"/>
      <c r="AB99" s="1421"/>
      <c r="AC99" s="1421"/>
    </row>
    <row r="100" spans="1:29" s="467" customFormat="1" ht="15.75" thickBot="1">
      <c r="A100" s="549"/>
      <c r="B100" s="531"/>
      <c r="C100" s="556"/>
      <c r="D100" s="532"/>
      <c r="E100" s="532"/>
      <c r="F100" s="532"/>
      <c r="G100" s="556"/>
      <c r="H100" s="558"/>
      <c r="I100" s="558"/>
      <c r="J100" s="558"/>
      <c r="K100" s="558"/>
      <c r="L100" s="558"/>
      <c r="M100" s="559"/>
      <c r="N100" s="1150"/>
      <c r="O100" s="1150"/>
      <c r="P100" s="1419"/>
      <c r="Q100" s="1420"/>
      <c r="R100" s="1421"/>
      <c r="S100" s="1421"/>
      <c r="T100" s="1421"/>
      <c r="U100" s="1421"/>
      <c r="V100" s="1421"/>
      <c r="W100" s="1421"/>
      <c r="X100" s="1421"/>
      <c r="Y100" s="1421"/>
      <c r="Z100" s="1421"/>
      <c r="AA100" s="1421"/>
      <c r="AB100" s="1421"/>
      <c r="AC100" s="1421"/>
    </row>
    <row r="101" spans="1:29" ht="15" thickTop="1">
      <c r="A101" s="595"/>
      <c r="B101" s="534">
        <f>B36</f>
        <v>111</v>
      </c>
      <c r="C101" s="550"/>
      <c r="D101" s="550"/>
      <c r="E101" s="550"/>
      <c r="F101" s="550"/>
      <c r="G101" s="550"/>
      <c r="H101" s="551"/>
      <c r="I101" s="551"/>
      <c r="J101" s="551"/>
      <c r="K101" s="551"/>
      <c r="L101" s="552"/>
      <c r="M101" s="553"/>
      <c r="N101" s="1148"/>
      <c r="O101" s="1148"/>
      <c r="P101" s="1418"/>
      <c r="Q101" s="1412"/>
      <c r="R101" s="1140"/>
      <c r="S101" s="1140"/>
      <c r="T101" s="1140"/>
      <c r="U101" s="1140"/>
      <c r="V101" s="1140"/>
      <c r="W101" s="1140"/>
      <c r="X101" s="1140"/>
      <c r="Y101" s="1140"/>
      <c r="Z101" s="1140"/>
      <c r="AA101" s="1140"/>
      <c r="AB101" s="1140"/>
      <c r="AC101" s="1140"/>
    </row>
    <row r="102" spans="1:29" ht="15.75" thickBot="1">
      <c r="A102" s="530"/>
      <c r="B102" s="539"/>
      <c r="C102" s="556"/>
      <c r="D102" s="556"/>
      <c r="E102" s="556"/>
      <c r="F102" s="556"/>
      <c r="G102" s="556"/>
      <c r="H102" s="558"/>
      <c r="I102" s="558"/>
      <c r="J102" s="558"/>
      <c r="K102" s="558"/>
      <c r="L102" s="558"/>
      <c r="M102" s="559"/>
      <c r="N102" s="1149"/>
      <c r="O102" s="1149"/>
      <c r="P102" s="1418"/>
      <c r="Q102" s="1412"/>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9" customFormat="1" ht="28.5" customHeight="1" thickBot="1">
      <c r="A1" s="1608" t="s">
        <v>2704</v>
      </c>
      <c r="B1" s="1609"/>
      <c r="C1" s="1610" t="s">
        <v>2527</v>
      </c>
      <c r="D1" s="1611"/>
      <c r="E1" s="1620"/>
      <c r="F1" s="2571"/>
      <c r="G1" s="1621" t="s">
        <v>2640</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4" customFormat="1" ht="28.5" customHeight="1" thickTop="1">
      <c r="A2" s="1607" t="s">
        <v>2324</v>
      </c>
      <c r="B2" s="1407" t="e">
        <f ca="1">IF(C2="——",ROUND(C37*D3/10000,0),ROUND(C37*D3/10000,0)-D2)</f>
        <v>#DIV/0!</v>
      </c>
      <c r="C2" s="2573"/>
      <c r="D2" s="1120" t="e">
        <f ca="1">SUMIF(INDIRECT("'"&amp;F2&amp;"'"&amp;"!A:A"),"承租人权益价值",INDIRECT("'"&amp;F2&amp;"'"&amp;"!c:c"))</f>
        <v>#REF!</v>
      </c>
      <c r="E2" s="2574" t="s">
        <v>2325</v>
      </c>
      <c r="F2" s="2575"/>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4" customFormat="1" ht="28.5" customHeight="1" thickBot="1">
      <c r="A3" s="247" t="s">
        <v>2326</v>
      </c>
      <c r="B3" s="605" t="e">
        <f ca="1">IF(C2="——",C37,ROUND(B2*10000/D3,0))</f>
        <v>#DIV/0!</v>
      </c>
      <c r="C3" s="396" t="s">
        <v>2641</v>
      </c>
      <c r="D3" s="395">
        <f>SUMIF('数据-汇总表'!$C19:$C33,D1,'数据-汇总表'!$E19:$E33)</f>
        <v>0</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7" t="s">
        <v>2642</v>
      </c>
      <c r="B4" s="398"/>
      <c r="C4" s="3215" t="s">
        <v>2643</v>
      </c>
      <c r="D4" s="3216"/>
      <c r="E4" s="3217" t="s">
        <v>2644</v>
      </c>
      <c r="F4" s="3218"/>
      <c r="G4" s="3215" t="s">
        <v>2645</v>
      </c>
      <c r="H4" s="3216"/>
      <c r="I4" s="3215" t="s">
        <v>2646</v>
      </c>
      <c r="J4" s="3216"/>
      <c r="K4" s="606" t="s">
        <v>2647</v>
      </c>
      <c r="L4" s="1126"/>
      <c r="M4" s="1127"/>
      <c r="N4" s="1127"/>
      <c r="O4" s="1127"/>
      <c r="P4" s="3219" t="s">
        <v>2648</v>
      </c>
      <c r="Q4" s="3220"/>
      <c r="R4" s="3201" t="s">
        <v>2644</v>
      </c>
      <c r="S4" s="3202"/>
      <c r="T4" s="3201" t="s">
        <v>2645</v>
      </c>
      <c r="U4" s="3202"/>
      <c r="V4" s="3198" t="s">
        <v>2646</v>
      </c>
      <c r="W4" s="3198"/>
      <c r="X4" s="1803"/>
      <c r="Y4" s="3201" t="s">
        <v>2648</v>
      </c>
      <c r="Z4" s="3202"/>
      <c r="AA4" s="3195" t="s">
        <v>2644</v>
      </c>
      <c r="AB4" s="3196" t="s">
        <v>2645</v>
      </c>
      <c r="AC4" s="3195" t="s">
        <v>2646</v>
      </c>
    </row>
    <row r="5" spans="1:29" ht="15">
      <c r="A5" s="400"/>
      <c r="B5" s="401"/>
      <c r="C5" s="3207" t="s">
        <v>2539</v>
      </c>
      <c r="D5" s="3208"/>
      <c r="E5" s="3205" t="s">
        <v>2540</v>
      </c>
      <c r="F5" s="3206"/>
      <c r="G5" s="3207" t="s">
        <v>2541</v>
      </c>
      <c r="H5" s="3208"/>
      <c r="I5" s="3207" t="s">
        <v>2542</v>
      </c>
      <c r="J5" s="3208"/>
      <c r="K5" s="606"/>
      <c r="L5" s="1126"/>
      <c r="M5" s="1127"/>
      <c r="N5" s="1127"/>
      <c r="O5" s="1127"/>
      <c r="P5" s="3221"/>
      <c r="Q5" s="3222"/>
      <c r="R5" s="3203"/>
      <c r="S5" s="3204"/>
      <c r="T5" s="3203"/>
      <c r="U5" s="3204"/>
      <c r="V5" s="3198"/>
      <c r="W5" s="3198"/>
      <c r="X5" s="1803"/>
      <c r="Y5" s="3203"/>
      <c r="Z5" s="3204"/>
      <c r="AA5" s="3196"/>
      <c r="AB5" s="3196"/>
      <c r="AC5" s="3196"/>
    </row>
    <row r="6" spans="1:29" ht="15.75" thickBot="1">
      <c r="A6" s="402"/>
      <c r="B6" s="403"/>
      <c r="C6" s="3209" t="s">
        <v>2543</v>
      </c>
      <c r="D6" s="3210"/>
      <c r="E6" s="3212" t="s">
        <v>2543</v>
      </c>
      <c r="F6" s="3213"/>
      <c r="G6" s="3209" t="s">
        <v>2543</v>
      </c>
      <c r="H6" s="3210"/>
      <c r="I6" s="3209" t="s">
        <v>2543</v>
      </c>
      <c r="J6" s="3210"/>
      <c r="K6" s="606" t="s">
        <v>2544</v>
      </c>
      <c r="L6" s="1126"/>
      <c r="M6" s="1127"/>
      <c r="N6" s="1127"/>
      <c r="O6" s="1127"/>
      <c r="P6" s="3223"/>
      <c r="Q6" s="3224"/>
      <c r="R6" s="3203"/>
      <c r="S6" s="3204"/>
      <c r="T6" s="3225"/>
      <c r="U6" s="3226"/>
      <c r="V6" s="3198"/>
      <c r="W6" s="3198"/>
      <c r="X6" s="1803"/>
      <c r="Y6" s="3225"/>
      <c r="Z6" s="3226"/>
      <c r="AA6" s="3197"/>
      <c r="AB6" s="3197"/>
      <c r="AC6" s="3197"/>
    </row>
    <row r="7" spans="1:29" s="116" customFormat="1" ht="15.75" thickBot="1">
      <c r="A7" s="404" t="s">
        <v>2545</v>
      </c>
      <c r="B7" s="405"/>
      <c r="C7" s="406">
        <f>'数据-取费表'!B2</f>
        <v>43028</v>
      </c>
      <c r="D7" s="407">
        <v>100</v>
      </c>
      <c r="E7" s="408"/>
      <c r="F7" s="409">
        <f>SUMIF(46:46,YEAR(E7)&amp;"-"&amp;MONTH(E7),47:47)</f>
        <v>0</v>
      </c>
      <c r="G7" s="2683"/>
      <c r="H7" s="407">
        <f>SUMIF(46:46,YEAR(G7)&amp;"-"&amp;MONTH(G7),47:47)</f>
        <v>0</v>
      </c>
      <c r="I7" s="408"/>
      <c r="J7" s="407">
        <f>SUMIF(46:46,YEAR(I7)&amp;"-"&amp;MONTH(I7),47:47)</f>
        <v>0</v>
      </c>
      <c r="K7" s="607"/>
      <c r="L7" s="1128"/>
      <c r="M7" s="1129"/>
      <c r="N7" s="1129"/>
      <c r="O7" s="1129"/>
      <c r="P7" s="3199" t="s">
        <v>2546</v>
      </c>
      <c r="Q7" s="3228"/>
      <c r="R7" s="763" t="s">
        <v>17</v>
      </c>
      <c r="S7" s="764">
        <f t="shared" ref="S7:S14" si="0">F7</f>
        <v>0</v>
      </c>
      <c r="T7" s="763" t="s">
        <v>17</v>
      </c>
      <c r="U7" s="764">
        <f t="shared" ref="U7:U14" si="1">H7</f>
        <v>0</v>
      </c>
      <c r="V7" s="763" t="s">
        <v>17</v>
      </c>
      <c r="W7" s="764">
        <f t="shared" ref="W7:W14" si="2">J7</f>
        <v>0</v>
      </c>
      <c r="X7" s="765"/>
      <c r="Y7" s="3199" t="s">
        <v>2546</v>
      </c>
      <c r="Z7" s="3200"/>
      <c r="AA7" s="766" t="e">
        <f>D7/F7</f>
        <v>#DIV/0!</v>
      </c>
      <c r="AB7" s="766" t="e">
        <f>D7/H7</f>
        <v>#DIV/0!</v>
      </c>
      <c r="AC7" s="766" t="e">
        <f>D7/J7</f>
        <v>#DIV/0!</v>
      </c>
    </row>
    <row r="8" spans="1:29" s="116" customFormat="1" ht="15.75" thickBot="1">
      <c r="A8" s="404" t="s">
        <v>2547</v>
      </c>
      <c r="B8" s="405"/>
      <c r="C8" s="410" t="s">
        <v>2649</v>
      </c>
      <c r="D8" s="407">
        <v>100</v>
      </c>
      <c r="E8" s="410"/>
      <c r="F8" s="409">
        <f>SUMIF(49:49,E8,50:50)-SUMIF(49:49,C8,50:50)+100</f>
        <v>0</v>
      </c>
      <c r="G8" s="410"/>
      <c r="H8" s="407">
        <f>SUMIF(49:49,G8,50:50)-SUMIF(49:49,C8,50:50)+100</f>
        <v>0</v>
      </c>
      <c r="I8" s="410"/>
      <c r="J8" s="407">
        <f>SUMIF(49:49,I8,50:50)-SUMIF(49:49,C8,50:50)+100</f>
        <v>0</v>
      </c>
      <c r="K8" s="607"/>
      <c r="L8" s="1128"/>
      <c r="M8" s="1129"/>
      <c r="N8" s="1129"/>
      <c r="O8" s="1129"/>
      <c r="P8" s="3199" t="s">
        <v>2549</v>
      </c>
      <c r="Q8" s="3200"/>
      <c r="R8" s="763" t="s">
        <v>17</v>
      </c>
      <c r="S8" s="764">
        <f t="shared" si="0"/>
        <v>0</v>
      </c>
      <c r="T8" s="763" t="s">
        <v>17</v>
      </c>
      <c r="U8" s="764">
        <f t="shared" si="1"/>
        <v>0</v>
      </c>
      <c r="V8" s="763" t="s">
        <v>17</v>
      </c>
      <c r="W8" s="764">
        <f t="shared" si="2"/>
        <v>0</v>
      </c>
      <c r="X8" s="765"/>
      <c r="Y8" s="3199" t="s">
        <v>2549</v>
      </c>
      <c r="Z8" s="3200"/>
      <c r="AA8" s="766" t="e">
        <f t="shared" ref="AA8:AA34" si="3">D8/F8</f>
        <v>#DIV/0!</v>
      </c>
      <c r="AB8" s="766" t="e">
        <f t="shared" ref="AB8:AB34" si="4">D8/H8</f>
        <v>#DIV/0!</v>
      </c>
      <c r="AC8" s="766" t="e">
        <f t="shared" ref="AC8:AC34" si="5">D8/J8</f>
        <v>#DIV/0!</v>
      </c>
    </row>
    <row r="9" spans="1:29" s="116" customFormat="1">
      <c r="A9" s="411" t="s">
        <v>2550</v>
      </c>
      <c r="B9" s="70" t="s">
        <v>2551</v>
      </c>
      <c r="C9" s="412"/>
      <c r="D9" s="134">
        <v>100</v>
      </c>
      <c r="E9" s="415"/>
      <c r="F9" s="414">
        <f>SUMIF(51:51,E9,52:52)-SUMIF(51:51,C9,52:52)+100</f>
        <v>100</v>
      </c>
      <c r="G9" s="415"/>
      <c r="H9" s="134">
        <f>SUMIF(51:51,G9,52:52)-SUMIF(51:51,C9,52:52)+100</f>
        <v>100</v>
      </c>
      <c r="I9" s="415"/>
      <c r="J9" s="134">
        <f>SUMIF(51:51,I9,52:52)-SUMIF(51:51,C9,52:52)+100</f>
        <v>100</v>
      </c>
      <c r="K9" s="607"/>
      <c r="L9" s="1128"/>
      <c r="M9" s="1129"/>
      <c r="N9" s="1129"/>
      <c r="O9" s="1130"/>
      <c r="P9" s="3238" t="s">
        <v>2552</v>
      </c>
      <c r="Q9" s="1785" t="str">
        <f t="shared" ref="Q9:Q14" si="6">B9</f>
        <v>用途</v>
      </c>
      <c r="R9" s="763" t="s">
        <v>17</v>
      </c>
      <c r="S9" s="764">
        <f t="shared" si="0"/>
        <v>100</v>
      </c>
      <c r="T9" s="763" t="s">
        <v>17</v>
      </c>
      <c r="U9" s="764">
        <f t="shared" si="1"/>
        <v>100</v>
      </c>
      <c r="V9" s="763" t="s">
        <v>17</v>
      </c>
      <c r="W9" s="764">
        <f t="shared" si="2"/>
        <v>100</v>
      </c>
      <c r="X9" s="765"/>
      <c r="Y9" s="3072" t="s">
        <v>2553</v>
      </c>
      <c r="Z9" s="55" t="str">
        <f t="shared" ref="Z9:Z14" si="7">Q9</f>
        <v>用途</v>
      </c>
      <c r="AA9" s="766">
        <f t="shared" si="3"/>
        <v>1</v>
      </c>
      <c r="AB9" s="766">
        <f t="shared" si="4"/>
        <v>1</v>
      </c>
      <c r="AC9" s="766">
        <f t="shared" si="5"/>
        <v>1</v>
      </c>
    </row>
    <row r="10" spans="1:29" s="423" customFormat="1" ht="27">
      <c r="A10" s="417"/>
      <c r="B10" s="418" t="s">
        <v>2554</v>
      </c>
      <c r="C10" s="419"/>
      <c r="D10" s="135">
        <v>100</v>
      </c>
      <c r="E10" s="419"/>
      <c r="F10" s="421">
        <f>SUMIF(53:53,E10,54:54)-SUMIF(53:53,C10,54:54)+100</f>
        <v>100</v>
      </c>
      <c r="G10" s="419"/>
      <c r="H10" s="135">
        <f>SUMIF(53:53,G10,54:54)-SUMIF(53:53,C10,54:54)+100</f>
        <v>100</v>
      </c>
      <c r="I10" s="419"/>
      <c r="J10" s="135">
        <f>SUMIF(53:53,I10,54:54)-SUMIF(53:53,C10,54:54)+100</f>
        <v>100</v>
      </c>
      <c r="K10" s="608"/>
      <c r="L10" s="1131"/>
      <c r="M10" s="1132"/>
      <c r="N10" s="1132"/>
      <c r="O10" s="1133"/>
      <c r="P10" s="3238"/>
      <c r="Q10" s="1785" t="str">
        <f t="shared" si="6"/>
        <v>土地使用年限（年）</v>
      </c>
      <c r="R10" s="763" t="s">
        <v>17</v>
      </c>
      <c r="S10" s="764">
        <f t="shared" si="0"/>
        <v>100</v>
      </c>
      <c r="T10" s="763" t="s">
        <v>17</v>
      </c>
      <c r="U10" s="764">
        <f t="shared" si="1"/>
        <v>100</v>
      </c>
      <c r="V10" s="763" t="s">
        <v>17</v>
      </c>
      <c r="W10" s="764">
        <f t="shared" si="2"/>
        <v>100</v>
      </c>
      <c r="X10" s="765"/>
      <c r="Y10" s="3072"/>
      <c r="Z10" s="55" t="str">
        <f t="shared" si="7"/>
        <v>土地使用年限（年）</v>
      </c>
      <c r="AA10" s="766">
        <f t="shared" si="3"/>
        <v>1</v>
      </c>
      <c r="AB10" s="766">
        <f t="shared" si="4"/>
        <v>1</v>
      </c>
      <c r="AC10" s="766">
        <f t="shared" si="5"/>
        <v>1</v>
      </c>
    </row>
    <row r="11" spans="1:29" ht="15">
      <c r="A11" s="424"/>
      <c r="B11" s="2587">
        <v>111</v>
      </c>
      <c r="C11" s="428"/>
      <c r="D11" s="135">
        <v>100</v>
      </c>
      <c r="E11" s="465"/>
      <c r="F11" s="421">
        <f>SUMIF(55:55,E11,56:56)-SUMIF(55:55,C11,56:56)+100</f>
        <v>100</v>
      </c>
      <c r="G11" s="465"/>
      <c r="H11" s="135">
        <f>SUMIF(55:55,G11,56:56)-SUMIF(55:55,C11,56:56)+100</f>
        <v>100</v>
      </c>
      <c r="I11" s="465"/>
      <c r="J11" s="135">
        <f>SUMIF(55:55,I11,56:56)-SUMIF(55:55,C11,56:56)+100</f>
        <v>100</v>
      </c>
      <c r="K11" s="609"/>
      <c r="L11" s="1134"/>
      <c r="M11" s="1127"/>
      <c r="N11" s="1127"/>
      <c r="O11" s="1135"/>
      <c r="P11" s="3238"/>
      <c r="Q11" s="1785">
        <f t="shared" si="6"/>
        <v>111</v>
      </c>
      <c r="R11" s="763" t="s">
        <v>17</v>
      </c>
      <c r="S11" s="764">
        <f t="shared" si="0"/>
        <v>100</v>
      </c>
      <c r="T11" s="763" t="s">
        <v>17</v>
      </c>
      <c r="U11" s="764">
        <f t="shared" si="1"/>
        <v>100</v>
      </c>
      <c r="V11" s="763" t="s">
        <v>17</v>
      </c>
      <c r="W11" s="764">
        <f t="shared" si="2"/>
        <v>100</v>
      </c>
      <c r="X11" s="765"/>
      <c r="Y11" s="3072"/>
      <c r="Z11" s="55">
        <f t="shared" si="7"/>
        <v>111</v>
      </c>
      <c r="AA11" s="766">
        <f t="shared" si="3"/>
        <v>1</v>
      </c>
      <c r="AB11" s="766">
        <f t="shared" si="4"/>
        <v>1</v>
      </c>
      <c r="AC11" s="766">
        <f t="shared" si="5"/>
        <v>1</v>
      </c>
    </row>
    <row r="12" spans="1:29" s="116" customFormat="1" ht="15">
      <c r="A12" s="427"/>
      <c r="B12" s="2587">
        <v>111</v>
      </c>
      <c r="C12" s="428"/>
      <c r="D12" s="429">
        <v>100</v>
      </c>
      <c r="E12" s="465"/>
      <c r="F12" s="421">
        <f>SUMIF(57:57,E12,58:58)-SUMIF(57:57,C12,58:58)+100</f>
        <v>100</v>
      </c>
      <c r="G12" s="465"/>
      <c r="H12" s="135">
        <f>SUMIF(57:57,G12,58:58)-SUMIF(57:57,C12,58:58)+100</f>
        <v>100</v>
      </c>
      <c r="I12" s="465"/>
      <c r="J12" s="135">
        <f>SUMIF(57:57,I12,58:58)-SUMIF(57:57,C12,58:58)+100</f>
        <v>100</v>
      </c>
      <c r="K12" s="609"/>
      <c r="L12" s="1128"/>
      <c r="M12" s="1129"/>
      <c r="N12" s="1129"/>
      <c r="O12" s="1130"/>
      <c r="P12" s="3238"/>
      <c r="Q12" s="1785">
        <f t="shared" si="6"/>
        <v>111</v>
      </c>
      <c r="R12" s="763" t="s">
        <v>17</v>
      </c>
      <c r="S12" s="764">
        <f t="shared" si="0"/>
        <v>100</v>
      </c>
      <c r="T12" s="763" t="s">
        <v>17</v>
      </c>
      <c r="U12" s="764">
        <f t="shared" si="1"/>
        <v>100</v>
      </c>
      <c r="V12" s="763" t="s">
        <v>17</v>
      </c>
      <c r="W12" s="764">
        <f t="shared" si="2"/>
        <v>100</v>
      </c>
      <c r="X12" s="765"/>
      <c r="Y12" s="3072"/>
      <c r="Z12" s="55">
        <f t="shared" si="7"/>
        <v>111</v>
      </c>
      <c r="AA12" s="766">
        <f>D12/F12</f>
        <v>1</v>
      </c>
      <c r="AB12" s="766">
        <f>D12/H12</f>
        <v>1</v>
      </c>
      <c r="AC12" s="766">
        <f>D12/J12</f>
        <v>1</v>
      </c>
    </row>
    <row r="13" spans="1:29" ht="15.75" thickBot="1">
      <c r="A13" s="424"/>
      <c r="B13" s="2587">
        <v>111</v>
      </c>
      <c r="C13" s="430"/>
      <c r="D13" s="431">
        <v>100</v>
      </c>
      <c r="E13" s="465"/>
      <c r="F13" s="421">
        <f>SUMIF(59:59,E13,60:60)-SUMIF(59:59,C13,60:60)+100</f>
        <v>100</v>
      </c>
      <c r="G13" s="2684"/>
      <c r="H13" s="434">
        <f>SUMIF(59:59,G13,60:60)-SUMIF(59:59,C13,60:60)+100</f>
        <v>100</v>
      </c>
      <c r="I13" s="465"/>
      <c r="J13" s="431">
        <f>SUMIF(59:59,I13,60:60)-SUMIF(59:59,C13,60:60)+100</f>
        <v>100</v>
      </c>
      <c r="K13" s="609"/>
      <c r="L13" s="1136"/>
      <c r="M13" s="1127"/>
      <c r="N13" s="1127"/>
      <c r="O13" s="1135"/>
      <c r="P13" s="3238"/>
      <c r="Q13" s="1785">
        <f t="shared" si="6"/>
        <v>111</v>
      </c>
      <c r="R13" s="763" t="s">
        <v>17</v>
      </c>
      <c r="S13" s="764">
        <f t="shared" si="0"/>
        <v>100</v>
      </c>
      <c r="T13" s="763" t="s">
        <v>17</v>
      </c>
      <c r="U13" s="764">
        <f t="shared" si="1"/>
        <v>100</v>
      </c>
      <c r="V13" s="763" t="s">
        <v>17</v>
      </c>
      <c r="W13" s="764">
        <f t="shared" si="2"/>
        <v>100</v>
      </c>
      <c r="X13" s="765"/>
      <c r="Y13" s="3072"/>
      <c r="Z13" s="55">
        <f t="shared" si="7"/>
        <v>111</v>
      </c>
      <c r="AA13" s="766">
        <f t="shared" si="3"/>
        <v>1</v>
      </c>
      <c r="AB13" s="766">
        <f t="shared" si="4"/>
        <v>1</v>
      </c>
      <c r="AC13" s="766">
        <f t="shared" si="5"/>
        <v>1</v>
      </c>
    </row>
    <row r="14" spans="1:29" ht="85.5">
      <c r="A14" s="436" t="s">
        <v>2556</v>
      </c>
      <c r="B14" s="68" t="s">
        <v>2706</v>
      </c>
      <c r="C14" s="2680" t="str">
        <f>IF(B1="工业",估价对象房地状况!G4,估价对象房地状况!C6)</f>
        <v>估价对象周边道路状况、公共交通通达情况、停车便捷程度，综合评价交通便捷度较好</v>
      </c>
      <c r="D14" s="437">
        <v>100</v>
      </c>
      <c r="E14" s="438"/>
      <c r="F14" s="439">
        <f>SUMIF(61:61,E15,62:62)-SUMIF(61:61,C15,62:62)+100</f>
        <v>100</v>
      </c>
      <c r="G14" s="440"/>
      <c r="H14" s="437">
        <f>SUMIF(61:61,G15,62:62)-SUMIF(61:61,C15,62:62)+100</f>
        <v>100</v>
      </c>
      <c r="I14" s="438"/>
      <c r="J14" s="437">
        <f>SUMIF(61:61,I15,62:62)-SUMIF(61:61,C15,62:62)+100</f>
        <v>100</v>
      </c>
      <c r="K14" s="610"/>
      <c r="L14" s="1136"/>
      <c r="M14" s="1127"/>
      <c r="N14" s="1127"/>
      <c r="O14" s="1135"/>
      <c r="P14" s="3231" t="s">
        <v>2557</v>
      </c>
      <c r="Q14" s="1800" t="str">
        <f t="shared" si="6"/>
        <v>交通便捷度</v>
      </c>
      <c r="R14" s="767" t="s">
        <v>17</v>
      </c>
      <c r="S14" s="768">
        <f t="shared" si="0"/>
        <v>100</v>
      </c>
      <c r="T14" s="767" t="s">
        <v>17</v>
      </c>
      <c r="U14" s="768">
        <f t="shared" si="1"/>
        <v>100</v>
      </c>
      <c r="V14" s="767" t="s">
        <v>17</v>
      </c>
      <c r="W14" s="768">
        <f t="shared" si="2"/>
        <v>100</v>
      </c>
      <c r="X14" s="1803"/>
      <c r="Y14" s="3231" t="s">
        <v>2557</v>
      </c>
      <c r="Z14" s="1804" t="str">
        <f t="shared" si="7"/>
        <v>交通便捷度</v>
      </c>
      <c r="AA14" s="1801">
        <f t="shared" si="3"/>
        <v>1</v>
      </c>
      <c r="AB14" s="1801">
        <f t="shared" si="4"/>
        <v>1</v>
      </c>
      <c r="AC14" s="1801">
        <f t="shared" si="5"/>
        <v>1</v>
      </c>
    </row>
    <row r="15" spans="1:29" ht="15">
      <c r="A15" s="424"/>
      <c r="B15" s="442"/>
      <c r="C15" s="443"/>
      <c r="D15" s="444"/>
      <c r="E15" s="443"/>
      <c r="F15" s="445"/>
      <c r="G15" s="443"/>
      <c r="H15" s="446"/>
      <c r="I15" s="443"/>
      <c r="J15" s="444"/>
      <c r="K15" s="611"/>
      <c r="L15" s="1136"/>
      <c r="M15" s="1127"/>
      <c r="N15" s="1127"/>
      <c r="O15" s="1135"/>
      <c r="P15" s="3232"/>
      <c r="Q15" s="1800"/>
      <c r="R15" s="767"/>
      <c r="S15" s="768"/>
      <c r="T15" s="767"/>
      <c r="U15" s="768"/>
      <c r="V15" s="767"/>
      <c r="W15" s="768"/>
      <c r="X15" s="1803"/>
      <c r="Y15" s="3232"/>
      <c r="Z15" s="1804"/>
      <c r="AA15" s="1801">
        <v>1</v>
      </c>
      <c r="AB15" s="1801">
        <v>1</v>
      </c>
      <c r="AC15" s="1801">
        <v>1</v>
      </c>
    </row>
    <row r="16" spans="1:29" ht="42.75">
      <c r="A16" s="424"/>
      <c r="B16" s="447" t="s">
        <v>2685</v>
      </c>
      <c r="C16" s="2594" t="str">
        <f>IF(B1="工业",估价对象房地状况!G5,估价对象房地状况!C7)</f>
        <v>估价对象所在区域公共配套设施齐备情况</v>
      </c>
      <c r="D16" s="451">
        <v>100</v>
      </c>
      <c r="E16" s="453"/>
      <c r="F16" s="454">
        <f>SUMIF(63:63,E17,64:64)-SUMIF(63:63,C17,64:64)+100</f>
        <v>100</v>
      </c>
      <c r="G16" s="455"/>
      <c r="H16" s="451">
        <f>SUMIF(63:63,G17,64:64)-SUMIF(63:63,C17,64:64)+100</f>
        <v>100</v>
      </c>
      <c r="I16" s="453"/>
      <c r="J16" s="451">
        <f>SUMIF(63:63,I17,64:64)-SUMIF(63:63,C17,64:64)+100</f>
        <v>100</v>
      </c>
      <c r="K16" s="610"/>
      <c r="L16" s="1136"/>
      <c r="M16" s="1127"/>
      <c r="N16" s="1127"/>
      <c r="O16" s="1135"/>
      <c r="P16" s="3232"/>
      <c r="Q16" s="1800" t="str">
        <f>B16</f>
        <v>公共配套设施</v>
      </c>
      <c r="R16" s="767" t="s">
        <v>17</v>
      </c>
      <c r="S16" s="768">
        <f>F16</f>
        <v>100</v>
      </c>
      <c r="T16" s="767" t="s">
        <v>17</v>
      </c>
      <c r="U16" s="768">
        <f>H16</f>
        <v>100</v>
      </c>
      <c r="V16" s="767" t="s">
        <v>17</v>
      </c>
      <c r="W16" s="768">
        <f>J16</f>
        <v>100</v>
      </c>
      <c r="X16" s="1803"/>
      <c r="Y16" s="3232"/>
      <c r="Z16" s="1804" t="str">
        <f>Q16</f>
        <v>公共配套设施</v>
      </c>
      <c r="AA16" s="1801">
        <f t="shared" si="3"/>
        <v>1</v>
      </c>
      <c r="AB16" s="1801">
        <f t="shared" si="4"/>
        <v>1</v>
      </c>
      <c r="AC16" s="1801">
        <f t="shared" si="5"/>
        <v>1</v>
      </c>
    </row>
    <row r="17" spans="1:29" ht="15">
      <c r="A17" s="424"/>
      <c r="B17" s="452"/>
      <c r="C17" s="2595"/>
      <c r="D17" s="444"/>
      <c r="E17" s="443"/>
      <c r="F17" s="445"/>
      <c r="G17" s="443"/>
      <c r="H17" s="444"/>
      <c r="I17" s="443"/>
      <c r="J17" s="444"/>
      <c r="K17" s="611"/>
      <c r="L17" s="1136"/>
      <c r="M17" s="1127"/>
      <c r="N17" s="1127"/>
      <c r="O17" s="1135"/>
      <c r="P17" s="3232"/>
      <c r="Q17" s="1800"/>
      <c r="R17" s="767"/>
      <c r="S17" s="768"/>
      <c r="T17" s="767"/>
      <c r="U17" s="768"/>
      <c r="V17" s="767"/>
      <c r="W17" s="768"/>
      <c r="X17" s="1803"/>
      <c r="Y17" s="3232"/>
      <c r="Z17" s="1804"/>
      <c r="AA17" s="1801">
        <v>1</v>
      </c>
      <c r="AB17" s="1801">
        <v>1</v>
      </c>
      <c r="AC17" s="1801">
        <v>1</v>
      </c>
    </row>
    <row r="18" spans="1:29" ht="28.5">
      <c r="A18" s="424"/>
      <c r="B18" s="1373" t="s">
        <v>2686</v>
      </c>
      <c r="C18" s="2594" t="str">
        <f>IF(B1="工业",估价对象房地状况!G6,估价对象房地状况!C8)</f>
        <v>估价对象所在区域基础设施水平</v>
      </c>
      <c r="D18" s="451">
        <v>100</v>
      </c>
      <c r="E18" s="448"/>
      <c r="F18" s="454">
        <f>SUMIF(65:65,E19,66:66)-SUMIF(65:65,C19,66:66)+100</f>
        <v>100</v>
      </c>
      <c r="G18" s="450"/>
      <c r="H18" s="451">
        <f>SUMIF(65:65,G19,66:66)-SUMIF(65:65,C19,66:66)+100</f>
        <v>100</v>
      </c>
      <c r="I18" s="453"/>
      <c r="J18" s="451">
        <f>SUMIF(65:65,I19,66:66)-SUMIF(65:65,C19,66:66)+100</f>
        <v>100</v>
      </c>
      <c r="K18" s="610"/>
      <c r="L18" s="1136"/>
      <c r="M18" s="1127"/>
      <c r="N18" s="1127"/>
      <c r="O18" s="1135"/>
      <c r="P18" s="3232"/>
      <c r="Q18" s="1800" t="str">
        <f>B18</f>
        <v>基础设施水平</v>
      </c>
      <c r="R18" s="767" t="s">
        <v>17</v>
      </c>
      <c r="S18" s="768">
        <f>F18</f>
        <v>100</v>
      </c>
      <c r="T18" s="767" t="s">
        <v>17</v>
      </c>
      <c r="U18" s="768">
        <f>H18</f>
        <v>100</v>
      </c>
      <c r="V18" s="767" t="s">
        <v>17</v>
      </c>
      <c r="W18" s="768">
        <f>J18</f>
        <v>100</v>
      </c>
      <c r="X18" s="1803"/>
      <c r="Y18" s="3232"/>
      <c r="Z18" s="1804" t="str">
        <f>Q18</f>
        <v>基础设施水平</v>
      </c>
      <c r="AA18" s="1801">
        <f>D18/F18</f>
        <v>1</v>
      </c>
      <c r="AB18" s="1801">
        <f>D18/H18</f>
        <v>1</v>
      </c>
      <c r="AC18" s="1801">
        <f>D18/J18</f>
        <v>1</v>
      </c>
    </row>
    <row r="19" spans="1:29" ht="15">
      <c r="A19" s="424"/>
      <c r="B19" s="1373"/>
      <c r="C19" s="2595"/>
      <c r="D19" s="446"/>
      <c r="E19" s="2595"/>
      <c r="F19" s="449"/>
      <c r="G19" s="2595"/>
      <c r="H19" s="444"/>
      <c r="I19" s="443"/>
      <c r="J19" s="444"/>
      <c r="K19" s="1372"/>
      <c r="L19" s="1136"/>
      <c r="M19" s="1127"/>
      <c r="N19" s="1127"/>
      <c r="O19" s="1135"/>
      <c r="P19" s="3232"/>
      <c r="Q19" s="1800"/>
      <c r="R19" s="767"/>
      <c r="S19" s="768"/>
      <c r="T19" s="767"/>
      <c r="U19" s="768"/>
      <c r="V19" s="767"/>
      <c r="W19" s="768"/>
      <c r="X19" s="1803"/>
      <c r="Y19" s="3232"/>
      <c r="Z19" s="1804"/>
      <c r="AA19" s="1801">
        <v>1</v>
      </c>
      <c r="AB19" s="1801">
        <v>1</v>
      </c>
      <c r="AC19" s="1801">
        <v>1</v>
      </c>
    </row>
    <row r="20" spans="1:29" ht="57">
      <c r="A20" s="424"/>
      <c r="B20" s="447" t="s">
        <v>2707</v>
      </c>
      <c r="C20" s="2594" t="str">
        <f>IF(B1="工业",估价对象房地状况!G7,估价对象房地状况!C9)</f>
        <v>区域自然环境：；人文环境；综合评价环境状况一般</v>
      </c>
      <c r="D20" s="451">
        <v>100</v>
      </c>
      <c r="E20" s="453"/>
      <c r="F20" s="454">
        <f>SUMIF(67:67,E21,68:68)-SUMIF(67:67,C21,68:68)+100</f>
        <v>100</v>
      </c>
      <c r="G20" s="455"/>
      <c r="H20" s="446">
        <f>SUMIF(67:67,G21,68:68)-SUMIF(67:67,C21,68:68)+100</f>
        <v>100</v>
      </c>
      <c r="I20" s="448"/>
      <c r="J20" s="446">
        <f>SUMIF(67:67,I21,68:68)-SUMIF(67:67,C21,68:68)+100</f>
        <v>100</v>
      </c>
      <c r="K20" s="610"/>
      <c r="L20" s="1136"/>
      <c r="M20" s="1127"/>
      <c r="N20" s="1127"/>
      <c r="O20" s="1135"/>
      <c r="P20" s="3232"/>
      <c r="Q20" s="1800" t="str">
        <f>B20</f>
        <v>自然及人文环境</v>
      </c>
      <c r="R20" s="767" t="s">
        <v>17</v>
      </c>
      <c r="S20" s="768">
        <f>F20</f>
        <v>100</v>
      </c>
      <c r="T20" s="767" t="s">
        <v>17</v>
      </c>
      <c r="U20" s="768">
        <f>H20</f>
        <v>100</v>
      </c>
      <c r="V20" s="767" t="s">
        <v>17</v>
      </c>
      <c r="W20" s="768">
        <f>J20</f>
        <v>100</v>
      </c>
      <c r="X20" s="1803"/>
      <c r="Y20" s="3232"/>
      <c r="Z20" s="1804" t="str">
        <f>Q20</f>
        <v>自然及人文环境</v>
      </c>
      <c r="AA20" s="1801">
        <f t="shared" si="3"/>
        <v>1</v>
      </c>
      <c r="AB20" s="1801">
        <f t="shared" si="4"/>
        <v>1</v>
      </c>
      <c r="AC20" s="1801">
        <f t="shared" si="5"/>
        <v>1</v>
      </c>
    </row>
    <row r="21" spans="1:29" ht="15">
      <c r="A21" s="424"/>
      <c r="B21" s="452"/>
      <c r="C21" s="443"/>
      <c r="D21" s="444"/>
      <c r="E21" s="443"/>
      <c r="F21" s="445"/>
      <c r="G21" s="443"/>
      <c r="H21" s="444"/>
      <c r="I21" s="443"/>
      <c r="J21" s="444"/>
      <c r="K21" s="611"/>
      <c r="L21" s="1136"/>
      <c r="M21" s="1127"/>
      <c r="N21" s="1127"/>
      <c r="O21" s="1135"/>
      <c r="P21" s="3232"/>
      <c r="Q21" s="1800"/>
      <c r="R21" s="767"/>
      <c r="S21" s="768"/>
      <c r="T21" s="767"/>
      <c r="U21" s="768"/>
      <c r="V21" s="767"/>
      <c r="W21" s="768"/>
      <c r="X21" s="1803"/>
      <c r="Y21" s="3232"/>
      <c r="Z21" s="1804"/>
      <c r="AA21" s="1801">
        <v>1</v>
      </c>
      <c r="AB21" s="1801">
        <v>1</v>
      </c>
      <c r="AC21" s="1801">
        <v>1</v>
      </c>
    </row>
    <row r="22" spans="1:29" ht="15">
      <c r="A22" s="424"/>
      <c r="B22" s="447" t="s">
        <v>2708</v>
      </c>
      <c r="C22" s="612"/>
      <c r="D22" s="446">
        <v>100</v>
      </c>
      <c r="E22" s="612"/>
      <c r="F22" s="457">
        <f>SUMIF(69:69,E22,70:70)-SUMIF(69:69,C22,70:70)+100</f>
        <v>100</v>
      </c>
      <c r="G22" s="612"/>
      <c r="H22" s="431">
        <f>SUMIF(69:69,G22,70:70)-SUMIF(69:69,C22,70:70)+100</f>
        <v>100</v>
      </c>
      <c r="I22" s="612"/>
      <c r="J22" s="431">
        <f>SUMIF(69:69,I22,70:70)-SUMIF(69:69,C22,70:70)+100</f>
        <v>100</v>
      </c>
      <c r="K22" s="608"/>
      <c r="L22" s="1136"/>
      <c r="M22" s="1127"/>
      <c r="N22" s="1127"/>
      <c r="O22" s="1135"/>
      <c r="P22" s="3232"/>
      <c r="Q22" s="1800" t="str">
        <f>B22</f>
        <v>楼层</v>
      </c>
      <c r="R22" s="767" t="s">
        <v>17</v>
      </c>
      <c r="S22" s="768">
        <f>F22</f>
        <v>100</v>
      </c>
      <c r="T22" s="767" t="s">
        <v>17</v>
      </c>
      <c r="U22" s="768">
        <f>H22</f>
        <v>100</v>
      </c>
      <c r="V22" s="767" t="s">
        <v>17</v>
      </c>
      <c r="W22" s="768">
        <f>J22</f>
        <v>100</v>
      </c>
      <c r="X22" s="1803"/>
      <c r="Y22" s="3232"/>
      <c r="Z22" s="1804" t="str">
        <f>Q22</f>
        <v>楼层</v>
      </c>
      <c r="AA22" s="1801">
        <f t="shared" si="3"/>
        <v>1</v>
      </c>
      <c r="AB22" s="1801">
        <f t="shared" si="4"/>
        <v>1</v>
      </c>
      <c r="AC22" s="1801">
        <f t="shared" si="5"/>
        <v>1</v>
      </c>
    </row>
    <row r="23" spans="1:29" ht="15">
      <c r="A23" s="400"/>
      <c r="B23" s="2587">
        <v>111</v>
      </c>
      <c r="C23" s="428"/>
      <c r="D23" s="431">
        <v>100</v>
      </c>
      <c r="E23" s="430"/>
      <c r="F23" s="457">
        <f>SUMIF(71:71,E23,72:72)-SUMIF(71:71,C23,72:72)+100</f>
        <v>100</v>
      </c>
      <c r="G23" s="430"/>
      <c r="H23" s="431">
        <f>SUMIF(71:71,G23,72:72)-SUMIF(71:71,C23,72:72)+100</f>
        <v>100</v>
      </c>
      <c r="I23" s="430"/>
      <c r="J23" s="431">
        <f>SUMIF(71:71,I23,72:72)-SUMIF(71:71,C23,72:72)+100</f>
        <v>100</v>
      </c>
      <c r="K23" s="609"/>
      <c r="L23" s="1136"/>
      <c r="M23" s="1127"/>
      <c r="N23" s="1127"/>
      <c r="O23" s="1135"/>
      <c r="P23" s="3232"/>
      <c r="Q23" s="1800">
        <f>B23</f>
        <v>111</v>
      </c>
      <c r="R23" s="767" t="s">
        <v>17</v>
      </c>
      <c r="S23" s="768">
        <f>F23</f>
        <v>100</v>
      </c>
      <c r="T23" s="767" t="s">
        <v>17</v>
      </c>
      <c r="U23" s="768">
        <f>H23</f>
        <v>100</v>
      </c>
      <c r="V23" s="767" t="s">
        <v>17</v>
      </c>
      <c r="W23" s="768">
        <f>J23</f>
        <v>100</v>
      </c>
      <c r="X23" s="1803"/>
      <c r="Y23" s="3232"/>
      <c r="Z23" s="1804">
        <f>Q23</f>
        <v>111</v>
      </c>
      <c r="AA23" s="1801">
        <f t="shared" si="3"/>
        <v>1</v>
      </c>
      <c r="AB23" s="1801">
        <f t="shared" si="4"/>
        <v>1</v>
      </c>
      <c r="AC23" s="1801">
        <f t="shared" si="5"/>
        <v>1</v>
      </c>
    </row>
    <row r="24" spans="1:29" ht="15">
      <c r="A24" s="424"/>
      <c r="B24" s="2587">
        <v>111</v>
      </c>
      <c r="C24" s="428"/>
      <c r="D24" s="431">
        <v>100</v>
      </c>
      <c r="E24" s="430"/>
      <c r="F24" s="457">
        <f>SUMIF(73:73,E24,74:74)-SUMIF(73:73,C24,74:74)+100</f>
        <v>100</v>
      </c>
      <c r="G24" s="430"/>
      <c r="H24" s="431">
        <f>SUMIF(73:73,G24,74:74)-SUMIF(73:73,C24,74:74)+100</f>
        <v>100</v>
      </c>
      <c r="I24" s="430"/>
      <c r="J24" s="431">
        <f>SUMIF(73:73,I24,74:74)-SUMIF(73:73,C24,74:74)+100</f>
        <v>100</v>
      </c>
      <c r="K24" s="609"/>
      <c r="L24" s="1136"/>
      <c r="M24" s="1127"/>
      <c r="N24" s="1127"/>
      <c r="O24" s="1135"/>
      <c r="P24" s="3232"/>
      <c r="Q24" s="1800">
        <f t="shared" ref="Q24:Q34" si="8">B24</f>
        <v>111</v>
      </c>
      <c r="R24" s="767" t="s">
        <v>17</v>
      </c>
      <c r="S24" s="768">
        <f>F24</f>
        <v>100</v>
      </c>
      <c r="T24" s="767" t="s">
        <v>17</v>
      </c>
      <c r="U24" s="768">
        <f>H24</f>
        <v>100</v>
      </c>
      <c r="V24" s="767" t="s">
        <v>17</v>
      </c>
      <c r="W24" s="768">
        <f>J24</f>
        <v>100</v>
      </c>
      <c r="X24" s="1803"/>
      <c r="Y24" s="3232"/>
      <c r="Z24" s="1804">
        <f>Q24</f>
        <v>111</v>
      </c>
      <c r="AA24" s="1801">
        <f t="shared" si="3"/>
        <v>1</v>
      </c>
      <c r="AB24" s="1801">
        <f t="shared" si="4"/>
        <v>1</v>
      </c>
      <c r="AC24" s="1801">
        <f t="shared" si="5"/>
        <v>1</v>
      </c>
    </row>
    <row r="25" spans="1:29" s="116" customFormat="1" ht="15.75" thickBot="1">
      <c r="A25" s="427"/>
      <c r="B25" s="2587">
        <v>111</v>
      </c>
      <c r="C25" s="2685"/>
      <c r="D25" s="660">
        <v>100</v>
      </c>
      <c r="E25" s="2685"/>
      <c r="F25" s="661">
        <f>SUMIF(75:75,E25,76:76)-SUMIF(75:75,C25,76:76)+100</f>
        <v>100</v>
      </c>
      <c r="G25" s="2685"/>
      <c r="H25" s="660">
        <f>SUMIF(75:75,G25,76:76)-SUMIF(75:75,C25,76:76)+100</f>
        <v>100</v>
      </c>
      <c r="I25" s="2685"/>
      <c r="J25" s="660">
        <f>SUMIF(75:75,I25,76:76)-SUMIF(75:75,C25,76:76)+100</f>
        <v>100</v>
      </c>
      <c r="K25" s="609"/>
      <c r="L25" s="1128"/>
      <c r="M25" s="1129"/>
      <c r="N25" s="1129"/>
      <c r="O25" s="1130"/>
      <c r="P25" s="3232"/>
      <c r="Q25" s="1785">
        <f t="shared" si="8"/>
        <v>111</v>
      </c>
      <c r="R25" s="763" t="s">
        <v>17</v>
      </c>
      <c r="S25" s="764">
        <f>F25</f>
        <v>100</v>
      </c>
      <c r="T25" s="763" t="s">
        <v>17</v>
      </c>
      <c r="U25" s="764">
        <f>H25</f>
        <v>100</v>
      </c>
      <c r="V25" s="763" t="s">
        <v>17</v>
      </c>
      <c r="W25" s="764">
        <f>J25</f>
        <v>100</v>
      </c>
      <c r="X25" s="765"/>
      <c r="Y25" s="3232"/>
      <c r="Z25" s="55">
        <f>Q25</f>
        <v>111</v>
      </c>
      <c r="AA25" s="1801">
        <f>D25/F25</f>
        <v>1</v>
      </c>
      <c r="AB25" s="1801">
        <f>D25/H25</f>
        <v>1</v>
      </c>
      <c r="AC25" s="1801">
        <f>D25/J25</f>
        <v>1</v>
      </c>
    </row>
    <row r="26" spans="1:29" ht="15">
      <c r="A26" s="462" t="s">
        <v>2560</v>
      </c>
      <c r="B26" s="70" t="s">
        <v>2711</v>
      </c>
      <c r="C26" s="2666"/>
      <c r="D26" s="463">
        <v>100</v>
      </c>
      <c r="E26" s="2666"/>
      <c r="F26" s="662">
        <f>SUMIF(77:77,E26,78:78)-SUMIF(77:77,C26,78:78)+100</f>
        <v>100</v>
      </c>
      <c r="G26" s="2666"/>
      <c r="H26" s="463">
        <f>SUMIF(77:77,G26,78:78)-SUMIF(77:77,C26,78:78)+100</f>
        <v>100</v>
      </c>
      <c r="I26" s="2666"/>
      <c r="J26" s="463">
        <f>SUMIF(77:77,I26,78:78)-SUMIF(77:77,C26,78:78)+100</f>
        <v>100</v>
      </c>
      <c r="K26" s="608"/>
      <c r="L26" s="1136"/>
      <c r="M26" s="1127"/>
      <c r="N26" s="1127"/>
      <c r="O26" s="1135"/>
      <c r="P26" s="3287" t="s">
        <v>2562</v>
      </c>
      <c r="Q26" s="1800" t="str">
        <f t="shared" si="8"/>
        <v>公共部分装修</v>
      </c>
      <c r="R26" s="767" t="s">
        <v>17</v>
      </c>
      <c r="S26" s="768">
        <f t="shared" ref="S26:S34" si="9">F26</f>
        <v>100</v>
      </c>
      <c r="T26" s="767" t="s">
        <v>17</v>
      </c>
      <c r="U26" s="768">
        <f t="shared" ref="U26:U34" si="10">H26</f>
        <v>100</v>
      </c>
      <c r="V26" s="767" t="s">
        <v>17</v>
      </c>
      <c r="W26" s="768">
        <f t="shared" ref="W26:W34" si="11">J26</f>
        <v>100</v>
      </c>
      <c r="X26" s="1803"/>
      <c r="Y26" s="3236" t="s">
        <v>2562</v>
      </c>
      <c r="Z26" s="1804" t="str">
        <f t="shared" ref="Z26:Z34" si="12">Q26</f>
        <v>公共部分装修</v>
      </c>
      <c r="AA26" s="1801">
        <f t="shared" si="3"/>
        <v>1</v>
      </c>
      <c r="AB26" s="1801">
        <f t="shared" si="4"/>
        <v>1</v>
      </c>
      <c r="AC26" s="1801">
        <f t="shared" si="5"/>
        <v>1</v>
      </c>
    </row>
    <row r="27" spans="1:29" s="467" customFormat="1" ht="15">
      <c r="A27" s="464"/>
      <c r="B27" s="418" t="s">
        <v>2712</v>
      </c>
      <c r="C27" s="470"/>
      <c r="D27" s="135">
        <v>100</v>
      </c>
      <c r="E27" s="471"/>
      <c r="F27" s="457" t="e">
        <f>LOOKUP(E27,80:80,81:81)-LOOKUP(C27,80:80,81:81)+100</f>
        <v>#N/A</v>
      </c>
      <c r="G27" s="472"/>
      <c r="H27" s="431" t="e">
        <f>LOOKUP(G27,80:80,81:81)-LOOKUP(C27,80:80,81:81)+100</f>
        <v>#N/A</v>
      </c>
      <c r="I27" s="472"/>
      <c r="J27" s="431" t="e">
        <f>LOOKUP(I27,80:80,81:81)-LOOKUP(C27,80:80,81:81)+100</f>
        <v>#N/A</v>
      </c>
      <c r="K27" s="608"/>
      <c r="L27" s="1134"/>
      <c r="M27" s="1137"/>
      <c r="N27" s="1137"/>
      <c r="O27" s="1138"/>
      <c r="P27" s="3236"/>
      <c r="Q27" s="769" t="str">
        <f t="shared" si="8"/>
        <v>成新率</v>
      </c>
      <c r="R27" s="770" t="s">
        <v>17</v>
      </c>
      <c r="S27" s="771" t="e">
        <f t="shared" si="9"/>
        <v>#N/A</v>
      </c>
      <c r="T27" s="770" t="s">
        <v>17</v>
      </c>
      <c r="U27" s="771" t="e">
        <f t="shared" si="10"/>
        <v>#N/A</v>
      </c>
      <c r="V27" s="770" t="s">
        <v>17</v>
      </c>
      <c r="W27" s="771" t="e">
        <f t="shared" si="11"/>
        <v>#N/A</v>
      </c>
      <c r="X27" s="772"/>
      <c r="Y27" s="3236"/>
      <c r="Z27" s="773" t="str">
        <f t="shared" si="12"/>
        <v>成新率</v>
      </c>
      <c r="AA27" s="1801" t="e">
        <f t="shared" si="3"/>
        <v>#N/A</v>
      </c>
      <c r="AB27" s="1801" t="e">
        <f t="shared" si="4"/>
        <v>#N/A</v>
      </c>
      <c r="AC27" s="1801" t="e">
        <f t="shared" si="5"/>
        <v>#N/A</v>
      </c>
    </row>
    <row r="28" spans="1:29" ht="15">
      <c r="A28" s="468"/>
      <c r="B28" s="418" t="s">
        <v>2713</v>
      </c>
      <c r="C28" s="456"/>
      <c r="D28" s="431">
        <v>100</v>
      </c>
      <c r="E28" s="456"/>
      <c r="F28" s="457">
        <f>SUMIF(82:82,E28,83:83)-SUMIF(82:82,C28,83:83)+100</f>
        <v>100</v>
      </c>
      <c r="G28" s="456"/>
      <c r="H28" s="431">
        <f>SUMIF(82:82,G28,83:83)-SUMIF(82:82,C28,83:83)+100</f>
        <v>100</v>
      </c>
      <c r="I28" s="456"/>
      <c r="J28" s="431">
        <f>SUMIF(82:82,I28,83:83)-SUMIF(82:82,C28,83:83)+100</f>
        <v>100</v>
      </c>
      <c r="K28" s="608"/>
      <c r="L28" s="1136"/>
      <c r="M28" s="1127"/>
      <c r="N28" s="1127"/>
      <c r="O28" s="1135"/>
      <c r="P28" s="3236"/>
      <c r="Q28" s="1800" t="str">
        <f t="shared" si="8"/>
        <v>物业等级</v>
      </c>
      <c r="R28" s="767" t="s">
        <v>17</v>
      </c>
      <c r="S28" s="768">
        <f t="shared" si="9"/>
        <v>100</v>
      </c>
      <c r="T28" s="767" t="s">
        <v>17</v>
      </c>
      <c r="U28" s="768">
        <f t="shared" si="10"/>
        <v>100</v>
      </c>
      <c r="V28" s="767" t="s">
        <v>17</v>
      </c>
      <c r="W28" s="768">
        <f t="shared" si="11"/>
        <v>100</v>
      </c>
      <c r="X28" s="1803"/>
      <c r="Y28" s="3236"/>
      <c r="Z28" s="1804" t="str">
        <f t="shared" si="12"/>
        <v>物业等级</v>
      </c>
      <c r="AA28" s="1801">
        <f t="shared" si="3"/>
        <v>1</v>
      </c>
      <c r="AB28" s="1801">
        <f t="shared" si="4"/>
        <v>1</v>
      </c>
      <c r="AC28" s="1801">
        <f t="shared" si="5"/>
        <v>1</v>
      </c>
    </row>
    <row r="29" spans="1:29" ht="15">
      <c r="A29" s="468"/>
      <c r="B29" s="418" t="s">
        <v>2734</v>
      </c>
      <c r="C29" s="652"/>
      <c r="D29" s="431">
        <v>100</v>
      </c>
      <c r="E29" s="652"/>
      <c r="F29" s="457">
        <f>SUMIF(84:84,E29,85:85)-SUMIF(84:84,C29,85:85)+100</f>
        <v>100</v>
      </c>
      <c r="G29" s="652"/>
      <c r="H29" s="431">
        <f>SUMIF(84:84,G29,85:85)-SUMIF(84:84,C29,85:85)+100</f>
        <v>100</v>
      </c>
      <c r="I29" s="652"/>
      <c r="J29" s="431">
        <f>SUMIF(84:84,I29,85:85)-SUMIF(84:84,C29,85:85)+100</f>
        <v>100</v>
      </c>
      <c r="K29" s="608"/>
      <c r="L29" s="1136"/>
      <c r="M29" s="1127"/>
      <c r="N29" s="1127"/>
      <c r="O29" s="1135"/>
      <c r="P29" s="3236"/>
      <c r="Q29" s="1800" t="str">
        <f t="shared" si="8"/>
        <v>有无电梯</v>
      </c>
      <c r="R29" s="767" t="s">
        <v>17</v>
      </c>
      <c r="S29" s="768">
        <f t="shared" si="9"/>
        <v>100</v>
      </c>
      <c r="T29" s="767" t="s">
        <v>17</v>
      </c>
      <c r="U29" s="768">
        <f t="shared" si="10"/>
        <v>100</v>
      </c>
      <c r="V29" s="767" t="s">
        <v>17</v>
      </c>
      <c r="W29" s="768">
        <f t="shared" si="11"/>
        <v>100</v>
      </c>
      <c r="X29" s="1803"/>
      <c r="Y29" s="3236"/>
      <c r="Z29" s="1804" t="str">
        <f t="shared" si="12"/>
        <v>有无电梯</v>
      </c>
      <c r="AA29" s="1801">
        <f t="shared" si="3"/>
        <v>1</v>
      </c>
      <c r="AB29" s="1801">
        <f t="shared" si="4"/>
        <v>1</v>
      </c>
      <c r="AC29" s="1801">
        <f t="shared" si="5"/>
        <v>1</v>
      </c>
    </row>
    <row r="30" spans="1:29" ht="15">
      <c r="A30" s="468"/>
      <c r="B30" s="418" t="s">
        <v>2735</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6"/>
      <c r="M30" s="1127"/>
      <c r="N30" s="1127"/>
      <c r="O30" s="1135"/>
      <c r="P30" s="3236"/>
      <c r="Q30" s="1800" t="str">
        <f t="shared" si="8"/>
        <v>建筑面积</v>
      </c>
      <c r="R30" s="767" t="s">
        <v>17</v>
      </c>
      <c r="S30" s="768" t="e">
        <f t="shared" si="9"/>
        <v>#N/A</v>
      </c>
      <c r="T30" s="767" t="s">
        <v>17</v>
      </c>
      <c r="U30" s="768" t="e">
        <f t="shared" si="10"/>
        <v>#N/A</v>
      </c>
      <c r="V30" s="767" t="s">
        <v>17</v>
      </c>
      <c r="W30" s="768" t="e">
        <f t="shared" si="11"/>
        <v>#N/A</v>
      </c>
      <c r="X30" s="1803"/>
      <c r="Y30" s="3236"/>
      <c r="Z30" s="1804" t="str">
        <f t="shared" si="12"/>
        <v>建筑面积</v>
      </c>
      <c r="AA30" s="1801" t="e">
        <f t="shared" si="3"/>
        <v>#N/A</v>
      </c>
      <c r="AB30" s="1801" t="e">
        <f t="shared" si="4"/>
        <v>#N/A</v>
      </c>
      <c r="AC30" s="1801" t="e">
        <f t="shared" si="5"/>
        <v>#N/A</v>
      </c>
    </row>
    <row r="31" spans="1:29" s="116" customFormat="1" ht="15">
      <c r="A31" s="469"/>
      <c r="B31" s="418" t="s">
        <v>2736</v>
      </c>
      <c r="C31" s="652"/>
      <c r="D31" s="135">
        <v>100</v>
      </c>
      <c r="E31" s="652"/>
      <c r="F31" s="457">
        <f>SUMIF(89:89,E31,90:90)-SUMIF(89:89,C31,90:90)+100</f>
        <v>100</v>
      </c>
      <c r="G31" s="652"/>
      <c r="H31" s="431">
        <f>SUMIF(89:89,G31,90:90)-SUMIF(89:89,C31,90:90)+100</f>
        <v>100</v>
      </c>
      <c r="I31" s="652"/>
      <c r="J31" s="431">
        <f>SUMIF(89:89,I31,90:90)-SUMIF(89:89,C31,90:90)+100</f>
        <v>100</v>
      </c>
      <c r="K31" s="608"/>
      <c r="L31" s="1128"/>
      <c r="M31" s="1129"/>
      <c r="N31" s="1129"/>
      <c r="O31" s="1130"/>
      <c r="P31" s="3236"/>
      <c r="Q31" s="1785" t="str">
        <f t="shared" si="8"/>
        <v>是否封闭</v>
      </c>
      <c r="R31" s="763" t="s">
        <v>17</v>
      </c>
      <c r="S31" s="764">
        <f t="shared" si="9"/>
        <v>100</v>
      </c>
      <c r="T31" s="763" t="s">
        <v>17</v>
      </c>
      <c r="U31" s="764">
        <f t="shared" si="10"/>
        <v>100</v>
      </c>
      <c r="V31" s="763" t="s">
        <v>17</v>
      </c>
      <c r="W31" s="764">
        <f t="shared" si="11"/>
        <v>100</v>
      </c>
      <c r="X31" s="765"/>
      <c r="Y31" s="3236"/>
      <c r="Z31" s="55" t="str">
        <f t="shared" si="12"/>
        <v>是否封闭</v>
      </c>
      <c r="AA31" s="766">
        <f t="shared" si="3"/>
        <v>1</v>
      </c>
      <c r="AB31" s="766">
        <f t="shared" si="4"/>
        <v>1</v>
      </c>
      <c r="AC31" s="766">
        <f t="shared" si="5"/>
        <v>1</v>
      </c>
    </row>
    <row r="32" spans="1:29" ht="15">
      <c r="A32" s="468"/>
      <c r="B32" s="2587">
        <v>111</v>
      </c>
      <c r="C32" s="428"/>
      <c r="D32" s="431">
        <v>100</v>
      </c>
      <c r="E32" s="465"/>
      <c r="F32" s="457">
        <f>SUMIF(91:91,E32,92:92)-SUMIF(91:91,C32,92:92)+100</f>
        <v>100</v>
      </c>
      <c r="G32" s="465"/>
      <c r="H32" s="431">
        <f>SUMIF(91:91,G32,92:92)-SUMIF(91:91,C32,92:92)+100</f>
        <v>100</v>
      </c>
      <c r="I32" s="465"/>
      <c r="J32" s="431">
        <f>SUMIF(91:91,I32,92:92)-SUMIF(91:91,C32,92:92)+100</f>
        <v>100</v>
      </c>
      <c r="K32" s="609"/>
      <c r="L32" s="1136"/>
      <c r="M32" s="1127"/>
      <c r="N32" s="1127"/>
      <c r="O32" s="1135"/>
      <c r="P32" s="3236" t="s">
        <v>2562</v>
      </c>
      <c r="Q32" s="1800">
        <f t="shared" si="8"/>
        <v>111</v>
      </c>
      <c r="R32" s="767" t="s">
        <v>17</v>
      </c>
      <c r="S32" s="768">
        <f t="shared" si="9"/>
        <v>100</v>
      </c>
      <c r="T32" s="767" t="s">
        <v>17</v>
      </c>
      <c r="U32" s="768">
        <f t="shared" si="10"/>
        <v>100</v>
      </c>
      <c r="V32" s="767" t="s">
        <v>17</v>
      </c>
      <c r="W32" s="768">
        <f t="shared" si="11"/>
        <v>100</v>
      </c>
      <c r="X32" s="1803"/>
      <c r="Y32" s="3236" t="s">
        <v>2562</v>
      </c>
      <c r="Z32" s="1804">
        <f t="shared" si="12"/>
        <v>111</v>
      </c>
      <c r="AA32" s="1801">
        <f t="shared" si="3"/>
        <v>1</v>
      </c>
      <c r="AB32" s="1801">
        <f t="shared" si="4"/>
        <v>1</v>
      </c>
      <c r="AC32" s="1801">
        <f t="shared" si="5"/>
        <v>1</v>
      </c>
    </row>
    <row r="33" spans="1:29" ht="15">
      <c r="A33" s="468"/>
      <c r="B33" s="2587">
        <v>111</v>
      </c>
      <c r="C33" s="428"/>
      <c r="D33" s="431">
        <v>100</v>
      </c>
      <c r="E33" s="465"/>
      <c r="F33" s="457">
        <f>SUMIF(93:93,E33,94:94)-SUMIF(93:93,C33,94:94)+100</f>
        <v>100</v>
      </c>
      <c r="G33" s="465"/>
      <c r="H33" s="431">
        <f>SUMIF(93:93,G33,94:94)-SUMIF(93:93,C33,94:94)+100</f>
        <v>100</v>
      </c>
      <c r="I33" s="465"/>
      <c r="J33" s="431">
        <f>SUMIF(93:93,I33,94:94)-SUMIF(93:93,C33,94:94)+100</f>
        <v>100</v>
      </c>
      <c r="K33" s="609"/>
      <c r="L33" s="1136"/>
      <c r="M33" s="1127"/>
      <c r="N33" s="1127"/>
      <c r="O33" s="1135"/>
      <c r="P33" s="3236"/>
      <c r="Q33" s="1800">
        <f t="shared" si="8"/>
        <v>111</v>
      </c>
      <c r="R33" s="767" t="s">
        <v>17</v>
      </c>
      <c r="S33" s="768">
        <f t="shared" si="9"/>
        <v>100</v>
      </c>
      <c r="T33" s="767" t="s">
        <v>17</v>
      </c>
      <c r="U33" s="768">
        <f t="shared" si="10"/>
        <v>100</v>
      </c>
      <c r="V33" s="767" t="s">
        <v>17</v>
      </c>
      <c r="W33" s="768">
        <f t="shared" si="11"/>
        <v>100</v>
      </c>
      <c r="X33" s="1803"/>
      <c r="Y33" s="3236"/>
      <c r="Z33" s="1804">
        <f t="shared" si="12"/>
        <v>111</v>
      </c>
      <c r="AA33" s="1801">
        <f t="shared" si="3"/>
        <v>1</v>
      </c>
      <c r="AB33" s="1801">
        <f t="shared" si="4"/>
        <v>1</v>
      </c>
      <c r="AC33" s="1801">
        <f t="shared" si="5"/>
        <v>1</v>
      </c>
    </row>
    <row r="34" spans="1:29" ht="15.75" thickBot="1">
      <c r="A34" s="474"/>
      <c r="B34" s="2589">
        <v>111</v>
      </c>
      <c r="C34" s="433"/>
      <c r="D34" s="434">
        <v>100</v>
      </c>
      <c r="E34" s="2684"/>
      <c r="F34" s="435">
        <f>SUMIF(95:95,E34,96:96)-SUMIF(95:95,C34,96:96)+100</f>
        <v>100</v>
      </c>
      <c r="G34" s="2684"/>
      <c r="H34" s="434">
        <f>SUMIF(95:95,G34,96:96)-SUMIF(95:95,C34,96:96)+100</f>
        <v>100</v>
      </c>
      <c r="I34" s="2684"/>
      <c r="J34" s="434">
        <f>SUMIF(95:95,I34,96:96)-SUMIF(95:95,C34,96:96)+100</f>
        <v>100</v>
      </c>
      <c r="K34" s="609"/>
      <c r="L34" s="1136"/>
      <c r="M34" s="1127"/>
      <c r="N34" s="1127"/>
      <c r="O34" s="1135"/>
      <c r="P34" s="3236"/>
      <c r="Q34" s="1800">
        <f t="shared" si="8"/>
        <v>111</v>
      </c>
      <c r="R34" s="767" t="s">
        <v>17</v>
      </c>
      <c r="S34" s="768">
        <f t="shared" si="9"/>
        <v>100</v>
      </c>
      <c r="T34" s="767" t="s">
        <v>17</v>
      </c>
      <c r="U34" s="768">
        <f t="shared" si="10"/>
        <v>100</v>
      </c>
      <c r="V34" s="767" t="s">
        <v>17</v>
      </c>
      <c r="W34" s="768">
        <f t="shared" si="11"/>
        <v>100</v>
      </c>
      <c r="X34" s="1803"/>
      <c r="Y34" s="3236"/>
      <c r="Z34" s="1804">
        <f t="shared" si="12"/>
        <v>111</v>
      </c>
      <c r="AA34" s="1801">
        <f t="shared" si="3"/>
        <v>1</v>
      </c>
      <c r="AB34" s="1801">
        <f t="shared" si="4"/>
        <v>1</v>
      </c>
      <c r="AC34" s="1801">
        <f t="shared" si="5"/>
        <v>1</v>
      </c>
    </row>
    <row r="35" spans="1:29" ht="15">
      <c r="A35" s="475" t="s">
        <v>2574</v>
      </c>
      <c r="B35" s="476"/>
      <c r="C35" s="1396" t="s">
        <v>1</v>
      </c>
      <c r="D35" s="1397"/>
      <c r="E35" s="1398"/>
      <c r="F35" s="1399"/>
      <c r="G35" s="1400"/>
      <c r="H35" s="1401"/>
      <c r="I35" s="1398"/>
      <c r="J35" s="1401"/>
      <c r="K35" s="776"/>
      <c r="L35" s="1139"/>
      <c r="M35" s="1140"/>
      <c r="N35" s="1127"/>
      <c r="O35" s="1140"/>
      <c r="P35" s="3238" t="str">
        <f>A35</f>
        <v>成交单价（元/平方米）</v>
      </c>
      <c r="Q35" s="3238"/>
      <c r="R35" s="3239">
        <f>E35</f>
        <v>0</v>
      </c>
      <c r="S35" s="3239"/>
      <c r="T35" s="3239">
        <f>G35</f>
        <v>0</v>
      </c>
      <c r="U35" s="3239"/>
      <c r="V35" s="3239">
        <f>I35</f>
        <v>0</v>
      </c>
      <c r="W35" s="3239"/>
      <c r="X35" s="752"/>
      <c r="Y35" s="774"/>
      <c r="Z35" s="752"/>
      <c r="AA35" s="752"/>
      <c r="AB35" s="752"/>
      <c r="AC35" s="752"/>
    </row>
    <row r="36" spans="1:29" ht="15.75" thickBot="1">
      <c r="A36" s="482" t="s">
        <v>2666</v>
      </c>
      <c r="B36" s="483"/>
      <c r="C36" s="1402" t="e">
        <f>R37</f>
        <v>#DIV/0!</v>
      </c>
      <c r="D36" s="1403"/>
      <c r="E36" s="1404" t="e">
        <f>R36</f>
        <v>#DIV/0!</v>
      </c>
      <c r="F36" s="1404"/>
      <c r="G36" s="1402" t="e">
        <f>T36</f>
        <v>#DIV/0!</v>
      </c>
      <c r="H36" s="1403"/>
      <c r="I36" s="1404" t="e">
        <f>V36</f>
        <v>#DIV/0!</v>
      </c>
      <c r="J36" s="1403"/>
      <c r="K36" s="777"/>
      <c r="L36" s="1139"/>
      <c r="M36" s="1140"/>
      <c r="N36" s="1127"/>
      <c r="O36" s="1140"/>
      <c r="P36" s="3238" t="str">
        <f>A36</f>
        <v>比较价值（元/平方米）</v>
      </c>
      <c r="Q36" s="3238"/>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2"/>
      <c r="Y36" s="752"/>
      <c r="Z36" s="752"/>
      <c r="AA36" s="752"/>
      <c r="AB36" s="752"/>
      <c r="AC36" s="752"/>
    </row>
    <row r="37" spans="1:29" ht="15.75" thickBot="1">
      <c r="A37" s="488" t="s">
        <v>2667</v>
      </c>
      <c r="B37" s="489"/>
      <c r="C37" s="1406" t="e">
        <f>R37</f>
        <v>#DIV/0!</v>
      </c>
      <c r="D37" s="1406"/>
      <c r="E37" s="1406"/>
      <c r="F37" s="1406"/>
      <c r="G37" s="1406"/>
      <c r="H37" s="1406"/>
      <c r="I37" s="1406"/>
      <c r="J37" s="1406"/>
      <c r="K37" s="778"/>
      <c r="L37" s="1139"/>
      <c r="M37" s="1140"/>
      <c r="N37" s="1140"/>
      <c r="O37" s="1140"/>
      <c r="P37" s="3240" t="str">
        <f>A37</f>
        <v>估价对象XX用房的比较价值（楼面单价，元/平方米）</v>
      </c>
      <c r="Q37" s="3241"/>
      <c r="R37" s="3242" t="e">
        <f>IF(F1="售价",ROUND(AVERAGE(R36:V36),0),ROUND(AVERAGE(R36:V36),1))</f>
        <v>#DIV/0!</v>
      </c>
      <c r="S37" s="3242"/>
      <c r="T37" s="3242"/>
      <c r="U37" s="3242"/>
      <c r="V37" s="3242"/>
      <c r="W37" s="3242"/>
      <c r="X37" s="752"/>
      <c r="Y37" s="752"/>
      <c r="Z37" s="752"/>
      <c r="AA37" s="752"/>
      <c r="AB37" s="752"/>
      <c r="AC37" s="752"/>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3" t="s">
        <v>2668</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101"/>
      <c r="L40" s="1102"/>
      <c r="M40" s="1140"/>
      <c r="N40" s="1140"/>
      <c r="O40" s="1140"/>
    </row>
    <row r="41" spans="1:29" ht="13.5" customHeight="1">
      <c r="A41" s="1140"/>
      <c r="B41" s="1140"/>
      <c r="C41" s="493" t="s">
        <v>2669</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101"/>
      <c r="L41" s="1102"/>
      <c r="M41" s="1140"/>
      <c r="N41" s="1140"/>
      <c r="O41" s="1140"/>
    </row>
    <row r="42" spans="1:29" s="498" customFormat="1" ht="13.5" customHeight="1">
      <c r="A42" s="1141"/>
      <c r="B42" s="1141"/>
      <c r="C42" s="493" t="s">
        <v>2670</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4"/>
      <c r="L42" s="1145"/>
      <c r="M42" s="1141"/>
      <c r="N42" s="1141"/>
      <c r="O42" s="1141"/>
    </row>
    <row r="43" spans="1:29" s="498"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6" t="s">
        <v>2671</v>
      </c>
      <c r="B45" s="752"/>
      <c r="C45" s="757"/>
      <c r="D45" s="757"/>
      <c r="E45" s="757"/>
      <c r="F45" s="758"/>
      <c r="G45" s="758"/>
      <c r="H45" s="757"/>
      <c r="I45" s="757"/>
      <c r="J45" s="757"/>
      <c r="K45" s="759"/>
      <c r="L45" s="760"/>
      <c r="M45" s="757"/>
      <c r="N45" s="757"/>
      <c r="O45" s="757"/>
      <c r="P45" s="499"/>
      <c r="Q45" s="500"/>
    </row>
    <row r="46" spans="1:29" s="504" customFormat="1" ht="15">
      <c r="A46" s="501" t="s">
        <v>2545</v>
      </c>
      <c r="B46" s="502"/>
      <c r="C46" s="1564" t="str">
        <f>YEAR(C7)&amp;"-"&amp;MONTH(C7)</f>
        <v>2017-10</v>
      </c>
      <c r="D46" s="1565">
        <f>EDATE(C46,-1)</f>
        <v>42979</v>
      </c>
      <c r="E46" s="1565">
        <f t="shared" ref="E46:O46" si="13">EDATE(D46,-1)</f>
        <v>42948</v>
      </c>
      <c r="F46" s="1565">
        <f t="shared" si="13"/>
        <v>42917</v>
      </c>
      <c r="G46" s="1565">
        <f t="shared" si="13"/>
        <v>42887</v>
      </c>
      <c r="H46" s="1565">
        <f t="shared" si="13"/>
        <v>42856</v>
      </c>
      <c r="I46" s="1565">
        <f t="shared" si="13"/>
        <v>42826</v>
      </c>
      <c r="J46" s="1565">
        <f t="shared" si="13"/>
        <v>42795</v>
      </c>
      <c r="K46" s="1565">
        <f t="shared" si="13"/>
        <v>42767</v>
      </c>
      <c r="L46" s="1565">
        <f t="shared" si="13"/>
        <v>42736</v>
      </c>
      <c r="M46" s="1565">
        <f t="shared" si="13"/>
        <v>42705</v>
      </c>
      <c r="N46" s="1565">
        <f t="shared" si="13"/>
        <v>42675</v>
      </c>
      <c r="O46" s="1565">
        <f t="shared" si="13"/>
        <v>42644</v>
      </c>
      <c r="P46" s="503"/>
    </row>
    <row r="47" spans="1:29" s="116" customFormat="1" ht="15">
      <c r="A47" s="505"/>
      <c r="B47" s="506"/>
      <c r="C47" s="1563">
        <v>100</v>
      </c>
      <c r="D47" s="508"/>
      <c r="E47" s="508"/>
      <c r="F47" s="508"/>
      <c r="G47" s="508"/>
      <c r="H47" s="508"/>
      <c r="I47" s="508"/>
      <c r="J47" s="508"/>
      <c r="K47" s="508"/>
      <c r="L47" s="508"/>
      <c r="M47" s="509"/>
      <c r="N47" s="508"/>
      <c r="O47" s="510"/>
      <c r="P47" s="500"/>
    </row>
    <row r="48" spans="1:29" s="116" customFormat="1" ht="15.75" thickBot="1">
      <c r="A48" s="511" t="s">
        <v>2582</v>
      </c>
      <c r="B48" s="512"/>
      <c r="C48" s="513"/>
      <c r="D48" s="514"/>
      <c r="E48" s="514"/>
      <c r="F48" s="514"/>
      <c r="G48" s="514"/>
      <c r="H48" s="514"/>
      <c r="I48" s="514"/>
      <c r="J48" s="514"/>
      <c r="K48" s="514"/>
      <c r="L48" s="514"/>
      <c r="M48" s="515"/>
      <c r="N48" s="514"/>
      <c r="O48" s="516"/>
      <c r="P48" s="500"/>
      <c r="Q48" s="500"/>
    </row>
    <row r="49" spans="1:17" s="116" customFormat="1" ht="15">
      <c r="A49" s="517" t="s">
        <v>2547</v>
      </c>
      <c r="B49" s="506"/>
      <c r="C49" s="518" t="s">
        <v>2649</v>
      </c>
      <c r="D49" s="519"/>
      <c r="E49" s="519"/>
      <c r="F49" s="519"/>
      <c r="G49" s="519"/>
      <c r="H49" s="519"/>
      <c r="I49" s="519"/>
      <c r="J49" s="519"/>
      <c r="K49" s="519"/>
      <c r="L49" s="520"/>
      <c r="M49" s="521"/>
      <c r="N49" s="1147"/>
      <c r="O49" s="1147"/>
      <c r="P49" s="522"/>
      <c r="Q49" s="500"/>
    </row>
    <row r="50" spans="1:17" s="116" customFormat="1" ht="15.75" thickBot="1">
      <c r="A50" s="517"/>
      <c r="B50" s="506"/>
      <c r="C50" s="634">
        <v>100</v>
      </c>
      <c r="D50" s="508"/>
      <c r="E50" s="508"/>
      <c r="F50" s="508"/>
      <c r="G50" s="508"/>
      <c r="H50" s="508"/>
      <c r="I50" s="508"/>
      <c r="J50" s="508"/>
      <c r="K50" s="508"/>
      <c r="L50" s="508"/>
      <c r="M50" s="510"/>
      <c r="N50" s="1147"/>
      <c r="O50" s="1147"/>
      <c r="P50" s="500"/>
      <c r="Q50" s="500"/>
    </row>
    <row r="51" spans="1:17">
      <c r="A51" s="523" t="s">
        <v>2585</v>
      </c>
      <c r="B51" s="524" t="s">
        <v>2551</v>
      </c>
      <c r="C51" s="525">
        <f>C9</f>
        <v>0</v>
      </c>
      <c r="D51" s="526"/>
      <c r="E51" s="526"/>
      <c r="F51" s="526"/>
      <c r="G51" s="526"/>
      <c r="H51" s="526"/>
      <c r="I51" s="526"/>
      <c r="J51" s="526"/>
      <c r="K51" s="527"/>
      <c r="L51" s="528"/>
      <c r="M51" s="529"/>
      <c r="N51" s="1148"/>
      <c r="O51" s="1148"/>
      <c r="P51" s="45"/>
      <c r="Q51" s="500"/>
    </row>
    <row r="52" spans="1:17" ht="15.75" thickBot="1">
      <c r="A52" s="530"/>
      <c r="B52" s="531"/>
      <c r="C52" s="532">
        <v>100</v>
      </c>
      <c r="D52" s="532"/>
      <c r="E52" s="532"/>
      <c r="F52" s="532"/>
      <c r="G52" s="532"/>
      <c r="H52" s="532"/>
      <c r="I52" s="532"/>
      <c r="J52" s="532"/>
      <c r="K52" s="532"/>
      <c r="L52" s="532"/>
      <c r="M52" s="533"/>
      <c r="N52" s="1149"/>
      <c r="O52" s="1149"/>
      <c r="P52" s="45"/>
      <c r="Q52" s="500"/>
    </row>
    <row r="53" spans="1:17" ht="27.75" thickTop="1">
      <c r="A53" s="530"/>
      <c r="B53" s="534" t="s">
        <v>2554</v>
      </c>
      <c r="C53" s="535" t="s">
        <v>2586</v>
      </c>
      <c r="D53" s="535" t="s">
        <v>2587</v>
      </c>
      <c r="E53" s="535" t="s">
        <v>2588</v>
      </c>
      <c r="F53" s="535" t="s">
        <v>2589</v>
      </c>
      <c r="G53" s="535" t="s">
        <v>2590</v>
      </c>
      <c r="H53" s="535" t="s">
        <v>2591</v>
      </c>
      <c r="I53" s="535" t="s">
        <v>2592</v>
      </c>
      <c r="J53" s="535"/>
      <c r="K53" s="536"/>
      <c r="L53" s="537"/>
      <c r="M53" s="538"/>
      <c r="N53" s="1148"/>
      <c r="O53" s="1148"/>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49"/>
      <c r="O54" s="1149"/>
      <c r="P54" s="45"/>
      <c r="Q54" s="500"/>
    </row>
    <row r="55" spans="1:17" ht="15.75" thickTop="1">
      <c r="A55" s="530"/>
      <c r="B55" s="655">
        <f>B11</f>
        <v>111</v>
      </c>
      <c r="C55" s="545"/>
      <c r="D55" s="545"/>
      <c r="E55" s="545"/>
      <c r="F55" s="545"/>
      <c r="G55" s="545"/>
      <c r="H55" s="545"/>
      <c r="I55" s="545"/>
      <c r="J55" s="545"/>
      <c r="K55" s="546"/>
      <c r="L55" s="547"/>
      <c r="M55" s="548"/>
      <c r="N55" s="1148"/>
      <c r="O55" s="1148"/>
      <c r="P55" s="45"/>
      <c r="Q55" s="500"/>
    </row>
    <row r="56" spans="1:17" ht="15.75" thickBot="1">
      <c r="A56" s="530"/>
      <c r="B56" s="531"/>
      <c r="C56" s="556"/>
      <c r="D56" s="532"/>
      <c r="E56" s="532"/>
      <c r="F56" s="532"/>
      <c r="G56" s="532"/>
      <c r="H56" s="532"/>
      <c r="I56" s="532"/>
      <c r="J56" s="532"/>
      <c r="K56" s="532"/>
      <c r="L56" s="532"/>
      <c r="M56" s="533"/>
      <c r="N56" s="1149"/>
      <c r="O56" s="1149"/>
      <c r="P56" s="45"/>
      <c r="Q56" s="500"/>
    </row>
    <row r="57" spans="1:17" s="467" customFormat="1" ht="15.75" thickTop="1">
      <c r="A57" s="549"/>
      <c r="B57" s="534">
        <f>B12</f>
        <v>111</v>
      </c>
      <c r="C57" s="545"/>
      <c r="D57" s="545"/>
      <c r="E57" s="545"/>
      <c r="F57" s="545"/>
      <c r="G57" s="550"/>
      <c r="H57" s="551"/>
      <c r="I57" s="551"/>
      <c r="J57" s="551"/>
      <c r="K57" s="551"/>
      <c r="L57" s="552"/>
      <c r="M57" s="553"/>
      <c r="N57" s="1150"/>
      <c r="O57" s="1150"/>
      <c r="P57" s="554"/>
      <c r="Q57" s="555"/>
    </row>
    <row r="58" spans="1:17" s="467" customFormat="1" ht="15.75" thickBot="1">
      <c r="A58" s="549"/>
      <c r="B58" s="539"/>
      <c r="C58" s="556"/>
      <c r="D58" s="532"/>
      <c r="E58" s="532"/>
      <c r="F58" s="532"/>
      <c r="G58" s="532"/>
      <c r="H58" s="532"/>
      <c r="I58" s="532"/>
      <c r="J58" s="532"/>
      <c r="K58" s="532"/>
      <c r="L58" s="532"/>
      <c r="M58" s="533"/>
      <c r="N58" s="1149"/>
      <c r="O58" s="1149"/>
      <c r="P58" s="554"/>
      <c r="Q58" s="555"/>
    </row>
    <row r="59" spans="1:17" s="467" customFormat="1" ht="15.75" thickTop="1">
      <c r="A59" s="549"/>
      <c r="B59" s="534">
        <f>B13</f>
        <v>111</v>
      </c>
      <c r="C59" s="545"/>
      <c r="D59" s="545"/>
      <c r="E59" s="545"/>
      <c r="F59" s="545"/>
      <c r="G59" s="550"/>
      <c r="H59" s="551"/>
      <c r="I59" s="551"/>
      <c r="J59" s="551"/>
      <c r="K59" s="551"/>
      <c r="L59" s="552"/>
      <c r="M59" s="553"/>
      <c r="N59" s="1150"/>
      <c r="O59" s="1150"/>
      <c r="P59" s="466"/>
      <c r="Q59" s="557"/>
    </row>
    <row r="60" spans="1:17" s="467" customFormat="1" ht="15.75" thickBot="1">
      <c r="A60" s="549"/>
      <c r="B60" s="539"/>
      <c r="C60" s="556"/>
      <c r="D60" s="556"/>
      <c r="E60" s="556"/>
      <c r="F60" s="556"/>
      <c r="G60" s="556"/>
      <c r="H60" s="558"/>
      <c r="I60" s="558"/>
      <c r="J60" s="558"/>
      <c r="K60" s="558"/>
      <c r="L60" s="558"/>
      <c r="M60" s="559"/>
      <c r="N60" s="1150"/>
      <c r="O60" s="1150"/>
      <c r="P60" s="554"/>
      <c r="Q60" s="555"/>
    </row>
    <row r="61" spans="1:17" ht="15" thickTop="1">
      <c r="A61" s="523" t="s">
        <v>2556</v>
      </c>
      <c r="B61" s="524" t="s">
        <v>2599</v>
      </c>
      <c r="C61" s="569" t="s">
        <v>2594</v>
      </c>
      <c r="D61" s="569" t="s">
        <v>2595</v>
      </c>
      <c r="E61" s="569" t="s">
        <v>2596</v>
      </c>
      <c r="F61" s="569" t="s">
        <v>2597</v>
      </c>
      <c r="G61" s="569" t="s">
        <v>2598</v>
      </c>
      <c r="H61" s="525"/>
      <c r="I61" s="525"/>
      <c r="J61" s="525"/>
      <c r="K61" s="570"/>
      <c r="L61" s="571"/>
      <c r="M61" s="572"/>
      <c r="N61" s="1148"/>
      <c r="O61" s="1148"/>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49"/>
      <c r="O62" s="1149"/>
      <c r="P62" s="45"/>
      <c r="Q62" s="500"/>
    </row>
    <row r="63" spans="1:17" ht="27.75" thickTop="1">
      <c r="A63" s="530"/>
      <c r="B63" s="534" t="s">
        <v>2737</v>
      </c>
      <c r="C63" s="574" t="s">
        <v>2594</v>
      </c>
      <c r="D63" s="574" t="s">
        <v>2595</v>
      </c>
      <c r="E63" s="574" t="s">
        <v>2596</v>
      </c>
      <c r="F63" s="574" t="s">
        <v>2597</v>
      </c>
      <c r="G63" s="574" t="s">
        <v>2598</v>
      </c>
      <c r="H63" s="535"/>
      <c r="I63" s="535"/>
      <c r="J63" s="535"/>
      <c r="K63" s="536"/>
      <c r="L63" s="537"/>
      <c r="M63" s="538"/>
      <c r="N63" s="1148"/>
      <c r="O63" s="1148"/>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49"/>
      <c r="O64" s="1149"/>
      <c r="P64" s="45"/>
      <c r="Q64" s="500"/>
    </row>
    <row r="65" spans="1:17" ht="15.75" thickTop="1">
      <c r="A65" s="530"/>
      <c r="B65" s="542" t="s">
        <v>2686</v>
      </c>
      <c r="C65" s="655" t="s">
        <v>2672</v>
      </c>
      <c r="D65" s="655" t="s">
        <v>2673</v>
      </c>
      <c r="E65" s="655" t="s">
        <v>2674</v>
      </c>
      <c r="F65" s="655" t="s">
        <v>2675</v>
      </c>
      <c r="G65" s="655" t="s">
        <v>2676</v>
      </c>
      <c r="H65" s="535"/>
      <c r="I65" s="535"/>
      <c r="J65" s="535"/>
      <c r="K65" s="535"/>
      <c r="L65" s="535"/>
      <c r="M65" s="1371"/>
      <c r="N65" s="1149"/>
      <c r="O65" s="1149"/>
      <c r="P65" s="45"/>
      <c r="Q65" s="500"/>
    </row>
    <row r="66" spans="1:17" ht="15.75" thickBot="1">
      <c r="A66" s="530"/>
      <c r="B66" s="542"/>
      <c r="C66" s="540">
        <v>100</v>
      </c>
      <c r="D66" s="540">
        <f>C66-$K18</f>
        <v>100</v>
      </c>
      <c r="E66" s="540">
        <f>D66-$K18</f>
        <v>100</v>
      </c>
      <c r="F66" s="540">
        <f>E66-$K18</f>
        <v>100</v>
      </c>
      <c r="G66" s="540">
        <f>F66-$K18</f>
        <v>100</v>
      </c>
      <c r="H66" s="655"/>
      <c r="I66" s="655"/>
      <c r="J66" s="655"/>
      <c r="K66" s="655"/>
      <c r="L66" s="655"/>
      <c r="M66" s="446"/>
      <c r="N66" s="1149"/>
      <c r="O66" s="1149"/>
      <c r="P66" s="45"/>
      <c r="Q66" s="500"/>
    </row>
    <row r="67" spans="1:17" ht="15.75" thickTop="1">
      <c r="A67" s="530"/>
      <c r="B67" s="534" t="s">
        <v>2606</v>
      </c>
      <c r="C67" s="574" t="s">
        <v>2594</v>
      </c>
      <c r="D67" s="574" t="s">
        <v>2595</v>
      </c>
      <c r="E67" s="574" t="s">
        <v>2596</v>
      </c>
      <c r="F67" s="574" t="s">
        <v>2597</v>
      </c>
      <c r="G67" s="574" t="s">
        <v>2598</v>
      </c>
      <c r="H67" s="535"/>
      <c r="I67" s="535"/>
      <c r="J67" s="535"/>
      <c r="K67" s="536"/>
      <c r="L67" s="537"/>
      <c r="M67" s="538"/>
      <c r="N67" s="1148"/>
      <c r="O67" s="1148"/>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49"/>
      <c r="O68" s="1149"/>
      <c r="P68" s="45"/>
      <c r="Q68" s="500"/>
    </row>
    <row r="69" spans="1:17" ht="15.75" thickTop="1">
      <c r="A69" s="530"/>
      <c r="B69" s="534" t="s">
        <v>2726</v>
      </c>
      <c r="C69" s="550"/>
      <c r="D69" s="550"/>
      <c r="E69" s="550"/>
      <c r="F69" s="550"/>
      <c r="G69" s="550"/>
      <c r="H69" s="579"/>
      <c r="I69" s="579"/>
      <c r="J69" s="579"/>
      <c r="K69" s="580"/>
      <c r="L69" s="581"/>
      <c r="M69" s="582"/>
      <c r="N69" s="1148"/>
      <c r="O69" s="1148"/>
      <c r="P69" s="45"/>
      <c r="Q69" s="500"/>
    </row>
    <row r="70" spans="1:17" ht="15.75" thickBot="1">
      <c r="A70" s="530"/>
      <c r="B70" s="539"/>
      <c r="C70" s="540">
        <v>100</v>
      </c>
      <c r="D70" s="540">
        <f>C70-$K22</f>
        <v>100</v>
      </c>
      <c r="E70" s="540"/>
      <c r="F70" s="540"/>
      <c r="G70" s="540"/>
      <c r="H70" s="540"/>
      <c r="I70" s="540"/>
      <c r="J70" s="540"/>
      <c r="K70" s="540"/>
      <c r="L70" s="540"/>
      <c r="M70" s="541"/>
      <c r="N70" s="1149"/>
      <c r="O70" s="1149"/>
      <c r="P70" s="45"/>
      <c r="Q70" s="500"/>
    </row>
    <row r="71" spans="1:17" s="116" customFormat="1" ht="15.75" thickTop="1">
      <c r="A71" s="575"/>
      <c r="B71" s="534">
        <f>B23</f>
        <v>111</v>
      </c>
      <c r="C71" s="545"/>
      <c r="D71" s="545"/>
      <c r="E71" s="545"/>
      <c r="F71" s="545"/>
      <c r="G71" s="550"/>
      <c r="H71" s="550"/>
      <c r="I71" s="550"/>
      <c r="J71" s="550"/>
      <c r="K71" s="550"/>
      <c r="L71" s="576"/>
      <c r="M71" s="577"/>
      <c r="N71" s="1147"/>
      <c r="O71" s="1147"/>
      <c r="P71" s="45"/>
      <c r="Q71" s="500"/>
    </row>
    <row r="72" spans="1:17" s="116" customFormat="1" ht="15.75" thickBot="1">
      <c r="A72" s="575"/>
      <c r="B72" s="539"/>
      <c r="C72" s="556"/>
      <c r="D72" s="532"/>
      <c r="E72" s="532"/>
      <c r="F72" s="532"/>
      <c r="G72" s="532"/>
      <c r="H72" s="532"/>
      <c r="I72" s="532"/>
      <c r="J72" s="532"/>
      <c r="K72" s="532"/>
      <c r="L72" s="532"/>
      <c r="M72" s="533"/>
      <c r="N72" s="1149"/>
      <c r="O72" s="1149"/>
      <c r="P72" s="45"/>
      <c r="Q72" s="500"/>
    </row>
    <row r="73" spans="1:17" s="116" customFormat="1" ht="15.75" thickTop="1">
      <c r="A73" s="575"/>
      <c r="B73" s="534">
        <f>B24</f>
        <v>111</v>
      </c>
      <c r="C73" s="545"/>
      <c r="D73" s="545"/>
      <c r="E73" s="545"/>
      <c r="F73" s="545"/>
      <c r="G73" s="550"/>
      <c r="H73" s="550"/>
      <c r="I73" s="550"/>
      <c r="J73" s="550"/>
      <c r="K73" s="550"/>
      <c r="L73" s="550"/>
      <c r="M73" s="577"/>
      <c r="N73" s="1147"/>
      <c r="O73" s="1147"/>
      <c r="P73" s="45"/>
      <c r="Q73" s="500"/>
    </row>
    <row r="74" spans="1:17" s="116" customFormat="1" ht="15.75" thickBot="1">
      <c r="A74" s="575"/>
      <c r="B74" s="539"/>
      <c r="C74" s="556"/>
      <c r="D74" s="532"/>
      <c r="E74" s="532"/>
      <c r="F74" s="532"/>
      <c r="G74" s="532"/>
      <c r="H74" s="532"/>
      <c r="I74" s="532"/>
      <c r="J74" s="532"/>
      <c r="K74" s="532"/>
      <c r="L74" s="532"/>
      <c r="M74" s="533"/>
      <c r="N74" s="1149"/>
      <c r="O74" s="1149"/>
      <c r="P74" s="45"/>
      <c r="Q74" s="500"/>
    </row>
    <row r="75" spans="1:17" s="467" customFormat="1" ht="15.75" thickTop="1">
      <c r="A75" s="549"/>
      <c r="B75" s="534">
        <f>B25</f>
        <v>111</v>
      </c>
      <c r="C75" s="545"/>
      <c r="D75" s="545"/>
      <c r="E75" s="545"/>
      <c r="F75" s="545"/>
      <c r="G75" s="550"/>
      <c r="H75" s="551"/>
      <c r="I75" s="551"/>
      <c r="J75" s="551"/>
      <c r="K75" s="551"/>
      <c r="L75" s="552"/>
      <c r="M75" s="553"/>
      <c r="N75" s="1150"/>
      <c r="O75" s="1150"/>
      <c r="P75" s="554"/>
      <c r="Q75" s="555"/>
    </row>
    <row r="76" spans="1:17" s="467" customFormat="1" ht="15.75" thickBot="1">
      <c r="A76" s="549"/>
      <c r="B76" s="539"/>
      <c r="C76" s="556"/>
      <c r="D76" s="556"/>
      <c r="E76" s="556"/>
      <c r="F76" s="556"/>
      <c r="G76" s="532"/>
      <c r="H76" s="532"/>
      <c r="I76" s="532"/>
      <c r="J76" s="532"/>
      <c r="K76" s="532"/>
      <c r="L76" s="532"/>
      <c r="M76" s="533"/>
      <c r="N76" s="1150"/>
      <c r="O76" s="1150"/>
      <c r="P76" s="554"/>
      <c r="Q76" s="555"/>
    </row>
    <row r="77" spans="1:17" ht="15" thickTop="1">
      <c r="A77" s="523" t="s">
        <v>2560</v>
      </c>
      <c r="B77" s="524" t="s">
        <v>2613</v>
      </c>
      <c r="C77" s="550"/>
      <c r="D77" s="550"/>
      <c r="E77" s="526"/>
      <c r="F77" s="526"/>
      <c r="G77" s="526"/>
      <c r="H77" s="526"/>
      <c r="I77" s="526"/>
      <c r="J77" s="526"/>
      <c r="K77" s="527"/>
      <c r="L77" s="528"/>
      <c r="M77" s="529"/>
      <c r="N77" s="1148"/>
      <c r="O77" s="1148"/>
      <c r="P77" s="45"/>
      <c r="Q77" s="500"/>
    </row>
    <row r="78" spans="1:17" ht="15.75" thickBot="1">
      <c r="A78" s="530"/>
      <c r="B78" s="539"/>
      <c r="C78" s="540">
        <v>100</v>
      </c>
      <c r="D78" s="540">
        <f t="shared" ref="D78:M78" si="14">C78-$K26</f>
        <v>100</v>
      </c>
      <c r="E78" s="540">
        <f t="shared" si="14"/>
        <v>100</v>
      </c>
      <c r="F78" s="540">
        <f t="shared" si="14"/>
        <v>100</v>
      </c>
      <c r="G78" s="540">
        <f t="shared" si="14"/>
        <v>100</v>
      </c>
      <c r="H78" s="540">
        <f t="shared" si="14"/>
        <v>100</v>
      </c>
      <c r="I78" s="540">
        <f t="shared" si="14"/>
        <v>100</v>
      </c>
      <c r="J78" s="540">
        <f t="shared" si="14"/>
        <v>100</v>
      </c>
      <c r="K78" s="540">
        <f t="shared" si="14"/>
        <v>100</v>
      </c>
      <c r="L78" s="540">
        <f t="shared" si="14"/>
        <v>100</v>
      </c>
      <c r="M78" s="541">
        <f t="shared" si="14"/>
        <v>100</v>
      </c>
      <c r="N78" s="1149"/>
      <c r="O78" s="1149"/>
      <c r="P78" s="45"/>
      <c r="Q78" s="500"/>
    </row>
    <row r="79" spans="1:17" ht="15.75" thickTop="1">
      <c r="A79" s="530"/>
      <c r="B79" s="534" t="s">
        <v>2729</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7"/>
      <c r="O79" s="1147"/>
      <c r="P79" s="45"/>
      <c r="Q79" s="500"/>
    </row>
    <row r="80" spans="1:17" ht="15">
      <c r="A80" s="530"/>
      <c r="B80" s="542"/>
      <c r="C80" s="599">
        <v>0.5</v>
      </c>
      <c r="D80" s="599">
        <v>0.6</v>
      </c>
      <c r="E80" s="599">
        <v>0.7</v>
      </c>
      <c r="F80" s="599">
        <v>0.8</v>
      </c>
      <c r="G80" s="599">
        <v>0.9</v>
      </c>
      <c r="H80" s="599">
        <v>1.0001</v>
      </c>
      <c r="I80" s="655"/>
      <c r="J80" s="655"/>
      <c r="K80" s="663"/>
      <c r="L80" s="664"/>
      <c r="M80" s="665"/>
      <c r="N80" s="1147"/>
      <c r="O80" s="1147"/>
      <c r="P80" s="45"/>
      <c r="Q80" s="500"/>
    </row>
    <row r="81" spans="1:17" s="467" customFormat="1" ht="15.75" thickBot="1">
      <c r="A81" s="549"/>
      <c r="B81" s="539"/>
      <c r="C81" s="578">
        <v>100</v>
      </c>
      <c r="D81" s="540">
        <f t="shared" ref="D81:M81" si="15">C81+$K27</f>
        <v>100</v>
      </c>
      <c r="E81" s="540">
        <f t="shared" si="15"/>
        <v>100</v>
      </c>
      <c r="F81" s="540">
        <f t="shared" si="15"/>
        <v>100</v>
      </c>
      <c r="G81" s="540">
        <f t="shared" si="15"/>
        <v>100</v>
      </c>
      <c r="H81" s="540">
        <f t="shared" si="15"/>
        <v>100</v>
      </c>
      <c r="I81" s="540">
        <f t="shared" si="15"/>
        <v>100</v>
      </c>
      <c r="J81" s="540">
        <f t="shared" si="15"/>
        <v>100</v>
      </c>
      <c r="K81" s="540">
        <f t="shared" si="15"/>
        <v>100</v>
      </c>
      <c r="L81" s="540">
        <f t="shared" si="15"/>
        <v>100</v>
      </c>
      <c r="M81" s="540">
        <f t="shared" si="15"/>
        <v>100</v>
      </c>
      <c r="N81" s="1149"/>
      <c r="O81" s="1149"/>
      <c r="P81" s="554"/>
      <c r="Q81" s="555"/>
    </row>
    <row r="82" spans="1:17" ht="15" thickTop="1">
      <c r="A82" s="595"/>
      <c r="B82" s="542" t="s">
        <v>2730</v>
      </c>
      <c r="C82" s="550"/>
      <c r="D82" s="550"/>
      <c r="E82" s="579"/>
      <c r="F82" s="579"/>
      <c r="G82" s="579"/>
      <c r="H82" s="579"/>
      <c r="I82" s="579"/>
      <c r="J82" s="579"/>
      <c r="K82" s="580"/>
      <c r="L82" s="581"/>
      <c r="M82" s="582"/>
      <c r="N82" s="1148"/>
      <c r="O82" s="1148"/>
      <c r="P82" s="45"/>
      <c r="Q82" s="500"/>
    </row>
    <row r="83" spans="1:17" ht="15.75" thickBot="1">
      <c r="A83" s="530"/>
      <c r="B83" s="539"/>
      <c r="C83" s="540">
        <v>100</v>
      </c>
      <c r="D83" s="540">
        <f t="shared" ref="D83:M83" si="16">C83-$K28</f>
        <v>100</v>
      </c>
      <c r="E83" s="540">
        <f t="shared" si="16"/>
        <v>100</v>
      </c>
      <c r="F83" s="540">
        <f t="shared" si="16"/>
        <v>100</v>
      </c>
      <c r="G83" s="540">
        <f t="shared" si="16"/>
        <v>100</v>
      </c>
      <c r="H83" s="540">
        <f t="shared" si="16"/>
        <v>100</v>
      </c>
      <c r="I83" s="540">
        <f t="shared" si="16"/>
        <v>100</v>
      </c>
      <c r="J83" s="540">
        <f t="shared" si="16"/>
        <v>100</v>
      </c>
      <c r="K83" s="540">
        <f t="shared" si="16"/>
        <v>100</v>
      </c>
      <c r="L83" s="540">
        <f t="shared" si="16"/>
        <v>100</v>
      </c>
      <c r="M83" s="541">
        <f t="shared" si="16"/>
        <v>100</v>
      </c>
      <c r="N83" s="1149"/>
      <c r="O83" s="1149"/>
      <c r="P83" s="45"/>
      <c r="Q83" s="500"/>
    </row>
    <row r="84" spans="1:17" ht="15" thickTop="1">
      <c r="A84" s="595"/>
      <c r="B84" s="534" t="s">
        <v>2738</v>
      </c>
      <c r="C84" s="550"/>
      <c r="D84" s="550"/>
      <c r="E84" s="550"/>
      <c r="F84" s="550"/>
      <c r="G84" s="550"/>
      <c r="H84" s="550"/>
      <c r="I84" s="579"/>
      <c r="J84" s="579"/>
      <c r="K84" s="580"/>
      <c r="L84" s="581"/>
      <c r="M84" s="582"/>
      <c r="N84" s="1148"/>
      <c r="O84" s="1148"/>
      <c r="P84" s="45"/>
      <c r="Q84" s="500"/>
    </row>
    <row r="85" spans="1:17" ht="15.75" thickBot="1">
      <c r="A85" s="530"/>
      <c r="B85" s="539"/>
      <c r="C85" s="578">
        <v>100</v>
      </c>
      <c r="D85" s="540">
        <f t="shared" ref="D85:M85" si="17">C85+$K29</f>
        <v>100</v>
      </c>
      <c r="E85" s="540">
        <f t="shared" si="17"/>
        <v>100</v>
      </c>
      <c r="F85" s="540">
        <f t="shared" si="17"/>
        <v>100</v>
      </c>
      <c r="G85" s="540">
        <f t="shared" si="17"/>
        <v>100</v>
      </c>
      <c r="H85" s="540">
        <f t="shared" si="17"/>
        <v>100</v>
      </c>
      <c r="I85" s="540">
        <f t="shared" si="17"/>
        <v>100</v>
      </c>
      <c r="J85" s="540">
        <f t="shared" si="17"/>
        <v>100</v>
      </c>
      <c r="K85" s="540">
        <f t="shared" si="17"/>
        <v>100</v>
      </c>
      <c r="L85" s="540">
        <f t="shared" si="17"/>
        <v>100</v>
      </c>
      <c r="M85" s="540">
        <f t="shared" si="17"/>
        <v>100</v>
      </c>
      <c r="N85" s="1149"/>
      <c r="O85" s="1149"/>
      <c r="P85" s="45"/>
      <c r="Q85" s="500"/>
    </row>
    <row r="86" spans="1:17" ht="15" thickTop="1">
      <c r="A86" s="595"/>
      <c r="B86" s="542" t="s">
        <v>2739</v>
      </c>
      <c r="C86" s="574" t="str">
        <f t="shared" ref="C86:L86" si="18">C87&amp;"(含)"&amp;"-"&amp;D87</f>
        <v>(含)-</v>
      </c>
      <c r="D86" s="574" t="str">
        <f t="shared" si="18"/>
        <v>(含)-</v>
      </c>
      <c r="E86" s="574" t="str">
        <f t="shared" si="18"/>
        <v>(含)-</v>
      </c>
      <c r="F86" s="574" t="str">
        <f t="shared" si="18"/>
        <v>(含)-</v>
      </c>
      <c r="G86" s="574" t="str">
        <f t="shared" si="18"/>
        <v>(含)-</v>
      </c>
      <c r="H86" s="574" t="str">
        <f t="shared" si="18"/>
        <v>(含)-</v>
      </c>
      <c r="I86" s="574" t="str">
        <f t="shared" si="18"/>
        <v>(含)-</v>
      </c>
      <c r="J86" s="574" t="str">
        <f t="shared" si="18"/>
        <v>(含)-</v>
      </c>
      <c r="K86" s="574" t="str">
        <f t="shared" si="18"/>
        <v>(含)-</v>
      </c>
      <c r="L86" s="574" t="str">
        <f t="shared" si="18"/>
        <v>(含)-</v>
      </c>
      <c r="M86" s="617" t="str">
        <f>M87&amp;"(含)"&amp;"-"&amp;P87</f>
        <v>(含)-</v>
      </c>
      <c r="N86" s="1148"/>
      <c r="O86" s="1148"/>
      <c r="P86" s="45"/>
      <c r="Q86" s="500"/>
    </row>
    <row r="87" spans="1:17">
      <c r="A87" s="595"/>
      <c r="B87" s="542"/>
      <c r="C87" s="591"/>
      <c r="D87" s="591"/>
      <c r="E87" s="591"/>
      <c r="F87" s="591"/>
      <c r="G87" s="591"/>
      <c r="H87" s="591"/>
      <c r="I87" s="591"/>
      <c r="J87" s="592"/>
      <c r="K87" s="592"/>
      <c r="L87" s="593"/>
      <c r="M87" s="594"/>
      <c r="N87" s="1148"/>
      <c r="O87" s="1148"/>
      <c r="P87" s="45"/>
      <c r="Q87" s="500"/>
    </row>
    <row r="88" spans="1:17" ht="15.75" thickBot="1">
      <c r="A88" s="530"/>
      <c r="B88" s="539"/>
      <c r="C88" s="556"/>
      <c r="D88" s="532"/>
      <c r="E88" s="532"/>
      <c r="F88" s="532"/>
      <c r="G88" s="532"/>
      <c r="H88" s="532"/>
      <c r="I88" s="532"/>
      <c r="J88" s="532"/>
      <c r="K88" s="532"/>
      <c r="L88" s="532"/>
      <c r="M88" s="532"/>
      <c r="N88" s="1149"/>
      <c r="O88" s="1149"/>
      <c r="P88" s="45"/>
      <c r="Q88" s="500"/>
    </row>
    <row r="89" spans="1:17" s="467" customFormat="1" ht="15" thickTop="1">
      <c r="A89" s="589"/>
      <c r="B89" s="534" t="s">
        <v>2740</v>
      </c>
      <c r="C89" s="550"/>
      <c r="D89" s="550"/>
      <c r="E89" s="550"/>
      <c r="F89" s="550"/>
      <c r="G89" s="550"/>
      <c r="H89" s="550"/>
      <c r="I89" s="550"/>
      <c r="J89" s="550"/>
      <c r="K89" s="550"/>
      <c r="L89" s="550"/>
      <c r="M89" s="577"/>
      <c r="N89" s="1150"/>
      <c r="O89" s="1150"/>
      <c r="P89" s="554"/>
      <c r="Q89" s="555"/>
    </row>
    <row r="90" spans="1:17" s="467" customFormat="1" ht="15.75" thickBot="1">
      <c r="A90" s="549"/>
      <c r="B90" s="539"/>
      <c r="C90" s="556"/>
      <c r="D90" s="532"/>
      <c r="E90" s="532"/>
      <c r="F90" s="532"/>
      <c r="G90" s="532"/>
      <c r="H90" s="532"/>
      <c r="I90" s="532"/>
      <c r="J90" s="532"/>
      <c r="K90" s="532"/>
      <c r="L90" s="532"/>
      <c r="M90" s="533"/>
      <c r="N90" s="1150"/>
      <c r="O90" s="1150"/>
      <c r="P90" s="554"/>
      <c r="Q90" s="555"/>
    </row>
    <row r="91" spans="1:17" ht="15" thickTop="1">
      <c r="A91" s="595"/>
      <c r="B91" s="534">
        <f>B32</f>
        <v>111</v>
      </c>
      <c r="C91" s="545"/>
      <c r="D91" s="545"/>
      <c r="E91" s="545"/>
      <c r="F91" s="545"/>
      <c r="G91" s="550"/>
      <c r="H91" s="551"/>
      <c r="I91" s="551"/>
      <c r="J91" s="551"/>
      <c r="K91" s="551"/>
      <c r="L91" s="552"/>
      <c r="M91" s="553"/>
      <c r="N91" s="1148"/>
      <c r="O91" s="1148"/>
      <c r="P91" s="45"/>
      <c r="Q91" s="500"/>
    </row>
    <row r="92" spans="1:17" ht="15.75" thickBot="1">
      <c r="A92" s="530"/>
      <c r="B92" s="539"/>
      <c r="C92" s="556"/>
      <c r="D92" s="532"/>
      <c r="E92" s="532"/>
      <c r="F92" s="532"/>
      <c r="G92" s="556"/>
      <c r="H92" s="558"/>
      <c r="I92" s="558"/>
      <c r="J92" s="558"/>
      <c r="K92" s="558"/>
      <c r="L92" s="558"/>
      <c r="M92" s="559"/>
      <c r="N92" s="1149"/>
      <c r="O92" s="1149"/>
      <c r="P92" s="45"/>
      <c r="Q92" s="500"/>
    </row>
    <row r="93" spans="1:17" ht="15" thickTop="1">
      <c r="A93" s="595"/>
      <c r="B93" s="534">
        <f>B33</f>
        <v>111</v>
      </c>
      <c r="C93" s="545"/>
      <c r="D93" s="545"/>
      <c r="E93" s="545"/>
      <c r="F93" s="545"/>
      <c r="G93" s="550"/>
      <c r="H93" s="551"/>
      <c r="I93" s="551"/>
      <c r="J93" s="551"/>
      <c r="K93" s="551"/>
      <c r="L93" s="552"/>
      <c r="M93" s="553"/>
      <c r="N93" s="1148"/>
      <c r="O93" s="1148"/>
      <c r="P93" s="45"/>
      <c r="Q93" s="500"/>
    </row>
    <row r="94" spans="1:17" ht="15.75" thickBot="1">
      <c r="A94" s="530"/>
      <c r="B94" s="539"/>
      <c r="C94" s="556"/>
      <c r="D94" s="532"/>
      <c r="E94" s="532"/>
      <c r="F94" s="532"/>
      <c r="G94" s="556"/>
      <c r="H94" s="558"/>
      <c r="I94" s="558"/>
      <c r="J94" s="558"/>
      <c r="K94" s="558"/>
      <c r="L94" s="558"/>
      <c r="M94" s="559"/>
      <c r="N94" s="1149"/>
      <c r="O94" s="1149"/>
      <c r="P94" s="45"/>
      <c r="Q94" s="500"/>
    </row>
    <row r="95" spans="1:17" ht="15" thickTop="1">
      <c r="A95" s="595"/>
      <c r="B95" s="631">
        <f>B34</f>
        <v>111</v>
      </c>
      <c r="C95" s="545"/>
      <c r="D95" s="545"/>
      <c r="E95" s="545"/>
      <c r="F95" s="545"/>
      <c r="G95" s="550"/>
      <c r="H95" s="551"/>
      <c r="I95" s="551"/>
      <c r="J95" s="551"/>
      <c r="K95" s="551"/>
      <c r="L95" s="552"/>
      <c r="M95" s="553"/>
      <c r="N95" s="1149"/>
      <c r="O95" s="1149"/>
      <c r="P95" s="632"/>
      <c r="Q95" s="633"/>
    </row>
    <row r="96" spans="1:17" ht="15.75" thickBot="1">
      <c r="A96" s="530"/>
      <c r="B96" s="539"/>
      <c r="C96" s="556"/>
      <c r="D96" s="556"/>
      <c r="E96" s="556"/>
      <c r="F96" s="556"/>
      <c r="G96" s="556"/>
      <c r="H96" s="558"/>
      <c r="I96" s="558"/>
      <c r="J96" s="558"/>
      <c r="K96" s="558"/>
      <c r="L96" s="558"/>
      <c r="M96" s="559"/>
      <c r="N96" s="1149"/>
      <c r="O96" s="1149"/>
      <c r="P96" s="45"/>
      <c r="Q96" s="500"/>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399" customWidth="1"/>
    <col min="2" max="2" width="15.75" style="399" customWidth="1"/>
    <col min="3" max="3" width="14.375" style="399" customWidth="1"/>
    <col min="4" max="4" width="14.1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2741</v>
      </c>
      <c r="B1" s="391"/>
      <c r="C1" s="392" t="s">
        <v>2742</v>
      </c>
      <c r="D1" s="748"/>
      <c r="E1" s="748"/>
      <c r="F1" s="747" t="s">
        <v>2640</v>
      </c>
      <c r="G1" s="748"/>
      <c r="H1" s="748"/>
      <c r="I1" s="748"/>
      <c r="J1" s="748"/>
      <c r="K1" s="749"/>
      <c r="L1" s="750"/>
      <c r="M1" s="751"/>
      <c r="N1" s="751"/>
      <c r="O1" s="751"/>
      <c r="P1" s="761"/>
      <c r="Q1" s="761"/>
      <c r="R1" s="761"/>
      <c r="S1" s="761"/>
      <c r="T1" s="761"/>
      <c r="U1" s="761"/>
      <c r="V1" s="761"/>
      <c r="W1" s="761"/>
      <c r="X1" s="761"/>
      <c r="Y1" s="761"/>
      <c r="Z1" s="761"/>
      <c r="AA1" s="761"/>
      <c r="AB1" s="761"/>
      <c r="AC1" s="762"/>
      <c r="AD1" s="393"/>
    </row>
    <row r="2" spans="1:30" s="394" customFormat="1" ht="28.5" customHeight="1">
      <c r="A2" s="245" t="s">
        <v>2324</v>
      </c>
      <c r="B2" s="666" t="e">
        <f>F66</f>
        <v>#DIV/0!</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3"/>
    </row>
    <row r="3" spans="1:30" s="394" customFormat="1" ht="28.5" customHeight="1" thickBot="1">
      <c r="A3" s="247" t="s">
        <v>2326</v>
      </c>
      <c r="B3" s="605" t="e">
        <f>ROUND(IF(D3="",B2*10000/'数据-汇总表'!E3,B2*10000/D3),0)</f>
        <v>#DIV/0!</v>
      </c>
      <c r="C3" s="247" t="s">
        <v>2743</v>
      </c>
      <c r="D3" s="1573"/>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5">
      <c r="A4" s="397" t="s">
        <v>2642</v>
      </c>
      <c r="B4" s="398"/>
      <c r="C4" s="3215" t="s">
        <v>2643</v>
      </c>
      <c r="D4" s="3216"/>
      <c r="E4" s="3217" t="s">
        <v>2644</v>
      </c>
      <c r="F4" s="3218"/>
      <c r="G4" s="3215" t="s">
        <v>2645</v>
      </c>
      <c r="H4" s="3216"/>
      <c r="I4" s="3215" t="s">
        <v>2646</v>
      </c>
      <c r="J4" s="3216"/>
      <c r="K4" s="606" t="s">
        <v>2647</v>
      </c>
      <c r="L4" s="1126"/>
      <c r="M4" s="1127"/>
      <c r="N4" s="1127"/>
      <c r="O4" s="1127"/>
      <c r="P4" s="3219" t="s">
        <v>2648</v>
      </c>
      <c r="Q4" s="3220"/>
      <c r="R4" s="3201" t="s">
        <v>2644</v>
      </c>
      <c r="S4" s="3202"/>
      <c r="T4" s="3201" t="s">
        <v>2645</v>
      </c>
      <c r="U4" s="3202"/>
      <c r="V4" s="3198" t="s">
        <v>2646</v>
      </c>
      <c r="W4" s="3198"/>
      <c r="X4" s="1803"/>
      <c r="Y4" s="3201" t="s">
        <v>2648</v>
      </c>
      <c r="Z4" s="3202"/>
      <c r="AA4" s="3195" t="s">
        <v>2644</v>
      </c>
      <c r="AB4" s="3196" t="s">
        <v>2645</v>
      </c>
      <c r="AC4" s="3195" t="s">
        <v>2646</v>
      </c>
    </row>
    <row r="5" spans="1:30" ht="15">
      <c r="A5" s="400"/>
      <c r="B5" s="401"/>
      <c r="C5" s="3207" t="s">
        <v>2539</v>
      </c>
      <c r="D5" s="3208"/>
      <c r="E5" s="3205" t="s">
        <v>2540</v>
      </c>
      <c r="F5" s="3206"/>
      <c r="G5" s="3207" t="s">
        <v>2541</v>
      </c>
      <c r="H5" s="3208"/>
      <c r="I5" s="3207" t="s">
        <v>2542</v>
      </c>
      <c r="J5" s="3208"/>
      <c r="K5" s="606"/>
      <c r="L5" s="1126"/>
      <c r="M5" s="1127"/>
      <c r="N5" s="1127"/>
      <c r="O5" s="1127"/>
      <c r="P5" s="3221"/>
      <c r="Q5" s="3222"/>
      <c r="R5" s="3203"/>
      <c r="S5" s="3204"/>
      <c r="T5" s="3203"/>
      <c r="U5" s="3204"/>
      <c r="V5" s="3198"/>
      <c r="W5" s="3198"/>
      <c r="X5" s="1803"/>
      <c r="Y5" s="3203"/>
      <c r="Z5" s="3204"/>
      <c r="AA5" s="3196"/>
      <c r="AB5" s="3196"/>
      <c r="AC5" s="3196"/>
    </row>
    <row r="6" spans="1:30" ht="15.75" thickBot="1">
      <c r="A6" s="402"/>
      <c r="B6" s="403"/>
      <c r="C6" s="3209" t="s">
        <v>2543</v>
      </c>
      <c r="D6" s="3210"/>
      <c r="E6" s="3212" t="s">
        <v>2543</v>
      </c>
      <c r="F6" s="3213"/>
      <c r="G6" s="3209" t="s">
        <v>2543</v>
      </c>
      <c r="H6" s="3210"/>
      <c r="I6" s="3209" t="s">
        <v>2543</v>
      </c>
      <c r="J6" s="3210"/>
      <c r="K6" s="606" t="s">
        <v>2544</v>
      </c>
      <c r="L6" s="1126"/>
      <c r="M6" s="1127"/>
      <c r="N6" s="1127"/>
      <c r="O6" s="1127"/>
      <c r="P6" s="3223"/>
      <c r="Q6" s="3224"/>
      <c r="R6" s="3203"/>
      <c r="S6" s="3204"/>
      <c r="T6" s="3225"/>
      <c r="U6" s="3226"/>
      <c r="V6" s="3198"/>
      <c r="W6" s="3198"/>
      <c r="X6" s="1803"/>
      <c r="Y6" s="3225"/>
      <c r="Z6" s="3226"/>
      <c r="AA6" s="3197"/>
      <c r="AB6" s="3197"/>
      <c r="AC6" s="3197"/>
    </row>
    <row r="7" spans="1:30" s="116" customFormat="1" ht="15.75" thickBot="1">
      <c r="A7" s="404" t="s">
        <v>2545</v>
      </c>
      <c r="B7" s="405"/>
      <c r="C7" s="406">
        <f>'数据-取费表'!B2</f>
        <v>43028</v>
      </c>
      <c r="D7" s="407">
        <v>100</v>
      </c>
      <c r="E7" s="408">
        <v>42309</v>
      </c>
      <c r="F7" s="409">
        <f>SUMIF(70:70,YEAR(E7)&amp;"-"&amp;INT((MONTH(E7)+2)/3),71:71)</f>
        <v>0</v>
      </c>
      <c r="G7" s="2683">
        <v>42309</v>
      </c>
      <c r="H7" s="407">
        <f>SUMIF(70:70,YEAR(G7)&amp;"-"&amp;INT((MONTH(G7)+2)/3),71:71)</f>
        <v>0</v>
      </c>
      <c r="I7" s="2683">
        <v>42036</v>
      </c>
      <c r="J7" s="407">
        <f>SUMIF(70:70,YEAR(I7)&amp;"-"&amp;INT((MONTH(I7)+2)/3),71:71)</f>
        <v>0</v>
      </c>
      <c r="K7" s="607"/>
      <c r="L7" s="1128"/>
      <c r="M7" s="1129"/>
      <c r="N7" s="1129"/>
      <c r="O7" s="1129"/>
      <c r="P7" s="3199" t="s">
        <v>2546</v>
      </c>
      <c r="Q7" s="3228"/>
      <c r="R7" s="763" t="s">
        <v>17</v>
      </c>
      <c r="S7" s="764">
        <f t="shared" ref="S7:S15" si="0">F7</f>
        <v>0</v>
      </c>
      <c r="T7" s="763" t="s">
        <v>17</v>
      </c>
      <c r="U7" s="764">
        <f t="shared" ref="U7:U15" si="1">H7</f>
        <v>0</v>
      </c>
      <c r="V7" s="763" t="s">
        <v>17</v>
      </c>
      <c r="W7" s="764">
        <f t="shared" ref="W7:W15" si="2">J7</f>
        <v>0</v>
      </c>
      <c r="X7" s="765"/>
      <c r="Y7" s="3199" t="s">
        <v>2546</v>
      </c>
      <c r="Z7" s="3200"/>
      <c r="AA7" s="766" t="e">
        <f>D7/F7</f>
        <v>#DIV/0!</v>
      </c>
      <c r="AB7" s="766" t="e">
        <f>D7/H7</f>
        <v>#DIV/0!</v>
      </c>
      <c r="AC7" s="766" t="e">
        <f>D7/J7</f>
        <v>#DIV/0!</v>
      </c>
    </row>
    <row r="8" spans="1:30" s="116" customFormat="1" ht="15.75" thickBot="1">
      <c r="A8" s="404" t="s">
        <v>2547</v>
      </c>
      <c r="B8" s="405"/>
      <c r="C8" s="410" t="s">
        <v>2548</v>
      </c>
      <c r="D8" s="407">
        <v>100</v>
      </c>
      <c r="E8" s="410"/>
      <c r="F8" s="409">
        <f>SUMIF(73:73,E8,74:74)-SUMIF(73:73,C8,74:74)+100</f>
        <v>0</v>
      </c>
      <c r="G8" s="410"/>
      <c r="H8" s="407">
        <f>SUMIF(73:73,G8,74:74)-SUMIF(73:73,C8,74:74)+100</f>
        <v>0</v>
      </c>
      <c r="I8" s="410"/>
      <c r="J8" s="407">
        <f>SUMIF(73:73,I8,74:74)-SUMIF(73:73,C8,74:74)+100</f>
        <v>0</v>
      </c>
      <c r="K8" s="607"/>
      <c r="L8" s="1128"/>
      <c r="M8" s="1129"/>
      <c r="N8" s="1129"/>
      <c r="O8" s="1129"/>
      <c r="P8" s="3199" t="s">
        <v>2549</v>
      </c>
      <c r="Q8" s="3200"/>
      <c r="R8" s="763" t="s">
        <v>17</v>
      </c>
      <c r="S8" s="764">
        <f t="shared" si="0"/>
        <v>0</v>
      </c>
      <c r="T8" s="763" t="s">
        <v>17</v>
      </c>
      <c r="U8" s="764">
        <f t="shared" si="1"/>
        <v>0</v>
      </c>
      <c r="V8" s="763" t="s">
        <v>17</v>
      </c>
      <c r="W8" s="764">
        <f t="shared" si="2"/>
        <v>0</v>
      </c>
      <c r="X8" s="765"/>
      <c r="Y8" s="3199" t="s">
        <v>2549</v>
      </c>
      <c r="Z8" s="3200"/>
      <c r="AA8" s="766" t="e">
        <f t="shared" ref="AA8:AA45" si="3">D8/F8</f>
        <v>#DIV/0!</v>
      </c>
      <c r="AB8" s="766" t="e">
        <f t="shared" ref="AB8:AB45" si="4">D8/H8</f>
        <v>#DIV/0!</v>
      </c>
      <c r="AC8" s="766" t="e">
        <f t="shared" ref="AC8:AC45" si="5">D8/J8</f>
        <v>#DIV/0!</v>
      </c>
    </row>
    <row r="9" spans="1:30" s="116" customFormat="1">
      <c r="A9" s="411" t="s">
        <v>2550</v>
      </c>
      <c r="B9" s="70" t="s">
        <v>2551</v>
      </c>
      <c r="C9" s="2686"/>
      <c r="D9" s="134">
        <v>100</v>
      </c>
      <c r="E9" s="2686"/>
      <c r="F9" s="134">
        <f>SUMIF(75:75,E9,76:76)-SUMIF(75:75,C9,76:76)+100</f>
        <v>100</v>
      </c>
      <c r="G9" s="2686"/>
      <c r="H9" s="134">
        <f>SUMIF(75:75,G9,76:76)-SUMIF(75:75,C9,76:76)+100</f>
        <v>100</v>
      </c>
      <c r="I9" s="2686"/>
      <c r="J9" s="134">
        <f>SUMIF(75:75,I9,76:76)-SUMIF(75:75,C9,76:76)+100</f>
        <v>100</v>
      </c>
      <c r="K9" s="607"/>
      <c r="L9" s="1128"/>
      <c r="M9" s="1129"/>
      <c r="N9" s="1129"/>
      <c r="O9" s="1130"/>
      <c r="P9" s="3238" t="s">
        <v>2552</v>
      </c>
      <c r="Q9" s="1785" t="str">
        <f t="shared" ref="Q9:Q15" si="6">B9</f>
        <v>用途</v>
      </c>
      <c r="R9" s="763" t="s">
        <v>17</v>
      </c>
      <c r="S9" s="764">
        <f t="shared" si="0"/>
        <v>100</v>
      </c>
      <c r="T9" s="763" t="s">
        <v>17</v>
      </c>
      <c r="U9" s="764">
        <f t="shared" si="1"/>
        <v>100</v>
      </c>
      <c r="V9" s="763" t="s">
        <v>17</v>
      </c>
      <c r="W9" s="764">
        <f t="shared" si="2"/>
        <v>100</v>
      </c>
      <c r="X9" s="765"/>
      <c r="Y9" s="3072" t="s">
        <v>2553</v>
      </c>
      <c r="Z9" s="55" t="str">
        <f t="shared" ref="Z9:Z15" si="7">Q9</f>
        <v>用途</v>
      </c>
      <c r="AA9" s="766">
        <f t="shared" si="3"/>
        <v>1</v>
      </c>
      <c r="AB9" s="766">
        <f t="shared" si="4"/>
        <v>1</v>
      </c>
      <c r="AC9" s="766">
        <f t="shared" si="5"/>
        <v>1</v>
      </c>
    </row>
    <row r="10" spans="1:30" s="423" customFormat="1" ht="27">
      <c r="A10" s="417"/>
      <c r="B10" s="418" t="s">
        <v>2554</v>
      </c>
      <c r="C10" s="428"/>
      <c r="D10" s="135">
        <v>100</v>
      </c>
      <c r="E10" s="461"/>
      <c r="F10" s="135">
        <f>ROUND(100/'数据-取费表'!G16,0)</f>
        <v>117</v>
      </c>
      <c r="G10" s="459"/>
      <c r="H10" s="135">
        <f>ROUND(100/'数据-取费表'!G16,0)</f>
        <v>117</v>
      </c>
      <c r="I10" s="459"/>
      <c r="J10" s="135">
        <f>ROUND(100/'数据-取费表'!G16,0)</f>
        <v>117</v>
      </c>
      <c r="K10" s="667"/>
      <c r="L10" s="1131"/>
      <c r="M10" s="1132"/>
      <c r="N10" s="1132"/>
      <c r="O10" s="1133"/>
      <c r="P10" s="3238"/>
      <c r="Q10" s="1785" t="str">
        <f t="shared" si="6"/>
        <v>土地使用年限（年）</v>
      </c>
      <c r="R10" s="763" t="s">
        <v>17</v>
      </c>
      <c r="S10" s="764">
        <f t="shared" si="0"/>
        <v>117</v>
      </c>
      <c r="T10" s="763" t="s">
        <v>17</v>
      </c>
      <c r="U10" s="764">
        <f t="shared" si="1"/>
        <v>117</v>
      </c>
      <c r="V10" s="763" t="s">
        <v>17</v>
      </c>
      <c r="W10" s="764">
        <f t="shared" si="2"/>
        <v>117</v>
      </c>
      <c r="X10" s="765"/>
      <c r="Y10" s="3072"/>
      <c r="Z10" s="55" t="str">
        <f t="shared" si="7"/>
        <v>土地使用年限（年）</v>
      </c>
      <c r="AA10" s="766">
        <f t="shared" si="3"/>
        <v>0.85470085470085466</v>
      </c>
      <c r="AB10" s="766">
        <f t="shared" si="4"/>
        <v>0.85470085470085466</v>
      </c>
      <c r="AC10" s="766">
        <f t="shared" si="5"/>
        <v>0.85470085470085466</v>
      </c>
    </row>
    <row r="11" spans="1:30" ht="15">
      <c r="A11" s="424"/>
      <c r="B11" s="418" t="s">
        <v>2555</v>
      </c>
      <c r="C11" s="425"/>
      <c r="D11" s="135">
        <v>100</v>
      </c>
      <c r="E11" s="425"/>
      <c r="F11" s="135" t="e">
        <f>LOOKUP(E11,80:80,81:81)-LOOKUP(C11,80:80,81:81)+100</f>
        <v>#N/A</v>
      </c>
      <c r="G11" s="426"/>
      <c r="H11" s="135" t="e">
        <f>LOOKUP(G11,80:80,81:81)-LOOKUP(C11,80:80,81:81)+100</f>
        <v>#N/A</v>
      </c>
      <c r="I11" s="425"/>
      <c r="J11" s="135" t="e">
        <f>LOOKUP(I11,80:80,81:81)-LOOKUP(C11,80:80,81:81)+100</f>
        <v>#N/A</v>
      </c>
      <c r="K11" s="668"/>
      <c r="L11" s="1134"/>
      <c r="M11" s="1127"/>
      <c r="N11" s="1127"/>
      <c r="O11" s="1135"/>
      <c r="P11" s="3238"/>
      <c r="Q11" s="1785" t="str">
        <f t="shared" si="6"/>
        <v>容积率</v>
      </c>
      <c r="R11" s="763" t="s">
        <v>17</v>
      </c>
      <c r="S11" s="764" t="e">
        <f t="shared" si="0"/>
        <v>#N/A</v>
      </c>
      <c r="T11" s="763" t="s">
        <v>17</v>
      </c>
      <c r="U11" s="764" t="e">
        <f t="shared" si="1"/>
        <v>#N/A</v>
      </c>
      <c r="V11" s="763" t="s">
        <v>17</v>
      </c>
      <c r="W11" s="764" t="e">
        <f t="shared" si="2"/>
        <v>#N/A</v>
      </c>
      <c r="X11" s="765"/>
      <c r="Y11" s="3072"/>
      <c r="Z11" s="55" t="str">
        <f t="shared" si="7"/>
        <v>容积率</v>
      </c>
      <c r="AA11" s="766" t="e">
        <f t="shared" si="3"/>
        <v>#N/A</v>
      </c>
      <c r="AB11" s="766" t="e">
        <f t="shared" si="4"/>
        <v>#N/A</v>
      </c>
      <c r="AC11" s="766" t="e">
        <f t="shared" si="5"/>
        <v>#N/A</v>
      </c>
    </row>
    <row r="12" spans="1:30" s="116" customFormat="1" ht="15">
      <c r="A12" s="427"/>
      <c r="B12" s="2587" t="s">
        <v>2744</v>
      </c>
      <c r="C12" s="428"/>
      <c r="D12" s="429">
        <v>100</v>
      </c>
      <c r="E12" s="461"/>
      <c r="F12" s="135">
        <f>SUMIF(82:82,E12,83:83)-SUMIF(82:82,C12,83:83)+100</f>
        <v>100</v>
      </c>
      <c r="G12" s="459"/>
      <c r="H12" s="135">
        <f>SUMIF(82:82,G12,83:83)-SUMIF(82:82,C12,83:83)+100</f>
        <v>100</v>
      </c>
      <c r="I12" s="461"/>
      <c r="J12" s="135">
        <f>SUMIF(82:82,I12,83:83)-SUMIF(82:82,C12,83:83)+100</f>
        <v>100</v>
      </c>
      <c r="K12" s="667"/>
      <c r="L12" s="1128"/>
      <c r="M12" s="1129"/>
      <c r="N12" s="1129"/>
      <c r="O12" s="1130"/>
      <c r="P12" s="3238"/>
      <c r="Q12" s="1785" t="str">
        <f t="shared" si="6"/>
        <v>配建</v>
      </c>
      <c r="R12" s="763" t="s">
        <v>17</v>
      </c>
      <c r="S12" s="764">
        <f t="shared" si="0"/>
        <v>100</v>
      </c>
      <c r="T12" s="763" t="s">
        <v>17</v>
      </c>
      <c r="U12" s="764">
        <f t="shared" si="1"/>
        <v>100</v>
      </c>
      <c r="V12" s="763" t="s">
        <v>17</v>
      </c>
      <c r="W12" s="764">
        <f t="shared" si="2"/>
        <v>100</v>
      </c>
      <c r="X12" s="765"/>
      <c r="Y12" s="3072"/>
      <c r="Z12" s="55" t="str">
        <f t="shared" si="7"/>
        <v>配建</v>
      </c>
      <c r="AA12" s="766">
        <f>D12/F12</f>
        <v>1</v>
      </c>
      <c r="AB12" s="766">
        <f>D12/H12</f>
        <v>1</v>
      </c>
      <c r="AC12" s="766">
        <f>D12/J12</f>
        <v>1</v>
      </c>
    </row>
    <row r="13" spans="1:30" ht="15">
      <c r="A13" s="424"/>
      <c r="B13" s="2587">
        <v>111</v>
      </c>
      <c r="C13" s="430"/>
      <c r="D13" s="431">
        <v>100</v>
      </c>
      <c r="E13" s="545"/>
      <c r="F13" s="135">
        <f>SUMIF(84:84,E13,85:85)-SUMIF(84:84,C13,85:85)+100</f>
        <v>100</v>
      </c>
      <c r="G13" s="669"/>
      <c r="H13" s="431">
        <f>SUMIF(84:84,G13,85:85)-SUMIF(84:84,C13,85:85)+100</f>
        <v>100</v>
      </c>
      <c r="I13" s="669"/>
      <c r="J13" s="431">
        <f>SUMIF(84:84,I13,85:85)-SUMIF(84:84,C13,85:85)+100</f>
        <v>100</v>
      </c>
      <c r="K13" s="667"/>
      <c r="L13" s="1136"/>
      <c r="M13" s="1127"/>
      <c r="N13" s="1127"/>
      <c r="O13" s="1135"/>
      <c r="P13" s="3238"/>
      <c r="Q13" s="1785">
        <f t="shared" si="6"/>
        <v>111</v>
      </c>
      <c r="R13" s="763" t="s">
        <v>17</v>
      </c>
      <c r="S13" s="764">
        <f t="shared" si="0"/>
        <v>100</v>
      </c>
      <c r="T13" s="763" t="s">
        <v>17</v>
      </c>
      <c r="U13" s="764">
        <f t="shared" si="1"/>
        <v>100</v>
      </c>
      <c r="V13" s="763" t="s">
        <v>17</v>
      </c>
      <c r="W13" s="764">
        <f t="shared" si="2"/>
        <v>100</v>
      </c>
      <c r="X13" s="765"/>
      <c r="Y13" s="3072"/>
      <c r="Z13" s="55">
        <f t="shared" si="7"/>
        <v>111</v>
      </c>
      <c r="AA13" s="766">
        <f>D13/F13</f>
        <v>1</v>
      </c>
      <c r="AB13" s="766">
        <f>D13/H13</f>
        <v>1</v>
      </c>
      <c r="AC13" s="766">
        <f>D13/J13</f>
        <v>1</v>
      </c>
    </row>
    <row r="14" spans="1:30" ht="15.75" thickBot="1">
      <c r="A14" s="432"/>
      <c r="B14" s="2589">
        <v>111</v>
      </c>
      <c r="C14" s="433"/>
      <c r="D14" s="434">
        <v>100</v>
      </c>
      <c r="E14" s="545"/>
      <c r="F14" s="434">
        <f>SUMIF(86:86,E14,87:87)-SUMIF(86:86,C14,87:87)+100</f>
        <v>100</v>
      </c>
      <c r="G14" s="669"/>
      <c r="H14" s="434">
        <f>SUMIF(86:86,G14,87:87)-SUMIF(86:86,C14,87:87)+100</f>
        <v>100</v>
      </c>
      <c r="I14" s="669"/>
      <c r="J14" s="434">
        <f>SUMIF(86:86,I14,87:87)-SUMIF(86:86,C14,87:87)+100</f>
        <v>100</v>
      </c>
      <c r="K14" s="667"/>
      <c r="L14" s="1136"/>
      <c r="M14" s="1127"/>
      <c r="N14" s="1127"/>
      <c r="O14" s="1135"/>
      <c r="P14" s="3238"/>
      <c r="Q14" s="1785">
        <f t="shared" si="6"/>
        <v>111</v>
      </c>
      <c r="R14" s="763" t="s">
        <v>17</v>
      </c>
      <c r="S14" s="764">
        <f t="shared" si="0"/>
        <v>100</v>
      </c>
      <c r="T14" s="763" t="s">
        <v>17</v>
      </c>
      <c r="U14" s="764">
        <f t="shared" si="1"/>
        <v>100</v>
      </c>
      <c r="V14" s="763" t="s">
        <v>17</v>
      </c>
      <c r="W14" s="764">
        <f t="shared" si="2"/>
        <v>100</v>
      </c>
      <c r="X14" s="765"/>
      <c r="Y14" s="3072"/>
      <c r="Z14" s="55">
        <f t="shared" si="7"/>
        <v>111</v>
      </c>
      <c r="AA14" s="766">
        <f>D14/F14</f>
        <v>1</v>
      </c>
      <c r="AB14" s="766">
        <f>D14/H14</f>
        <v>1</v>
      </c>
      <c r="AC14" s="766">
        <f>D14/J14</f>
        <v>1</v>
      </c>
    </row>
    <row r="15" spans="1:30" ht="99.75">
      <c r="A15" s="436" t="s">
        <v>2556</v>
      </c>
      <c r="B15" s="68" t="s">
        <v>2081</v>
      </c>
      <c r="C15" s="2590" t="str">
        <f>估价对象房地状况!C15</f>
        <v>估价对象周边居住用地比例、居住小区规模和社区发展完善程度，综合评价居住社区成熟度一般</v>
      </c>
      <c r="D15" s="437">
        <v>100</v>
      </c>
      <c r="E15" s="438"/>
      <c r="F15" s="437">
        <f>SUMIF(88:88,E16,89:89)-SUMIF(88:88,C16,89:89)+100</f>
        <v>100</v>
      </c>
      <c r="G15" s="438"/>
      <c r="H15" s="437">
        <f>SUMIF(88:88,G16,89:89)-SUMIF(88:88,C16,89:89)+100</f>
        <v>100</v>
      </c>
      <c r="I15" s="440"/>
      <c r="J15" s="437">
        <f>SUMIF(88:88,I16,89:89)-SUMIF(88:88,C16,89:89)+100</f>
        <v>100</v>
      </c>
      <c r="K15" s="668"/>
      <c r="L15" s="1136"/>
      <c r="M15" s="1127"/>
      <c r="N15" s="1127"/>
      <c r="O15" s="1135"/>
      <c r="P15" s="3231" t="s">
        <v>2557</v>
      </c>
      <c r="Q15" s="1800" t="str">
        <f t="shared" si="6"/>
        <v>居住社区成熟度</v>
      </c>
      <c r="R15" s="767" t="s">
        <v>17</v>
      </c>
      <c r="S15" s="768">
        <f t="shared" si="0"/>
        <v>100</v>
      </c>
      <c r="T15" s="767" t="s">
        <v>17</v>
      </c>
      <c r="U15" s="768">
        <f t="shared" si="1"/>
        <v>100</v>
      </c>
      <c r="V15" s="767" t="s">
        <v>17</v>
      </c>
      <c r="W15" s="768">
        <f t="shared" si="2"/>
        <v>100</v>
      </c>
      <c r="X15" s="1803"/>
      <c r="Y15" s="3231" t="s">
        <v>2557</v>
      </c>
      <c r="Z15" s="1804" t="str">
        <f t="shared" si="7"/>
        <v>居住社区成熟度</v>
      </c>
      <c r="AA15" s="1801">
        <f t="shared" si="3"/>
        <v>1</v>
      </c>
      <c r="AB15" s="1801">
        <f t="shared" si="4"/>
        <v>1</v>
      </c>
      <c r="AC15" s="1801">
        <f t="shared" si="5"/>
        <v>1</v>
      </c>
    </row>
    <row r="16" spans="1:30" ht="15">
      <c r="A16" s="424"/>
      <c r="B16" s="442"/>
      <c r="C16" s="443"/>
      <c r="D16" s="444"/>
      <c r="E16" s="2592"/>
      <c r="F16" s="444"/>
      <c r="G16" s="2592"/>
      <c r="H16" s="446"/>
      <c r="I16" s="2591"/>
      <c r="J16" s="444"/>
      <c r="K16" s="667"/>
      <c r="L16" s="1136"/>
      <c r="M16" s="1127"/>
      <c r="N16" s="1127"/>
      <c r="O16" s="1135"/>
      <c r="P16" s="3232"/>
      <c r="Q16" s="1800"/>
      <c r="R16" s="767"/>
      <c r="S16" s="768"/>
      <c r="T16" s="767"/>
      <c r="U16" s="768"/>
      <c r="V16" s="767"/>
      <c r="W16" s="768"/>
      <c r="X16" s="1803"/>
      <c r="Y16" s="3232"/>
      <c r="Z16" s="1804"/>
      <c r="AA16" s="1801">
        <v>1</v>
      </c>
      <c r="AB16" s="1801">
        <v>1</v>
      </c>
      <c r="AC16" s="1801">
        <v>1</v>
      </c>
    </row>
    <row r="17" spans="1:29" ht="71.25">
      <c r="A17" s="424"/>
      <c r="B17" s="447" t="s">
        <v>2650</v>
      </c>
      <c r="C17" s="2651" t="str">
        <f>估价对象房地状况!C16</f>
        <v>估价对象位于XX商圈，周边商业氛围成熟，人流量大，商业繁华度好</v>
      </c>
      <c r="D17" s="446">
        <v>100</v>
      </c>
      <c r="E17" s="448"/>
      <c r="F17" s="446">
        <f>SUMIF(90:90,E18,91:91)-SUMIF(90:90,C18,91:91)+100</f>
        <v>100</v>
      </c>
      <c r="G17" s="448"/>
      <c r="H17" s="451">
        <f>SUMIF(90:90,G18,91:91)-SUMIF(90:90,C18,91:91)+100</f>
        <v>100</v>
      </c>
      <c r="I17" s="450"/>
      <c r="J17" s="451">
        <f>SUMIF(90:90,I18,91:91)-SUMIF(90:90,C18,91:91)+100</f>
        <v>100</v>
      </c>
      <c r="K17" s="668"/>
      <c r="L17" s="1136"/>
      <c r="M17" s="1127"/>
      <c r="N17" s="1127"/>
      <c r="O17" s="1135"/>
      <c r="P17" s="3232"/>
      <c r="Q17" s="1800" t="str">
        <f>B17</f>
        <v>商业繁华度</v>
      </c>
      <c r="R17" s="767" t="s">
        <v>17</v>
      </c>
      <c r="S17" s="768">
        <f>F17</f>
        <v>100</v>
      </c>
      <c r="T17" s="767" t="s">
        <v>17</v>
      </c>
      <c r="U17" s="768">
        <f>H17</f>
        <v>100</v>
      </c>
      <c r="V17" s="767" t="s">
        <v>17</v>
      </c>
      <c r="W17" s="768">
        <f>J17</f>
        <v>100</v>
      </c>
      <c r="X17" s="1803"/>
      <c r="Y17" s="3232"/>
      <c r="Z17" s="1804" t="str">
        <f>Q17</f>
        <v>商业繁华度</v>
      </c>
      <c r="AA17" s="1801">
        <f t="shared" si="3"/>
        <v>1</v>
      </c>
      <c r="AB17" s="1801">
        <f t="shared" si="4"/>
        <v>1</v>
      </c>
      <c r="AC17" s="1801">
        <f t="shared" si="5"/>
        <v>1</v>
      </c>
    </row>
    <row r="18" spans="1:29" ht="15">
      <c r="A18" s="424"/>
      <c r="B18" s="452"/>
      <c r="C18" s="2595"/>
      <c r="D18" s="446"/>
      <c r="E18" s="2597"/>
      <c r="F18" s="446"/>
      <c r="G18" s="2597"/>
      <c r="H18" s="444"/>
      <c r="I18" s="2596"/>
      <c r="J18" s="444"/>
      <c r="K18" s="667"/>
      <c r="L18" s="1136"/>
      <c r="M18" s="1127"/>
      <c r="N18" s="1127"/>
      <c r="O18" s="1135"/>
      <c r="P18" s="3232"/>
      <c r="Q18" s="1800"/>
      <c r="R18" s="767"/>
      <c r="S18" s="768"/>
      <c r="T18" s="767"/>
      <c r="U18" s="768"/>
      <c r="V18" s="767"/>
      <c r="W18" s="768"/>
      <c r="X18" s="1803"/>
      <c r="Y18" s="3232"/>
      <c r="Z18" s="1804"/>
      <c r="AA18" s="1801">
        <v>1</v>
      </c>
      <c r="AB18" s="1801">
        <v>1</v>
      </c>
      <c r="AC18" s="1801">
        <v>1</v>
      </c>
    </row>
    <row r="19" spans="1:29" ht="71.25">
      <c r="A19" s="424"/>
      <c r="B19" s="447" t="s">
        <v>2684</v>
      </c>
      <c r="C19" s="2651" t="str">
        <f>估价对象房地状况!C17</f>
        <v>估价对象位于XX商圈，周边办公楼项目较多，入驻率高，办公集聚程度较好</v>
      </c>
      <c r="D19" s="451">
        <v>100</v>
      </c>
      <c r="E19" s="453"/>
      <c r="F19" s="451">
        <f>SUMIF(92:92,E20,93:93)-SUMIF(92:92,C20,93:93)+100</f>
        <v>100</v>
      </c>
      <c r="G19" s="453"/>
      <c r="H19" s="446">
        <f>SUMIF(92:92,G20,93:93)-SUMIF(92:92,C20,93:93)+100</f>
        <v>100</v>
      </c>
      <c r="I19" s="455"/>
      <c r="J19" s="446">
        <f>SUMIF(92:92,I20,93:93)-SUMIF(92:92,C20,93:93)+100</f>
        <v>100</v>
      </c>
      <c r="K19" s="668"/>
      <c r="L19" s="1136"/>
      <c r="M19" s="1127"/>
      <c r="N19" s="1127"/>
      <c r="O19" s="1135"/>
      <c r="P19" s="3232"/>
      <c r="Q19" s="1800" t="str">
        <f>B19</f>
        <v>办公集聚程度</v>
      </c>
      <c r="R19" s="767" t="s">
        <v>17</v>
      </c>
      <c r="S19" s="768">
        <f>F19</f>
        <v>100</v>
      </c>
      <c r="T19" s="767" t="s">
        <v>17</v>
      </c>
      <c r="U19" s="768">
        <f>H19</f>
        <v>100</v>
      </c>
      <c r="V19" s="767" t="s">
        <v>17</v>
      </c>
      <c r="W19" s="768">
        <f>J19</f>
        <v>100</v>
      </c>
      <c r="X19" s="1803"/>
      <c r="Y19" s="3232"/>
      <c r="Z19" s="1804" t="str">
        <f>Q19</f>
        <v>办公集聚程度</v>
      </c>
      <c r="AA19" s="1801">
        <f t="shared" si="3"/>
        <v>1</v>
      </c>
      <c r="AB19" s="1801">
        <f t="shared" si="4"/>
        <v>1</v>
      </c>
      <c r="AC19" s="1801">
        <f t="shared" si="5"/>
        <v>1</v>
      </c>
    </row>
    <row r="20" spans="1:29" ht="15">
      <c r="A20" s="424"/>
      <c r="B20" s="452"/>
      <c r="C20" s="443"/>
      <c r="D20" s="444"/>
      <c r="E20" s="2592"/>
      <c r="F20" s="444"/>
      <c r="G20" s="2592"/>
      <c r="H20" s="444"/>
      <c r="I20" s="2591"/>
      <c r="J20" s="444"/>
      <c r="K20" s="667"/>
      <c r="L20" s="1136"/>
      <c r="M20" s="1127"/>
      <c r="N20" s="1127"/>
      <c r="O20" s="1135"/>
      <c r="P20" s="3232"/>
      <c r="Q20" s="1800"/>
      <c r="R20" s="767"/>
      <c r="S20" s="768"/>
      <c r="T20" s="767"/>
      <c r="U20" s="768"/>
      <c r="V20" s="767"/>
      <c r="W20" s="768"/>
      <c r="X20" s="1803"/>
      <c r="Y20" s="3232"/>
      <c r="Z20" s="1804"/>
      <c r="AA20" s="1801">
        <v>1</v>
      </c>
      <c r="AB20" s="1801">
        <v>1</v>
      </c>
      <c r="AC20" s="1801">
        <v>1</v>
      </c>
    </row>
    <row r="21" spans="1:29" ht="85.5">
      <c r="A21" s="424"/>
      <c r="B21" s="447" t="s">
        <v>2706</v>
      </c>
      <c r="C21" s="2594" t="str">
        <f>估价对象房地状况!C18</f>
        <v>估价对象周边道路状况、公共交通通达情况、停车便捷程度，综合评价交通便捷度较好</v>
      </c>
      <c r="D21" s="446">
        <v>100</v>
      </c>
      <c r="E21" s="448"/>
      <c r="F21" s="451">
        <f>SUMIF(94:94,E22,95:95)-SUMIF(94:94,C22,95:95)+100</f>
        <v>100</v>
      </c>
      <c r="G21" s="448"/>
      <c r="H21" s="446">
        <f>SUMIF(94:94,G22,95:95)-SUMIF(94:94,C22,95:95)+100</f>
        <v>100</v>
      </c>
      <c r="I21" s="450"/>
      <c r="J21" s="446">
        <f>SUMIF(94:94,I22,95:95)-SUMIF(94:94,C22,95:95)+100</f>
        <v>100</v>
      </c>
      <c r="K21" s="668"/>
      <c r="L21" s="1136"/>
      <c r="M21" s="1127"/>
      <c r="N21" s="1127"/>
      <c r="O21" s="1135"/>
      <c r="P21" s="3232"/>
      <c r="Q21" s="1800" t="str">
        <f>B21</f>
        <v>交通便捷度</v>
      </c>
      <c r="R21" s="767" t="s">
        <v>17</v>
      </c>
      <c r="S21" s="768">
        <f>F21</f>
        <v>100</v>
      </c>
      <c r="T21" s="767" t="s">
        <v>17</v>
      </c>
      <c r="U21" s="768">
        <f>H21</f>
        <v>100</v>
      </c>
      <c r="V21" s="767" t="s">
        <v>17</v>
      </c>
      <c r="W21" s="768">
        <f>J21</f>
        <v>100</v>
      </c>
      <c r="X21" s="1803"/>
      <c r="Y21" s="3232"/>
      <c r="Z21" s="1804" t="str">
        <f>Q21</f>
        <v>交通便捷度</v>
      </c>
      <c r="AA21" s="1801">
        <f t="shared" si="3"/>
        <v>1</v>
      </c>
      <c r="AB21" s="1801">
        <f t="shared" si="4"/>
        <v>1</v>
      </c>
      <c r="AC21" s="1801">
        <f t="shared" si="5"/>
        <v>1</v>
      </c>
    </row>
    <row r="22" spans="1:29" ht="15">
      <c r="A22" s="424"/>
      <c r="B22" s="1373"/>
      <c r="C22" s="443"/>
      <c r="D22" s="446"/>
      <c r="E22" s="2592"/>
      <c r="F22" s="444"/>
      <c r="G22" s="2592"/>
      <c r="H22" s="444"/>
      <c r="I22" s="2591"/>
      <c r="J22" s="444"/>
      <c r="K22" s="667"/>
      <c r="L22" s="1136"/>
      <c r="M22" s="1127"/>
      <c r="N22" s="1127"/>
      <c r="O22" s="1135"/>
      <c r="P22" s="3232"/>
      <c r="Q22" s="1800"/>
      <c r="R22" s="767"/>
      <c r="S22" s="768"/>
      <c r="T22" s="767"/>
      <c r="U22" s="768"/>
      <c r="V22" s="767"/>
      <c r="W22" s="768"/>
      <c r="X22" s="1803"/>
      <c r="Y22" s="3232"/>
      <c r="Z22" s="1804"/>
      <c r="AA22" s="1801">
        <v>1</v>
      </c>
      <c r="AB22" s="1801">
        <v>1</v>
      </c>
      <c r="AC22" s="1801">
        <v>1</v>
      </c>
    </row>
    <row r="23" spans="1:29" ht="15">
      <c r="A23" s="400"/>
      <c r="B23" s="447" t="s">
        <v>2745</v>
      </c>
      <c r="C23" s="1378">
        <f>估价对象房地状况!C19</f>
        <v>0</v>
      </c>
      <c r="D23" s="451">
        <v>100</v>
      </c>
      <c r="E23" s="448"/>
      <c r="F23" s="451">
        <f>SUMIF(96:96,E24,97:97)-SUMIF(96:96,C24,97:97)+100</f>
        <v>100</v>
      </c>
      <c r="G23" s="450"/>
      <c r="H23" s="451">
        <f>SUMIF(96:96,G24,97:97)-SUMIF(96:96,C24,97:97)+100</f>
        <v>100</v>
      </c>
      <c r="I23" s="450"/>
      <c r="J23" s="451">
        <f>SUMIF(96:96,I24,97:97)-SUMIF(96:96,C24,97:97)+100</f>
        <v>100</v>
      </c>
      <c r="K23" s="668"/>
      <c r="L23" s="1136"/>
      <c r="M23" s="1127"/>
      <c r="N23" s="1127"/>
      <c r="O23" s="1135"/>
      <c r="P23" s="3232"/>
      <c r="Q23" s="1800" t="str">
        <f t="shared" ref="Q23:Q37" si="8">B23</f>
        <v>区域土地利用方向</v>
      </c>
      <c r="R23" s="767" t="s">
        <v>17</v>
      </c>
      <c r="S23" s="768">
        <f>F23</f>
        <v>100</v>
      </c>
      <c r="T23" s="767" t="s">
        <v>17</v>
      </c>
      <c r="U23" s="768">
        <f>H23</f>
        <v>100</v>
      </c>
      <c r="V23" s="767" t="s">
        <v>17</v>
      </c>
      <c r="W23" s="768">
        <f>J23</f>
        <v>100</v>
      </c>
      <c r="X23" s="1803"/>
      <c r="Y23" s="3232"/>
      <c r="Z23" s="1804" t="str">
        <f>Q23</f>
        <v>区域土地利用方向</v>
      </c>
      <c r="AA23" s="1801">
        <f t="shared" si="3"/>
        <v>1</v>
      </c>
      <c r="AB23" s="1801">
        <f t="shared" si="4"/>
        <v>1</v>
      </c>
      <c r="AC23" s="1801">
        <f t="shared" si="5"/>
        <v>1</v>
      </c>
    </row>
    <row r="24" spans="1:29" ht="15">
      <c r="A24" s="400"/>
      <c r="B24" s="452"/>
      <c r="C24" s="612"/>
      <c r="D24" s="444"/>
      <c r="E24" s="2592"/>
      <c r="F24" s="444"/>
      <c r="G24" s="2591"/>
      <c r="H24" s="444"/>
      <c r="I24" s="2591"/>
      <c r="J24" s="444"/>
      <c r="K24" s="805"/>
      <c r="L24" s="1136"/>
      <c r="M24" s="1127"/>
      <c r="N24" s="1127"/>
      <c r="O24" s="1135"/>
      <c r="P24" s="3232"/>
      <c r="Q24" s="1800"/>
      <c r="R24" s="767"/>
      <c r="S24" s="768"/>
      <c r="T24" s="767"/>
      <c r="U24" s="768"/>
      <c r="V24" s="767"/>
      <c r="W24" s="768"/>
      <c r="X24" s="1803"/>
      <c r="Y24" s="3232"/>
      <c r="Z24" s="1804"/>
      <c r="AA24" s="1801"/>
      <c r="AB24" s="1801"/>
      <c r="AC24" s="1801"/>
    </row>
    <row r="25" spans="1:29" ht="57">
      <c r="A25" s="400"/>
      <c r="B25" s="1373" t="s">
        <v>2746</v>
      </c>
      <c r="C25" s="2651" t="str">
        <f>估价对象房地状况!C20</f>
        <v>区域自然环境：；人文环境；综合评价环境状况一般</v>
      </c>
      <c r="D25" s="446">
        <v>100</v>
      </c>
      <c r="E25" s="448"/>
      <c r="F25" s="446">
        <f>SUMIF(98:98,E26,99:99)-SUMIF(98:98,C26,99:99)+100</f>
        <v>100</v>
      </c>
      <c r="G25" s="448"/>
      <c r="H25" s="446">
        <f>SUMIF(98:98,G26,99:99)-SUMIF(98:98,C26,99:99)+100</f>
        <v>100</v>
      </c>
      <c r="I25" s="450"/>
      <c r="J25" s="446">
        <f>SUMIF(98:98,I26,99:99)-SUMIF(98:98,C26,99:99)+100</f>
        <v>100</v>
      </c>
      <c r="K25" s="668"/>
      <c r="L25" s="1136"/>
      <c r="M25" s="1127"/>
      <c r="N25" s="1127"/>
      <c r="O25" s="1135"/>
      <c r="P25" s="3232"/>
      <c r="Q25" s="1800" t="str">
        <f t="shared" si="8"/>
        <v>自然及人文环境状况</v>
      </c>
      <c r="R25" s="767" t="s">
        <v>17</v>
      </c>
      <c r="S25" s="768">
        <f>F25</f>
        <v>100</v>
      </c>
      <c r="T25" s="767" t="s">
        <v>17</v>
      </c>
      <c r="U25" s="768">
        <f>H25</f>
        <v>100</v>
      </c>
      <c r="V25" s="767" t="s">
        <v>17</v>
      </c>
      <c r="W25" s="768">
        <f>J25</f>
        <v>100</v>
      </c>
      <c r="X25" s="1803"/>
      <c r="Y25" s="3232"/>
      <c r="Z25" s="1804" t="str">
        <f>Q25</f>
        <v>自然及人文环境状况</v>
      </c>
      <c r="AA25" s="1801">
        <f t="shared" si="3"/>
        <v>1</v>
      </c>
      <c r="AB25" s="1801">
        <f t="shared" si="4"/>
        <v>1</v>
      </c>
      <c r="AC25" s="1801">
        <f t="shared" si="5"/>
        <v>1</v>
      </c>
    </row>
    <row r="26" spans="1:29" ht="15">
      <c r="A26" s="400"/>
      <c r="B26" s="452"/>
      <c r="C26" s="443"/>
      <c r="D26" s="444"/>
      <c r="E26" s="2598"/>
      <c r="F26" s="444"/>
      <c r="G26" s="2598"/>
      <c r="H26" s="444"/>
      <c r="I26" s="443"/>
      <c r="J26" s="444"/>
      <c r="K26" s="667"/>
      <c r="L26" s="1136"/>
      <c r="M26" s="1127"/>
      <c r="N26" s="1127"/>
      <c r="O26" s="1135"/>
      <c r="P26" s="3232"/>
      <c r="Q26" s="1800"/>
      <c r="R26" s="767"/>
      <c r="S26" s="768"/>
      <c r="T26" s="767"/>
      <c r="U26" s="768"/>
      <c r="V26" s="767"/>
      <c r="W26" s="768"/>
      <c r="X26" s="1803"/>
      <c r="Y26" s="3232"/>
      <c r="Z26" s="1804"/>
      <c r="AA26" s="1801">
        <v>1</v>
      </c>
      <c r="AB26" s="1801">
        <v>1</v>
      </c>
      <c r="AC26" s="1801">
        <v>1</v>
      </c>
    </row>
    <row r="27" spans="1:29" s="116" customFormat="1" ht="42.75">
      <c r="A27" s="644"/>
      <c r="B27" s="1373" t="s">
        <v>2651</v>
      </c>
      <c r="C27" s="2594" t="str">
        <f>估价对象房地状况!C21</f>
        <v>估价对象所在区域公共配套设施齐备情况</v>
      </c>
      <c r="D27" s="446">
        <v>100</v>
      </c>
      <c r="E27" s="448"/>
      <c r="F27" s="446">
        <f>SUMIF(100:100,E28,101:101)-SUMIF(100:100,C28,101:101)+100</f>
        <v>100</v>
      </c>
      <c r="G27" s="448"/>
      <c r="H27" s="446">
        <f>SUMIF(100:100,G28,101:101)-SUMIF(100:100,C28,101:101)+100</f>
        <v>100</v>
      </c>
      <c r="I27" s="450"/>
      <c r="J27" s="446">
        <f>SUMIF(100:100,I28,101:101)-SUMIF(100:100,C28,101:101)+100</f>
        <v>100</v>
      </c>
      <c r="K27" s="668"/>
      <c r="L27" s="1128"/>
      <c r="M27" s="1129"/>
      <c r="N27" s="1129"/>
      <c r="O27" s="1130"/>
      <c r="P27" s="3232"/>
      <c r="Q27" s="1785" t="str">
        <f t="shared" si="8"/>
        <v>公共配套设施</v>
      </c>
      <c r="R27" s="763" t="s">
        <v>17</v>
      </c>
      <c r="S27" s="764">
        <f>F27</f>
        <v>100</v>
      </c>
      <c r="T27" s="763" t="s">
        <v>17</v>
      </c>
      <c r="U27" s="764">
        <f>H27</f>
        <v>100</v>
      </c>
      <c r="V27" s="763" t="s">
        <v>17</v>
      </c>
      <c r="W27" s="764">
        <f>J27</f>
        <v>100</v>
      </c>
      <c r="X27" s="765"/>
      <c r="Y27" s="3232"/>
      <c r="Z27" s="55" t="str">
        <f>Q27</f>
        <v>公共配套设施</v>
      </c>
      <c r="AA27" s="1801">
        <f>D27/F27</f>
        <v>1</v>
      </c>
      <c r="AB27" s="1801">
        <f>D27/H27</f>
        <v>1</v>
      </c>
      <c r="AC27" s="1801">
        <f>D27/J27</f>
        <v>1</v>
      </c>
    </row>
    <row r="28" spans="1:29" s="116" customFormat="1" ht="15">
      <c r="A28" s="644"/>
      <c r="B28" s="452"/>
      <c r="C28" s="2687"/>
      <c r="D28" s="444"/>
      <c r="E28" s="2598"/>
      <c r="F28" s="444"/>
      <c r="G28" s="2598"/>
      <c r="H28" s="444"/>
      <c r="I28" s="443"/>
      <c r="J28" s="444"/>
      <c r="K28" s="667"/>
      <c r="L28" s="1128"/>
      <c r="M28" s="1129"/>
      <c r="N28" s="1129"/>
      <c r="O28" s="1130"/>
      <c r="P28" s="3232"/>
      <c r="Q28" s="1785"/>
      <c r="R28" s="763"/>
      <c r="S28" s="764"/>
      <c r="T28" s="763"/>
      <c r="U28" s="764"/>
      <c r="V28" s="763"/>
      <c r="W28" s="764"/>
      <c r="X28" s="765"/>
      <c r="Y28" s="3232"/>
      <c r="Z28" s="55"/>
      <c r="AA28" s="1801">
        <v>1</v>
      </c>
      <c r="AB28" s="1801">
        <v>1</v>
      </c>
      <c r="AC28" s="1801">
        <v>1</v>
      </c>
    </row>
    <row r="29" spans="1:29" s="116" customFormat="1" ht="28.5">
      <c r="A29" s="644"/>
      <c r="B29" s="1373" t="s">
        <v>2652</v>
      </c>
      <c r="C29" s="2594" t="str">
        <f>估价对象房地状况!C22</f>
        <v>估价对象所在区域基础设施水平</v>
      </c>
      <c r="D29" s="446">
        <v>100</v>
      </c>
      <c r="E29" s="448"/>
      <c r="F29" s="446">
        <f>SUMIF(102:102,E30,103:103)-SUMIF(102:102,C30,103:103)+100</f>
        <v>100</v>
      </c>
      <c r="G29" s="448"/>
      <c r="H29" s="446">
        <f>SUMIF(102:102,G30,103:103)-SUMIF(102:102,C30,103:103)+100</f>
        <v>100</v>
      </c>
      <c r="I29" s="450"/>
      <c r="J29" s="446">
        <f>SUMIF(102:102,I30,103:103)-SUMIF(102:102,C30,103:103)+100</f>
        <v>100</v>
      </c>
      <c r="K29" s="668"/>
      <c r="L29" s="1128"/>
      <c r="M29" s="1129"/>
      <c r="N29" s="1129"/>
      <c r="O29" s="1130"/>
      <c r="P29" s="3232"/>
      <c r="Q29" s="1785" t="str">
        <f>B29</f>
        <v>基础设施水平</v>
      </c>
      <c r="R29" s="763" t="s">
        <v>17</v>
      </c>
      <c r="S29" s="764">
        <f>F29</f>
        <v>100</v>
      </c>
      <c r="T29" s="763" t="s">
        <v>17</v>
      </c>
      <c r="U29" s="764">
        <f>H29</f>
        <v>100</v>
      </c>
      <c r="V29" s="763" t="s">
        <v>17</v>
      </c>
      <c r="W29" s="764">
        <f>J29</f>
        <v>100</v>
      </c>
      <c r="X29" s="765"/>
      <c r="Y29" s="3232"/>
      <c r="Z29" s="55" t="str">
        <f>Q29</f>
        <v>基础设施水平</v>
      </c>
      <c r="AA29" s="1801">
        <f>D29/F29</f>
        <v>1</v>
      </c>
      <c r="AB29" s="1801">
        <f>D29/H29</f>
        <v>1</v>
      </c>
      <c r="AC29" s="1801">
        <f>D29/J29</f>
        <v>1</v>
      </c>
    </row>
    <row r="30" spans="1:29" s="116" customFormat="1" ht="15">
      <c r="A30" s="644"/>
      <c r="B30" s="452"/>
      <c r="C30" s="2687"/>
      <c r="D30" s="444"/>
      <c r="E30" s="2688"/>
      <c r="F30" s="444"/>
      <c r="G30" s="2688"/>
      <c r="H30" s="444"/>
      <c r="I30" s="2688"/>
      <c r="J30" s="444"/>
      <c r="K30" s="667"/>
      <c r="L30" s="1128"/>
      <c r="M30" s="1129"/>
      <c r="N30" s="1129"/>
      <c r="O30" s="1130"/>
      <c r="P30" s="3232"/>
      <c r="Q30" s="1785"/>
      <c r="R30" s="763"/>
      <c r="S30" s="764"/>
      <c r="T30" s="763"/>
      <c r="U30" s="764"/>
      <c r="V30" s="763"/>
      <c r="W30" s="764"/>
      <c r="X30" s="765"/>
      <c r="Y30" s="3232"/>
      <c r="Z30" s="55"/>
      <c r="AA30" s="1801">
        <v>1</v>
      </c>
      <c r="AB30" s="1801">
        <v>1</v>
      </c>
      <c r="AC30" s="1801">
        <v>1</v>
      </c>
    </row>
    <row r="31" spans="1:29" ht="15">
      <c r="A31" s="424"/>
      <c r="B31" s="452" t="s">
        <v>2653</v>
      </c>
      <c r="C31" s="612"/>
      <c r="D31" s="431">
        <v>100</v>
      </c>
      <c r="E31" s="629"/>
      <c r="F31" s="431">
        <f>SUMIF(104:104,E31,105:105)-SUMIF(104:104,C31,105:105)+100</f>
        <v>100</v>
      </c>
      <c r="G31" s="629"/>
      <c r="H31" s="431">
        <f>SUMIF(104:104,G31,105:105)-SUMIF(104:104,C31,105:105)+100</f>
        <v>100</v>
      </c>
      <c r="I31" s="629"/>
      <c r="J31" s="431">
        <f>SUMIF(104:104,I31,105:105)-SUMIF(104:104,C31,105:105)+100</f>
        <v>100</v>
      </c>
      <c r="K31" s="668"/>
      <c r="L31" s="1136"/>
      <c r="M31" s="1127"/>
      <c r="N31" s="1127"/>
      <c r="O31" s="1135"/>
      <c r="P31" s="3232"/>
      <c r="Q31" s="1800" t="str">
        <f t="shared" si="8"/>
        <v>临街状况</v>
      </c>
      <c r="R31" s="767" t="s">
        <v>17</v>
      </c>
      <c r="S31" s="768">
        <f t="shared" ref="S31:S45" si="9">F31</f>
        <v>100</v>
      </c>
      <c r="T31" s="767" t="s">
        <v>17</v>
      </c>
      <c r="U31" s="768">
        <f t="shared" ref="U31:U45" si="10">H31</f>
        <v>100</v>
      </c>
      <c r="V31" s="767" t="s">
        <v>17</v>
      </c>
      <c r="W31" s="768">
        <f t="shared" ref="W31:W45" si="11">J31</f>
        <v>100</v>
      </c>
      <c r="X31" s="1803"/>
      <c r="Y31" s="3232"/>
      <c r="Z31" s="1804" t="str">
        <f t="shared" ref="Z31:Z45" si="12">Q31</f>
        <v>临街状况</v>
      </c>
      <c r="AA31" s="1801">
        <f t="shared" si="3"/>
        <v>1</v>
      </c>
      <c r="AB31" s="1801">
        <f t="shared" si="4"/>
        <v>1</v>
      </c>
      <c r="AC31" s="1801">
        <f t="shared" si="5"/>
        <v>1</v>
      </c>
    </row>
    <row r="32" spans="1:29" ht="27">
      <c r="A32" s="424"/>
      <c r="B32" s="1373" t="s">
        <v>2688</v>
      </c>
      <c r="C32" s="450"/>
      <c r="D32" s="446">
        <v>100</v>
      </c>
      <c r="E32" s="448"/>
      <c r="F32" s="446">
        <f>SUMIF(106:106,E33,107:107)-SUMIF(106:106,C33,107:107)+100</f>
        <v>100</v>
      </c>
      <c r="G32" s="448"/>
      <c r="H32" s="446">
        <f>SUMIF(106:106,G33,107:107)-SUMIF(106:106,C33,107:107)+100</f>
        <v>100</v>
      </c>
      <c r="I32" s="450"/>
      <c r="J32" s="446">
        <f>SUMIF(106:106,I33,107:107)-SUMIF(106:106,C33,107:107)+100</f>
        <v>100</v>
      </c>
      <c r="K32" s="668"/>
      <c r="L32" s="1136"/>
      <c r="M32" s="1127"/>
      <c r="N32" s="1127"/>
      <c r="O32" s="1135"/>
      <c r="P32" s="3232"/>
      <c r="Q32" s="1800" t="str">
        <f t="shared" si="8"/>
        <v>毗邻道路的类型与等级</v>
      </c>
      <c r="R32" s="767" t="s">
        <v>17</v>
      </c>
      <c r="S32" s="768">
        <f t="shared" si="9"/>
        <v>100</v>
      </c>
      <c r="T32" s="767" t="s">
        <v>17</v>
      </c>
      <c r="U32" s="768">
        <f t="shared" si="10"/>
        <v>100</v>
      </c>
      <c r="V32" s="767" t="s">
        <v>17</v>
      </c>
      <c r="W32" s="768">
        <f t="shared" si="11"/>
        <v>100</v>
      </c>
      <c r="X32" s="1803"/>
      <c r="Y32" s="3232"/>
      <c r="Z32" s="1804" t="str">
        <f t="shared" si="12"/>
        <v>毗邻道路的类型与等级</v>
      </c>
      <c r="AA32" s="1801">
        <f t="shared" si="3"/>
        <v>1</v>
      </c>
      <c r="AB32" s="1801">
        <f t="shared" si="4"/>
        <v>1</v>
      </c>
      <c r="AC32" s="1801">
        <f t="shared" si="5"/>
        <v>1</v>
      </c>
    </row>
    <row r="33" spans="1:29" ht="15">
      <c r="A33" s="424"/>
      <c r="B33" s="452"/>
      <c r="C33" s="443"/>
      <c r="D33" s="444"/>
      <c r="E33" s="2598"/>
      <c r="F33" s="444"/>
      <c r="G33" s="2598"/>
      <c r="H33" s="444"/>
      <c r="I33" s="443"/>
      <c r="J33" s="444"/>
      <c r="K33" s="609"/>
      <c r="L33" s="1136"/>
      <c r="M33" s="1127"/>
      <c r="N33" s="1127"/>
      <c r="O33" s="1135"/>
      <c r="P33" s="3232"/>
      <c r="Q33" s="1800"/>
      <c r="R33" s="767"/>
      <c r="S33" s="768"/>
      <c r="T33" s="767"/>
      <c r="U33" s="768"/>
      <c r="V33" s="767"/>
      <c r="W33" s="768"/>
      <c r="X33" s="1803"/>
      <c r="Y33" s="3232"/>
      <c r="Z33" s="1804"/>
      <c r="AA33" s="1801">
        <v>1</v>
      </c>
      <c r="AB33" s="1801">
        <v>1</v>
      </c>
      <c r="AC33" s="1801">
        <v>1</v>
      </c>
    </row>
    <row r="34" spans="1:29" ht="15">
      <c r="A34" s="424"/>
      <c r="B34" s="418" t="s">
        <v>2747</v>
      </c>
      <c r="C34" s="612"/>
      <c r="D34" s="431">
        <v>100</v>
      </c>
      <c r="E34" s="629"/>
      <c r="F34" s="431">
        <f>SUMIF(108:108,E34,109:109)-SUMIF(108:108,C34,109:109)+100</f>
        <v>100</v>
      </c>
      <c r="G34" s="629"/>
      <c r="H34" s="431">
        <f>SUMIF(108:108,G34,109:109)-SUMIF(108:108,C34,109:109)+100</f>
        <v>100</v>
      </c>
      <c r="I34" s="612"/>
      <c r="J34" s="431">
        <f>SUMIF(108:108,I34,109:109)-SUMIF(108:108,C34,109:109)+100</f>
        <v>100</v>
      </c>
      <c r="K34" s="608"/>
      <c r="L34" s="1136"/>
      <c r="M34" s="1127"/>
      <c r="N34" s="1127"/>
      <c r="O34" s="1135"/>
      <c r="P34" s="3232"/>
      <c r="Q34" s="1800" t="str">
        <f t="shared" si="8"/>
        <v>土地级别</v>
      </c>
      <c r="R34" s="767" t="s">
        <v>17</v>
      </c>
      <c r="S34" s="768">
        <f t="shared" si="9"/>
        <v>100</v>
      </c>
      <c r="T34" s="767" t="s">
        <v>17</v>
      </c>
      <c r="U34" s="768">
        <f t="shared" si="10"/>
        <v>100</v>
      </c>
      <c r="V34" s="767" t="s">
        <v>17</v>
      </c>
      <c r="W34" s="768">
        <f t="shared" si="11"/>
        <v>100</v>
      </c>
      <c r="X34" s="1803"/>
      <c r="Y34" s="3232"/>
      <c r="Z34" s="1804" t="str">
        <f t="shared" si="12"/>
        <v>土地级别</v>
      </c>
      <c r="AA34" s="1801">
        <f t="shared" si="3"/>
        <v>1</v>
      </c>
      <c r="AB34" s="1801">
        <f t="shared" si="4"/>
        <v>1</v>
      </c>
      <c r="AC34" s="1801">
        <f t="shared" si="5"/>
        <v>1</v>
      </c>
    </row>
    <row r="35" spans="1:29" ht="15">
      <c r="A35" s="400"/>
      <c r="B35" s="1375">
        <v>111</v>
      </c>
      <c r="C35" s="669"/>
      <c r="D35" s="431">
        <v>100</v>
      </c>
      <c r="E35" s="473"/>
      <c r="F35" s="431">
        <f>SUMIF(110:110,E35,111:111)-SUMIF(110:110,C35,111:111)+100</f>
        <v>100</v>
      </c>
      <c r="G35" s="473"/>
      <c r="H35" s="431">
        <f>SUMIF(110:110,G35,111:111)-SUMIF(110:110,C35,111:111)+100</f>
        <v>100</v>
      </c>
      <c r="I35" s="669"/>
      <c r="J35" s="431">
        <f>SUMIF(110:110,I35,111:111)-SUMIF(110:110,C35,111:111)+100</f>
        <v>100</v>
      </c>
      <c r="K35" s="609"/>
      <c r="L35" s="1136"/>
      <c r="M35" s="1127"/>
      <c r="N35" s="1127"/>
      <c r="O35" s="1135"/>
      <c r="P35" s="3232"/>
      <c r="Q35" s="1800">
        <f t="shared" si="8"/>
        <v>111</v>
      </c>
      <c r="R35" s="767" t="s">
        <v>17</v>
      </c>
      <c r="S35" s="768">
        <f t="shared" si="9"/>
        <v>100</v>
      </c>
      <c r="T35" s="767" t="s">
        <v>17</v>
      </c>
      <c r="U35" s="768">
        <f t="shared" si="10"/>
        <v>100</v>
      </c>
      <c r="V35" s="767" t="s">
        <v>17</v>
      </c>
      <c r="W35" s="768">
        <f t="shared" si="11"/>
        <v>100</v>
      </c>
      <c r="X35" s="1803"/>
      <c r="Y35" s="3232"/>
      <c r="Z35" s="1804">
        <f t="shared" si="12"/>
        <v>111</v>
      </c>
      <c r="AA35" s="1801">
        <f t="shared" si="3"/>
        <v>1</v>
      </c>
      <c r="AB35" s="1801">
        <f t="shared" si="4"/>
        <v>1</v>
      </c>
      <c r="AC35" s="1801">
        <f t="shared" si="5"/>
        <v>1</v>
      </c>
    </row>
    <row r="36" spans="1:29" ht="15">
      <c r="A36" s="670"/>
      <c r="B36" s="1376">
        <v>111</v>
      </c>
      <c r="C36" s="669"/>
      <c r="D36" s="431">
        <v>100</v>
      </c>
      <c r="E36" s="473"/>
      <c r="F36" s="431">
        <f>SUMIF(112:112,E37,113:113)-SUMIF(112:112,C37,113:113)+100</f>
        <v>100</v>
      </c>
      <c r="G36" s="473"/>
      <c r="H36" s="431">
        <f>SUMIF(112:112,G36,113:113)-SUMIF(112:112,C36,113:113)+100</f>
        <v>100</v>
      </c>
      <c r="I36" s="669"/>
      <c r="J36" s="431">
        <f>SUMIF(112:112,I36,113:113)-SUMIF(112:112,C36,113:113)+100</f>
        <v>100</v>
      </c>
      <c r="K36" s="609"/>
      <c r="L36" s="1136"/>
      <c r="M36" s="1127"/>
      <c r="N36" s="1127"/>
      <c r="O36" s="1135"/>
      <c r="P36" s="3287" t="s">
        <v>2562</v>
      </c>
      <c r="Q36" s="1800">
        <f t="shared" si="8"/>
        <v>111</v>
      </c>
      <c r="R36" s="767" t="s">
        <v>17</v>
      </c>
      <c r="S36" s="768">
        <f t="shared" si="9"/>
        <v>100</v>
      </c>
      <c r="T36" s="767" t="s">
        <v>17</v>
      </c>
      <c r="U36" s="768">
        <f t="shared" si="10"/>
        <v>100</v>
      </c>
      <c r="V36" s="767" t="s">
        <v>17</v>
      </c>
      <c r="W36" s="768">
        <f t="shared" si="11"/>
        <v>100</v>
      </c>
      <c r="X36" s="1803"/>
      <c r="Y36" s="3236" t="s">
        <v>2562</v>
      </c>
      <c r="Z36" s="1804">
        <f t="shared" si="12"/>
        <v>111</v>
      </c>
      <c r="AA36" s="1801">
        <f t="shared" si="3"/>
        <v>1</v>
      </c>
      <c r="AB36" s="1801">
        <f t="shared" si="4"/>
        <v>1</v>
      </c>
      <c r="AC36" s="1801">
        <f t="shared" si="5"/>
        <v>1</v>
      </c>
    </row>
    <row r="37" spans="1:29" s="467" customFormat="1" ht="15.75" thickBot="1">
      <c r="A37" s="671"/>
      <c r="B37" s="1377">
        <v>111</v>
      </c>
      <c r="C37" s="673"/>
      <c r="D37" s="136">
        <v>100</v>
      </c>
      <c r="E37" s="696"/>
      <c r="F37" s="434">
        <f>SUMIF(114:114,E37,115:115)-SUMIF(114:114,C37,115:115)+100</f>
        <v>100</v>
      </c>
      <c r="G37" s="696"/>
      <c r="H37" s="434">
        <f>SUMIF(114:114,G37,115:115)-SUMIF(114:114,C37,115:115)+100</f>
        <v>100</v>
      </c>
      <c r="I37" s="673"/>
      <c r="J37" s="434">
        <f>SUMIF(114:114,I37,115:115)-SUMIF(114:114,C37,115:115)+100</f>
        <v>100</v>
      </c>
      <c r="K37" s="609"/>
      <c r="L37" s="1134"/>
      <c r="M37" s="1137"/>
      <c r="N37" s="1137"/>
      <c r="O37" s="1138"/>
      <c r="P37" s="3236"/>
      <c r="Q37" s="1800">
        <f t="shared" si="8"/>
        <v>111</v>
      </c>
      <c r="R37" s="770" t="s">
        <v>17</v>
      </c>
      <c r="S37" s="771">
        <f t="shared" si="9"/>
        <v>100</v>
      </c>
      <c r="T37" s="770" t="s">
        <v>17</v>
      </c>
      <c r="U37" s="771">
        <f t="shared" si="10"/>
        <v>100</v>
      </c>
      <c r="V37" s="770" t="s">
        <v>17</v>
      </c>
      <c r="W37" s="771">
        <f t="shared" si="11"/>
        <v>100</v>
      </c>
      <c r="X37" s="772"/>
      <c r="Y37" s="3236"/>
      <c r="Z37" s="773">
        <f t="shared" si="12"/>
        <v>111</v>
      </c>
      <c r="AA37" s="1801">
        <f t="shared" si="3"/>
        <v>1</v>
      </c>
      <c r="AB37" s="1801">
        <f t="shared" si="4"/>
        <v>1</v>
      </c>
      <c r="AC37" s="1801">
        <f t="shared" si="5"/>
        <v>1</v>
      </c>
    </row>
    <row r="38" spans="1:29" ht="15">
      <c r="A38" s="468" t="s">
        <v>2560</v>
      </c>
      <c r="B38" s="452" t="s">
        <v>2748</v>
      </c>
      <c r="C38" s="674"/>
      <c r="D38" s="463">
        <v>100</v>
      </c>
      <c r="E38" s="674"/>
      <c r="F38" s="463" t="e">
        <f>LOOKUP(E38,117:117,118:118)-LOOKUP(C38,117:117,118:118)+100</f>
        <v>#N/A</v>
      </c>
      <c r="G38" s="674"/>
      <c r="H38" s="463" t="e">
        <f>LOOKUP(G38,117:117,118:118)-LOOKUP(C38,117:117,118:118)+100</f>
        <v>#N/A</v>
      </c>
      <c r="I38" s="526"/>
      <c r="J38" s="463" t="e">
        <f>LOOKUP(I38,117:117,118:118)-LOOKUP(C38,117:117,118:118)+100</f>
        <v>#N/A</v>
      </c>
      <c r="K38" s="609"/>
      <c r="L38" s="1136"/>
      <c r="M38" s="1127"/>
      <c r="N38" s="1127"/>
      <c r="O38" s="1135"/>
      <c r="P38" s="3236"/>
      <c r="Q38" s="1800" t="str">
        <f>B38</f>
        <v>宗地面积</v>
      </c>
      <c r="R38" s="767" t="s">
        <v>17</v>
      </c>
      <c r="S38" s="768" t="e">
        <f t="shared" si="9"/>
        <v>#N/A</v>
      </c>
      <c r="T38" s="767" t="s">
        <v>17</v>
      </c>
      <c r="U38" s="768" t="e">
        <f t="shared" si="10"/>
        <v>#N/A</v>
      </c>
      <c r="V38" s="767" t="s">
        <v>17</v>
      </c>
      <c r="W38" s="768" t="e">
        <f t="shared" si="11"/>
        <v>#N/A</v>
      </c>
      <c r="X38" s="1803"/>
      <c r="Y38" s="3236"/>
      <c r="Z38" s="1804" t="str">
        <f t="shared" si="12"/>
        <v>宗地面积</v>
      </c>
      <c r="AA38" s="1801" t="e">
        <f t="shared" si="3"/>
        <v>#N/A</v>
      </c>
      <c r="AB38" s="1801" t="e">
        <f t="shared" si="4"/>
        <v>#N/A</v>
      </c>
      <c r="AC38" s="1801" t="e">
        <f t="shared" si="5"/>
        <v>#N/A</v>
      </c>
    </row>
    <row r="39" spans="1:29" ht="15">
      <c r="A39" s="468"/>
      <c r="B39" s="418" t="s">
        <v>2749</v>
      </c>
      <c r="C39" s="2600"/>
      <c r="D39" s="431">
        <v>100</v>
      </c>
      <c r="E39" s="2600"/>
      <c r="F39" s="431">
        <f>SUMIF(119:119,E39,120:120)-SUMIF(119:119,C39,120:120)+100</f>
        <v>100</v>
      </c>
      <c r="G39" s="2600"/>
      <c r="H39" s="431">
        <f>SUMIF(119:119,G39,120:120)-SUMIF(119:119,C39,120:120)+100</f>
        <v>100</v>
      </c>
      <c r="I39" s="2600"/>
      <c r="J39" s="431">
        <f>SUMIF(119:119,I39,120:120)-SUMIF(119:119,C39,120:120)+100</f>
        <v>100</v>
      </c>
      <c r="K39" s="608"/>
      <c r="L39" s="1136"/>
      <c r="M39" s="1127"/>
      <c r="N39" s="1127"/>
      <c r="O39" s="1135"/>
      <c r="P39" s="3236"/>
      <c r="Q39" s="1800" t="str">
        <f t="shared" ref="Q39:Q45" si="13">B39</f>
        <v>宗地形状</v>
      </c>
      <c r="R39" s="767" t="s">
        <v>17</v>
      </c>
      <c r="S39" s="768">
        <f t="shared" si="9"/>
        <v>100</v>
      </c>
      <c r="T39" s="767" t="s">
        <v>17</v>
      </c>
      <c r="U39" s="768">
        <f t="shared" si="10"/>
        <v>100</v>
      </c>
      <c r="V39" s="767" t="s">
        <v>17</v>
      </c>
      <c r="W39" s="768">
        <f t="shared" si="11"/>
        <v>100</v>
      </c>
      <c r="X39" s="1803"/>
      <c r="Y39" s="3236"/>
      <c r="Z39" s="1804" t="str">
        <f t="shared" si="12"/>
        <v>宗地形状</v>
      </c>
      <c r="AA39" s="1801">
        <f t="shared" si="3"/>
        <v>1</v>
      </c>
      <c r="AB39" s="1801">
        <f t="shared" si="4"/>
        <v>1</v>
      </c>
      <c r="AC39" s="1801">
        <f t="shared" si="5"/>
        <v>1</v>
      </c>
    </row>
    <row r="40" spans="1:29" ht="15">
      <c r="A40" s="468"/>
      <c r="B40" s="418" t="s">
        <v>2750</v>
      </c>
      <c r="C40" s="2600"/>
      <c r="D40" s="431">
        <v>100</v>
      </c>
      <c r="E40" s="2600"/>
      <c r="F40" s="431">
        <f>SUMIF(121:121,E40,122:122)-SUMIF(121:121,C40,122:122)+100</f>
        <v>100</v>
      </c>
      <c r="G40" s="2600"/>
      <c r="H40" s="431">
        <f>SUMIF(121:121,G40,122:122)-SUMIF(121:121,C40,122:122)+100</f>
        <v>100</v>
      </c>
      <c r="I40" s="2600"/>
      <c r="J40" s="431">
        <f>SUMIF(121:121,I40,122:122)-SUMIF(121:121,C40,122:122)+100</f>
        <v>100</v>
      </c>
      <c r="K40" s="608"/>
      <c r="L40" s="1136"/>
      <c r="M40" s="1127"/>
      <c r="N40" s="1127"/>
      <c r="O40" s="1135"/>
      <c r="P40" s="3236"/>
      <c r="Q40" s="1800" t="str">
        <f t="shared" si="13"/>
        <v>临街宽度及深度</v>
      </c>
      <c r="R40" s="767" t="s">
        <v>17</v>
      </c>
      <c r="S40" s="768">
        <f t="shared" si="9"/>
        <v>100</v>
      </c>
      <c r="T40" s="767" t="s">
        <v>17</v>
      </c>
      <c r="U40" s="768">
        <f t="shared" si="10"/>
        <v>100</v>
      </c>
      <c r="V40" s="767" t="s">
        <v>17</v>
      </c>
      <c r="W40" s="768">
        <f t="shared" si="11"/>
        <v>100</v>
      </c>
      <c r="X40" s="1803"/>
      <c r="Y40" s="3236"/>
      <c r="Z40" s="1804" t="str">
        <f t="shared" si="12"/>
        <v>临街宽度及深度</v>
      </c>
      <c r="AA40" s="1801">
        <f t="shared" si="3"/>
        <v>1</v>
      </c>
      <c r="AB40" s="1801">
        <f t="shared" si="4"/>
        <v>1</v>
      </c>
      <c r="AC40" s="1801">
        <f t="shared" si="5"/>
        <v>1</v>
      </c>
    </row>
    <row r="41" spans="1:29" s="116" customFormat="1" ht="15">
      <c r="A41" s="469"/>
      <c r="B41" s="418" t="s">
        <v>2751</v>
      </c>
      <c r="C41" s="2689"/>
      <c r="D41" s="135">
        <v>100</v>
      </c>
      <c r="E41" s="2689"/>
      <c r="F41" s="431">
        <f>SUMIF(123:123,E41,124:124)-SUMIF(123:123,C41,124:124)+100</f>
        <v>100</v>
      </c>
      <c r="G41" s="2689"/>
      <c r="H41" s="431">
        <f>SUMIF(123:123,G41,124:124)-SUMIF(123:123,C41,124:124)+100</f>
        <v>100</v>
      </c>
      <c r="I41" s="2689"/>
      <c r="J41" s="431">
        <f>SUMIF(123:123,I41,124:124)-SUMIF(123:123,C41,124:124)+100</f>
        <v>100</v>
      </c>
      <c r="K41" s="608"/>
      <c r="L41" s="1128"/>
      <c r="M41" s="1129"/>
      <c r="N41" s="1129"/>
      <c r="O41" s="1130"/>
      <c r="P41" s="3236"/>
      <c r="Q41" s="1800" t="str">
        <f t="shared" si="13"/>
        <v>宗地开发程度</v>
      </c>
      <c r="R41" s="763" t="s">
        <v>17</v>
      </c>
      <c r="S41" s="764">
        <f t="shared" si="9"/>
        <v>100</v>
      </c>
      <c r="T41" s="763" t="s">
        <v>17</v>
      </c>
      <c r="U41" s="764">
        <f t="shared" si="10"/>
        <v>100</v>
      </c>
      <c r="V41" s="763" t="s">
        <v>17</v>
      </c>
      <c r="W41" s="764">
        <f t="shared" si="11"/>
        <v>100</v>
      </c>
      <c r="X41" s="765"/>
      <c r="Y41" s="3236"/>
      <c r="Z41" s="55" t="str">
        <f t="shared" si="12"/>
        <v>宗地开发程度</v>
      </c>
      <c r="AA41" s="766">
        <f t="shared" si="3"/>
        <v>1</v>
      </c>
      <c r="AB41" s="766">
        <f t="shared" si="4"/>
        <v>1</v>
      </c>
      <c r="AC41" s="766">
        <f t="shared" si="5"/>
        <v>1</v>
      </c>
    </row>
    <row r="42" spans="1:29" ht="15">
      <c r="A42" s="468"/>
      <c r="B42" s="418" t="s">
        <v>2752</v>
      </c>
      <c r="C42" s="2600"/>
      <c r="D42" s="431">
        <v>100</v>
      </c>
      <c r="E42" s="2600"/>
      <c r="F42" s="431">
        <f>SUMIF(125:125,E42,126:126)-SUMIF(125:125,C42,126:126)+100</f>
        <v>100</v>
      </c>
      <c r="G42" s="2600"/>
      <c r="H42" s="431">
        <f>SUMIF(125:125,G42,126:126)-SUMIF(125:125,C42,126:126)+100</f>
        <v>100</v>
      </c>
      <c r="I42" s="2600"/>
      <c r="J42" s="431">
        <f>SUMIF(125:125,I42,126:126)-SUMIF(125:125,C42,126:126)+100</f>
        <v>100</v>
      </c>
      <c r="K42" s="608"/>
      <c r="L42" s="1136"/>
      <c r="M42" s="1127"/>
      <c r="N42" s="1127"/>
      <c r="O42" s="1135"/>
      <c r="P42" s="3236" t="s">
        <v>2562</v>
      </c>
      <c r="Q42" s="1800" t="str">
        <f t="shared" si="13"/>
        <v>工程地质条件</v>
      </c>
      <c r="R42" s="767" t="s">
        <v>17</v>
      </c>
      <c r="S42" s="768">
        <f t="shared" si="9"/>
        <v>100</v>
      </c>
      <c r="T42" s="767" t="s">
        <v>17</v>
      </c>
      <c r="U42" s="768">
        <f t="shared" si="10"/>
        <v>100</v>
      </c>
      <c r="V42" s="767" t="s">
        <v>17</v>
      </c>
      <c r="W42" s="768">
        <f t="shared" si="11"/>
        <v>100</v>
      </c>
      <c r="X42" s="1803"/>
      <c r="Y42" s="3236" t="s">
        <v>2562</v>
      </c>
      <c r="Z42" s="1804" t="str">
        <f t="shared" si="12"/>
        <v>工程地质条件</v>
      </c>
      <c r="AA42" s="1801">
        <f t="shared" si="3"/>
        <v>1</v>
      </c>
      <c r="AB42" s="1801">
        <f t="shared" si="4"/>
        <v>1</v>
      </c>
      <c r="AC42" s="1801">
        <f t="shared" si="5"/>
        <v>1</v>
      </c>
    </row>
    <row r="43" spans="1:29" ht="15">
      <c r="A43" s="468"/>
      <c r="B43" s="1376">
        <v>111</v>
      </c>
      <c r="C43" s="669"/>
      <c r="D43" s="431">
        <v>100</v>
      </c>
      <c r="E43" s="669"/>
      <c r="F43" s="431">
        <f>SUMIF(127:127,E43,128:128)-SUMIF(127:127,C43,128:128)+100</f>
        <v>100</v>
      </c>
      <c r="G43" s="669"/>
      <c r="H43" s="431">
        <f>SUMIF(127:127,G43,128:128)-SUMIF(127:127,C43,128:128)+100</f>
        <v>100</v>
      </c>
      <c r="I43" s="545"/>
      <c r="J43" s="431">
        <f>SUMIF(127:127,I43,128:128)-SUMIF(127:127,C43,128:128)+100</f>
        <v>100</v>
      </c>
      <c r="K43" s="609"/>
      <c r="L43" s="1136"/>
      <c r="M43" s="1127"/>
      <c r="N43" s="1127"/>
      <c r="O43" s="1135"/>
      <c r="P43" s="3236"/>
      <c r="Q43" s="1800">
        <f t="shared" si="13"/>
        <v>111</v>
      </c>
      <c r="R43" s="767" t="s">
        <v>17</v>
      </c>
      <c r="S43" s="768">
        <f t="shared" si="9"/>
        <v>100</v>
      </c>
      <c r="T43" s="767" t="s">
        <v>17</v>
      </c>
      <c r="U43" s="768">
        <f t="shared" si="10"/>
        <v>100</v>
      </c>
      <c r="V43" s="767" t="s">
        <v>17</v>
      </c>
      <c r="W43" s="768">
        <f t="shared" si="11"/>
        <v>100</v>
      </c>
      <c r="X43" s="1803"/>
      <c r="Y43" s="3236"/>
      <c r="Z43" s="1804">
        <f t="shared" si="12"/>
        <v>111</v>
      </c>
      <c r="AA43" s="1801">
        <f t="shared" si="3"/>
        <v>1</v>
      </c>
      <c r="AB43" s="1801">
        <f t="shared" si="4"/>
        <v>1</v>
      </c>
      <c r="AC43" s="1801">
        <f t="shared" si="5"/>
        <v>1</v>
      </c>
    </row>
    <row r="44" spans="1:29" ht="15">
      <c r="A44" s="468"/>
      <c r="B44" s="1376">
        <v>111</v>
      </c>
      <c r="C44" s="669"/>
      <c r="D44" s="431">
        <v>100</v>
      </c>
      <c r="E44" s="669"/>
      <c r="F44" s="431">
        <f>SUMIF(129:129,E44,130:130)-SUMIF(129:129,C44,130:130)+100</f>
        <v>100</v>
      </c>
      <c r="G44" s="669"/>
      <c r="H44" s="431">
        <f>SUMIF(129:129,G44,130:130)-SUMIF(129:129,C44,130:130)+100</f>
        <v>100</v>
      </c>
      <c r="I44" s="545"/>
      <c r="J44" s="431">
        <f>SUMIF(129:129,I44,130:130)-SUMIF(129:129,C44,130:130)+100</f>
        <v>100</v>
      </c>
      <c r="K44" s="609"/>
      <c r="L44" s="1136"/>
      <c r="M44" s="1127"/>
      <c r="N44" s="1127"/>
      <c r="O44" s="1135"/>
      <c r="P44" s="3236"/>
      <c r="Q44" s="1800">
        <f t="shared" si="13"/>
        <v>111</v>
      </c>
      <c r="R44" s="767" t="s">
        <v>17</v>
      </c>
      <c r="S44" s="768">
        <f t="shared" si="9"/>
        <v>100</v>
      </c>
      <c r="T44" s="767" t="s">
        <v>17</v>
      </c>
      <c r="U44" s="768">
        <f t="shared" si="10"/>
        <v>100</v>
      </c>
      <c r="V44" s="767" t="s">
        <v>17</v>
      </c>
      <c r="W44" s="768">
        <f t="shared" si="11"/>
        <v>100</v>
      </c>
      <c r="X44" s="1803"/>
      <c r="Y44" s="3236"/>
      <c r="Z44" s="1804">
        <f t="shared" si="12"/>
        <v>111</v>
      </c>
      <c r="AA44" s="1801">
        <f t="shared" si="3"/>
        <v>1</v>
      </c>
      <c r="AB44" s="1801">
        <f t="shared" si="4"/>
        <v>1</v>
      </c>
      <c r="AC44" s="1801">
        <f t="shared" si="5"/>
        <v>1</v>
      </c>
    </row>
    <row r="45" spans="1:29" s="467" customFormat="1" ht="15.75" thickBot="1">
      <c r="A45" s="464"/>
      <c r="B45" s="1376">
        <v>111</v>
      </c>
      <c r="C45" s="2690"/>
      <c r="D45" s="675">
        <v>100</v>
      </c>
      <c r="E45" s="669"/>
      <c r="F45" s="434">
        <f>SUMIF(131:131,E45,132:132)-SUMIF(131:131,C45,132:132)+100</f>
        <v>100</v>
      </c>
      <c r="G45" s="669"/>
      <c r="H45" s="434">
        <f>SUMIF(131:131,G45,132:132)-SUMIF(131:131,C45,132:132)+100</f>
        <v>100</v>
      </c>
      <c r="I45" s="669"/>
      <c r="J45" s="434">
        <f>SUMIF(131:131,I45,132:132)-SUMIF(131:131,C45,132:132)+100</f>
        <v>100</v>
      </c>
      <c r="K45" s="676"/>
      <c r="L45" s="1134"/>
      <c r="M45" s="1137"/>
      <c r="N45" s="1137"/>
      <c r="O45" s="1138"/>
      <c r="P45" s="3236"/>
      <c r="Q45" s="1800">
        <f t="shared" si="13"/>
        <v>111</v>
      </c>
      <c r="R45" s="770" t="s">
        <v>17</v>
      </c>
      <c r="S45" s="771">
        <f t="shared" si="9"/>
        <v>100</v>
      </c>
      <c r="T45" s="770" t="s">
        <v>17</v>
      </c>
      <c r="U45" s="771">
        <f t="shared" si="10"/>
        <v>100</v>
      </c>
      <c r="V45" s="770" t="s">
        <v>17</v>
      </c>
      <c r="W45" s="771">
        <f t="shared" si="11"/>
        <v>100</v>
      </c>
      <c r="X45" s="772"/>
      <c r="Y45" s="3236"/>
      <c r="Z45" s="773">
        <f t="shared" si="12"/>
        <v>111</v>
      </c>
      <c r="AA45" s="1801">
        <f t="shared" si="3"/>
        <v>1</v>
      </c>
      <c r="AB45" s="1801">
        <f t="shared" si="4"/>
        <v>1</v>
      </c>
      <c r="AC45" s="1801">
        <f t="shared" si="5"/>
        <v>1</v>
      </c>
    </row>
    <row r="46" spans="1:29" ht="15">
      <c r="A46" s="475" t="s">
        <v>2717</v>
      </c>
      <c r="B46" s="2691" t="s">
        <v>2753</v>
      </c>
      <c r="C46" s="677" t="s">
        <v>1</v>
      </c>
      <c r="D46" s="477"/>
      <c r="E46" s="478"/>
      <c r="F46" s="479"/>
      <c r="G46" s="480"/>
      <c r="H46" s="481"/>
      <c r="I46" s="478"/>
      <c r="J46" s="481"/>
      <c r="K46" s="776"/>
      <c r="L46" s="1139"/>
      <c r="M46" s="1140"/>
      <c r="N46" s="1127"/>
      <c r="O46" s="1140"/>
      <c r="P46" s="3238" t="str">
        <f>A46</f>
        <v>成交单价</v>
      </c>
      <c r="Q46" s="3238"/>
      <c r="R46" s="3198">
        <f>E46</f>
        <v>0</v>
      </c>
      <c r="S46" s="3198"/>
      <c r="T46" s="3198">
        <f>G46</f>
        <v>0</v>
      </c>
      <c r="U46" s="3198"/>
      <c r="V46" s="3198">
        <f>I46</f>
        <v>0</v>
      </c>
      <c r="W46" s="3198"/>
      <c r="X46" s="752"/>
      <c r="Y46" s="774"/>
      <c r="Z46" s="752"/>
      <c r="AA46" s="752"/>
      <c r="AB46" s="752"/>
      <c r="AC46" s="752"/>
    </row>
    <row r="47" spans="1:29" ht="15.75" thickBot="1">
      <c r="A47" s="482" t="s">
        <v>2666</v>
      </c>
      <c r="B47" s="678"/>
      <c r="C47" s="486" t="e">
        <f>R48</f>
        <v>#DIV/0!</v>
      </c>
      <c r="D47" s="485"/>
      <c r="E47" s="486" t="e">
        <f>R47</f>
        <v>#DIV/0!</v>
      </c>
      <c r="F47" s="487"/>
      <c r="G47" s="484" t="e">
        <f>T47</f>
        <v>#DIV/0!</v>
      </c>
      <c r="H47" s="485"/>
      <c r="I47" s="486" t="e">
        <f>V47</f>
        <v>#DIV/0!</v>
      </c>
      <c r="J47" s="485"/>
      <c r="K47" s="777"/>
      <c r="L47" s="1139"/>
      <c r="M47" s="1140"/>
      <c r="N47" s="1140"/>
      <c r="O47" s="1140"/>
      <c r="P47" s="3238" t="str">
        <f>A47</f>
        <v>比较价值（元/平方米）</v>
      </c>
      <c r="Q47" s="3238"/>
      <c r="R47" s="3288" t="e">
        <f>ROUND(PRODUCT(R46,AA7:AA45),0)</f>
        <v>#DIV/0!</v>
      </c>
      <c r="S47" s="3288"/>
      <c r="T47" s="3288" t="e">
        <f>ROUND(PRODUCT(T46,AB7:AB45),0)</f>
        <v>#DIV/0!</v>
      </c>
      <c r="U47" s="3288"/>
      <c r="V47" s="3288" t="e">
        <f>ROUND(PRODUCT(V46,AC7:AC45),0)</f>
        <v>#DIV/0!</v>
      </c>
      <c r="W47" s="3288"/>
      <c r="X47" s="752"/>
      <c r="Y47" s="752"/>
      <c r="Z47" s="752"/>
      <c r="AA47" s="752"/>
      <c r="AB47" s="752"/>
      <c r="AC47" s="752"/>
    </row>
    <row r="48" spans="1:29" ht="15.75" thickBot="1">
      <c r="A48" s="488" t="s">
        <v>2754</v>
      </c>
      <c r="B48" s="489"/>
      <c r="C48" s="490" t="e">
        <f>R48</f>
        <v>#DIV/0!</v>
      </c>
      <c r="D48" s="490"/>
      <c r="E48" s="490"/>
      <c r="F48" s="490"/>
      <c r="G48" s="490"/>
      <c r="H48" s="490"/>
      <c r="I48" s="490"/>
      <c r="J48" s="490"/>
      <c r="K48" s="778"/>
      <c r="L48" s="1139"/>
      <c r="M48" s="1140"/>
      <c r="N48" s="1140"/>
      <c r="O48" s="1140"/>
      <c r="P48" s="3240" t="str">
        <f>A48</f>
        <v>估价对象XX用房的比较价值（楼面单价，元/平方米）</v>
      </c>
      <c r="Q48" s="3241"/>
      <c r="R48" s="3289" t="e">
        <f>ROUND(AVERAGE(R47:V47),0)</f>
        <v>#DIV/0!</v>
      </c>
      <c r="S48" s="3289"/>
      <c r="T48" s="3289"/>
      <c r="U48" s="3289"/>
      <c r="V48" s="3289"/>
      <c r="W48" s="3289"/>
      <c r="X48" s="752"/>
      <c r="Y48" s="752"/>
      <c r="Z48" s="752"/>
      <c r="AA48" s="752"/>
      <c r="AB48" s="752"/>
      <c r="AC48" s="752"/>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3" t="s">
        <v>2668</v>
      </c>
      <c r="D51" s="494"/>
      <c r="E51" s="495" t="e">
        <f>IF(E46&lt;E47,E47/E46-1,E46/E47-1)</f>
        <v>#DIV/0!</v>
      </c>
      <c r="F51" s="496" t="e">
        <f>IF(OR(E51&gt;=0.3,E51&lt;=-0.3),"超过30%","")</f>
        <v>#DIV/0!</v>
      </c>
      <c r="G51" s="495" t="e">
        <f>IF(G46&lt;G47,G47/G46-1,G46/G47-1)</f>
        <v>#DIV/0!</v>
      </c>
      <c r="H51" s="496" t="e">
        <f>IF(OR(G51&gt;=0.3,G51&lt;=-0.3),"超过30%","")</f>
        <v>#DIV/0!</v>
      </c>
      <c r="I51" s="495" t="e">
        <f>IF(I46&lt;I47,I47/I46-1,I46/I47-1)</f>
        <v>#DIV/0!</v>
      </c>
      <c r="J51" s="496" t="e">
        <f>IF(OR(I51&gt;=0.3,I51&lt;=-0.3),"超过30%","")</f>
        <v>#DIV/0!</v>
      </c>
      <c r="K51" s="1101"/>
      <c r="L51" s="1102"/>
      <c r="M51" s="1140"/>
      <c r="N51" s="1140"/>
      <c r="O51" s="1140"/>
    </row>
    <row r="52" spans="1:15" ht="13.5" customHeight="1">
      <c r="A52" s="1140"/>
      <c r="B52" s="1140"/>
      <c r="C52" s="493" t="s">
        <v>2669</v>
      </c>
      <c r="D52" s="497"/>
      <c r="E52" s="495" t="e">
        <f>IF(E47&lt;G47,G47/E47-1,E47/G47-1)</f>
        <v>#DIV/0!</v>
      </c>
      <c r="F52" s="496" t="e">
        <f>IF(OR(E52&gt;=0.2,E52&lt;=-0.2),"超过20%","")</f>
        <v>#DIV/0!</v>
      </c>
      <c r="G52" s="495" t="e">
        <f>IF(G47&lt;I47,I47/G47-1,G47/I47-1)</f>
        <v>#DIV/0!</v>
      </c>
      <c r="H52" s="496" t="e">
        <f>IF(OR(G52&gt;=0.2,G52&lt;=-0.2),"超过20%","")</f>
        <v>#DIV/0!</v>
      </c>
      <c r="I52" s="495" t="e">
        <f>IF(I47&lt;E47,E47/I47-1,I47/E47-1)</f>
        <v>#DIV/0!</v>
      </c>
      <c r="J52" s="496" t="e">
        <f>IF(OR(I52&gt;=0.2,I52&lt;=-0.2),"超过20%","")</f>
        <v>#DIV/0!</v>
      </c>
      <c r="K52" s="1101"/>
      <c r="L52" s="1102"/>
      <c r="M52" s="1140"/>
      <c r="N52" s="1140"/>
      <c r="O52" s="1140"/>
    </row>
    <row r="53" spans="1:15" s="498" customFormat="1" ht="13.5" customHeight="1">
      <c r="A53" s="1141"/>
      <c r="B53" s="1141"/>
      <c r="C53" s="493" t="s">
        <v>2670</v>
      </c>
      <c r="D53" s="497"/>
      <c r="E53" s="495" t="e">
        <f>IF(E46&lt;G46,G46/E46-1,E46/G46-1)</f>
        <v>#DIV/0!</v>
      </c>
      <c r="F53" s="496" t="e">
        <f>IF(OR(E53&gt;=0.3,E53&lt;=-0.3),"超过30%","")</f>
        <v>#DIV/0!</v>
      </c>
      <c r="G53" s="495" t="e">
        <f>IF(G46&lt;I46,I46/G46-1,G46/I46-1)</f>
        <v>#DIV/0!</v>
      </c>
      <c r="H53" s="496" t="e">
        <f>IF(OR(G53&gt;=0.3,G53&lt;=-0.3),"超过30%","")</f>
        <v>#DIV/0!</v>
      </c>
      <c r="I53" s="495" t="e">
        <f>IF(I46&lt;E46,E46/I46-1,I46/E46-1)</f>
        <v>#DIV/0!</v>
      </c>
      <c r="J53" s="496" t="e">
        <f>IF(OR(I53&gt;=0.3,I53&lt;=-0.3),"超过30%","")</f>
        <v>#DIV/0!</v>
      </c>
      <c r="K53" s="1144"/>
      <c r="L53" s="1145"/>
      <c r="M53" s="1141"/>
      <c r="N53" s="1141"/>
      <c r="O53" s="1141"/>
    </row>
    <row r="54" spans="1:15" s="498" customFormat="1" ht="15" thickBot="1">
      <c r="A54" s="1141"/>
      <c r="B54" s="1142"/>
      <c r="C54" s="755"/>
      <c r="D54" s="753"/>
      <c r="E54" s="753"/>
      <c r="F54" s="753"/>
      <c r="G54" s="753"/>
      <c r="H54" s="753"/>
      <c r="I54" s="753"/>
      <c r="J54" s="753"/>
      <c r="K54" s="1144"/>
      <c r="L54" s="1145"/>
      <c r="M54" s="1141"/>
      <c r="N54" s="1141"/>
      <c r="O54" s="1141"/>
    </row>
    <row r="55" spans="1:15" ht="27" customHeight="1">
      <c r="A55" s="679" t="s">
        <v>2755</v>
      </c>
      <c r="B55" s="680" t="s">
        <v>2756</v>
      </c>
      <c r="C55" s="2692" t="s">
        <v>2757</v>
      </c>
      <c r="D55" s="2693" t="s">
        <v>2758</v>
      </c>
      <c r="E55" s="681" t="s">
        <v>2759</v>
      </c>
      <c r="F55" s="1103" t="s">
        <v>2760</v>
      </c>
      <c r="G55" s="3215" t="s">
        <v>2761</v>
      </c>
      <c r="H55" s="3290"/>
      <c r="I55" s="143" t="s">
        <v>2762</v>
      </c>
      <c r="J55" s="2694" t="str">
        <f>项目基本情况!F35</f>
        <v>浙江省杭州市</v>
      </c>
      <c r="K55" s="2695" t="s">
        <v>2763</v>
      </c>
      <c r="L55" s="1102"/>
      <c r="M55" s="1140"/>
      <c r="N55" s="1140"/>
      <c r="O55" s="1140"/>
    </row>
    <row r="56" spans="1:15" s="687" customFormat="1">
      <c r="A56" s="683" t="s">
        <v>2764</v>
      </c>
      <c r="B56" s="684" t="e">
        <f>C48</f>
        <v>#DIV/0!</v>
      </c>
      <c r="C56" s="685">
        <v>1</v>
      </c>
      <c r="D56" s="1159">
        <v>1</v>
      </c>
      <c r="E56" s="685">
        <f>'数据-汇总表'!E8+'数据-汇总表'!E9</f>
        <v>49.61</v>
      </c>
      <c r="F56" s="1099" t="e">
        <f t="shared" ref="F56:F65" si="14">ROUND(B56*E56/10000,0)</f>
        <v>#DIV/0!</v>
      </c>
      <c r="G56" s="3214"/>
      <c r="H56" s="3238"/>
      <c r="I56" s="1104">
        <v>1</v>
      </c>
      <c r="J56" s="1107">
        <v>1</v>
      </c>
      <c r="K56" s="1141"/>
      <c r="L56" s="937"/>
      <c r="M56" s="937"/>
      <c r="N56" s="937"/>
      <c r="O56" s="937"/>
    </row>
    <row r="57" spans="1:15" s="687" customFormat="1">
      <c r="A57" s="688" t="s">
        <v>2765</v>
      </c>
      <c r="B57" s="262" t="e">
        <f>ROUND($C$48*C57*D57,0)</f>
        <v>#DIV/0!</v>
      </c>
      <c r="C57" s="200">
        <f t="shared" ref="C57:C65" si="15">IF($C$55="北京市系数",I57,J57)</f>
        <v>0</v>
      </c>
      <c r="D57" s="1160">
        <v>0.25</v>
      </c>
      <c r="E57" s="689"/>
      <c r="F57" s="1099" t="e">
        <f t="shared" si="14"/>
        <v>#DIV/0!</v>
      </c>
      <c r="G57" s="3291" t="s">
        <v>2766</v>
      </c>
      <c r="H57" s="1100">
        <f>项目基本情况!B37</f>
        <v>0</v>
      </c>
      <c r="I57" s="1104">
        <f>SUMIF(修正!A45:A56,H57,修正!B45:B56)</f>
        <v>0</v>
      </c>
      <c r="J57" s="1108"/>
      <c r="K57" s="1140"/>
      <c r="L57" s="937"/>
      <c r="M57" s="937"/>
      <c r="N57" s="937"/>
      <c r="O57" s="937"/>
    </row>
    <row r="58" spans="1:15" s="687" customFormat="1">
      <c r="A58" s="688" t="s">
        <v>2767</v>
      </c>
      <c r="B58" s="262" t="e">
        <f t="shared" ref="B58:B65" si="16">ROUND($C$48*C58*D58,0)</f>
        <v>#DIV/0!</v>
      </c>
      <c r="C58" s="200">
        <f t="shared" si="15"/>
        <v>0</v>
      </c>
      <c r="D58" s="1160">
        <v>0.25</v>
      </c>
      <c r="E58" s="689"/>
      <c r="F58" s="1099" t="e">
        <f t="shared" si="14"/>
        <v>#DIV/0!</v>
      </c>
      <c r="G58" s="3291"/>
      <c r="H58" s="1100">
        <f>项目基本情况!B37</f>
        <v>0</v>
      </c>
      <c r="I58" s="1104">
        <f>SUMIF(修正!A45:A56,H58,修正!C45:C56)</f>
        <v>0</v>
      </c>
      <c r="J58" s="1108"/>
      <c r="K58" s="1141"/>
      <c r="L58" s="937"/>
      <c r="M58" s="937"/>
      <c r="N58" s="937"/>
      <c r="O58" s="937"/>
    </row>
    <row r="59" spans="1:15" s="687" customFormat="1">
      <c r="A59" s="688" t="s">
        <v>2768</v>
      </c>
      <c r="B59" s="262" t="e">
        <f t="shared" si="16"/>
        <v>#DIV/0!</v>
      </c>
      <c r="C59" s="200">
        <f t="shared" si="15"/>
        <v>0</v>
      </c>
      <c r="D59" s="1160">
        <v>0.25</v>
      </c>
      <c r="E59" s="689"/>
      <c r="F59" s="1099" t="e">
        <f t="shared" si="14"/>
        <v>#DIV/0!</v>
      </c>
      <c r="G59" s="3291"/>
      <c r="H59" s="1100">
        <f>项目基本情况!B37</f>
        <v>0</v>
      </c>
      <c r="I59" s="1104">
        <f>SUMIF(修正!A45:A56,H59,修正!D45:D56)</f>
        <v>0</v>
      </c>
      <c r="J59" s="1108"/>
      <c r="K59" s="1140"/>
      <c r="L59" s="937"/>
      <c r="M59" s="937"/>
      <c r="N59" s="937"/>
      <c r="O59" s="937"/>
    </row>
    <row r="60" spans="1:15" s="687" customFormat="1">
      <c r="A60" s="688" t="s">
        <v>2769</v>
      </c>
      <c r="B60" s="262" t="e">
        <f t="shared" si="16"/>
        <v>#DIV/0!</v>
      </c>
      <c r="C60" s="200">
        <f t="shared" si="15"/>
        <v>0</v>
      </c>
      <c r="D60" s="1160">
        <v>0.25</v>
      </c>
      <c r="E60" s="689"/>
      <c r="F60" s="1099" t="e">
        <f t="shared" si="14"/>
        <v>#DIV/0!</v>
      </c>
      <c r="G60" s="3291"/>
      <c r="H60" s="1100">
        <f>项目基本情况!B37</f>
        <v>0</v>
      </c>
      <c r="I60" s="1104">
        <f>SUMIF(修正!A45:A56,H60,修正!E45:E56)</f>
        <v>0</v>
      </c>
      <c r="J60" s="1108"/>
      <c r="K60" s="1141"/>
      <c r="L60" s="937"/>
      <c r="M60" s="937"/>
      <c r="N60" s="937"/>
      <c r="O60" s="937"/>
    </row>
    <row r="61" spans="1:15" s="687" customFormat="1">
      <c r="A61" s="688" t="s">
        <v>2770</v>
      </c>
      <c r="B61" s="262" t="e">
        <f t="shared" si="16"/>
        <v>#DIV/0!</v>
      </c>
      <c r="C61" s="200">
        <f t="shared" si="15"/>
        <v>0</v>
      </c>
      <c r="D61" s="1160">
        <v>0.25</v>
      </c>
      <c r="E61" s="261">
        <f>'数据-汇总表'!E11</f>
        <v>0</v>
      </c>
      <c r="F61" s="1099" t="e">
        <f t="shared" si="14"/>
        <v>#DIV/0!</v>
      </c>
      <c r="G61" s="2696" t="s">
        <v>2771</v>
      </c>
      <c r="H61" s="1100">
        <f>项目基本情况!C37</f>
        <v>0</v>
      </c>
      <c r="I61" s="1104">
        <f>SUMIF(修正!A45:A56,H61,修正!F45:F56)</f>
        <v>0</v>
      </c>
      <c r="J61" s="1108"/>
      <c r="K61" s="1140"/>
      <c r="L61" s="937"/>
      <c r="M61" s="937"/>
      <c r="N61" s="937"/>
      <c r="O61" s="937"/>
    </row>
    <row r="62" spans="1:15" s="687" customFormat="1">
      <c r="A62" s="688" t="s">
        <v>2772</v>
      </c>
      <c r="B62" s="262" t="e">
        <f t="shared" si="16"/>
        <v>#DIV/0!</v>
      </c>
      <c r="C62" s="200">
        <f t="shared" si="15"/>
        <v>0</v>
      </c>
      <c r="D62" s="1160">
        <v>0.25</v>
      </c>
      <c r="E62" s="261">
        <f>'数据-汇总表'!E12</f>
        <v>0</v>
      </c>
      <c r="F62" s="1099" t="e">
        <f t="shared" si="14"/>
        <v>#DIV/0!</v>
      </c>
      <c r="G62" s="1105" t="s">
        <v>2773</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7" customFormat="1">
      <c r="A63" s="688" t="s">
        <v>2774</v>
      </c>
      <c r="B63" s="262" t="e">
        <f t="shared" si="16"/>
        <v>#DIV/0!</v>
      </c>
      <c r="C63" s="200">
        <f t="shared" si="15"/>
        <v>0</v>
      </c>
      <c r="D63" s="1160">
        <v>0.25</v>
      </c>
      <c r="E63" s="261">
        <f>'数据-汇总表'!E13</f>
        <v>0</v>
      </c>
      <c r="F63" s="1099" t="e">
        <f t="shared" si="14"/>
        <v>#DIV/0!</v>
      </c>
      <c r="G63" s="1105" t="s">
        <v>2775</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7" customFormat="1">
      <c r="A64" s="688" t="s">
        <v>2776</v>
      </c>
      <c r="B64" s="262" t="e">
        <f t="shared" si="16"/>
        <v>#DIV/0!</v>
      </c>
      <c r="C64" s="200">
        <f t="shared" si="15"/>
        <v>0</v>
      </c>
      <c r="D64" s="1160">
        <v>0.25</v>
      </c>
      <c r="E64" s="261">
        <f>'数据-汇总表'!E14</f>
        <v>0</v>
      </c>
      <c r="F64" s="1099" t="e">
        <f t="shared" si="14"/>
        <v>#DIV/0!</v>
      </c>
      <c r="G64" s="2696" t="s">
        <v>2766</v>
      </c>
      <c r="H64" s="1100">
        <f>项目基本情况!B37</f>
        <v>0</v>
      </c>
      <c r="I64" s="1104">
        <f>SUMIF(修正!A45:A56,H64,修正!H45:H56)</f>
        <v>0</v>
      </c>
      <c r="J64" s="1108"/>
      <c r="K64" s="1141"/>
      <c r="L64" s="937"/>
      <c r="M64" s="937"/>
      <c r="N64" s="937"/>
      <c r="O64" s="937"/>
    </row>
    <row r="65" spans="1:17" s="687" customFormat="1" ht="15" thickBot="1">
      <c r="A65" s="688" t="s">
        <v>2777</v>
      </c>
      <c r="B65" s="262" t="e">
        <f t="shared" si="16"/>
        <v>#DIV/0!</v>
      </c>
      <c r="C65" s="200">
        <f t="shared" si="15"/>
        <v>0</v>
      </c>
      <c r="D65" s="1160">
        <v>0.25</v>
      </c>
      <c r="E65" s="261">
        <f>'数据-汇总表'!E15</f>
        <v>0</v>
      </c>
      <c r="F65" s="1099" t="e">
        <f t="shared" si="14"/>
        <v>#DIV/0!</v>
      </c>
      <c r="G65" s="2697" t="s">
        <v>2771</v>
      </c>
      <c r="H65" s="1110">
        <f>项目基本情况!C37</f>
        <v>0</v>
      </c>
      <c r="I65" s="1106">
        <f>SUMIF(修正!A45:A56,H65,修正!H45:H56)</f>
        <v>0</v>
      </c>
      <c r="J65" s="1109"/>
      <c r="K65" s="1140"/>
      <c r="L65" s="937"/>
      <c r="M65" s="937"/>
      <c r="N65" s="937"/>
      <c r="O65" s="937"/>
    </row>
    <row r="66" spans="1:17" s="687" customFormat="1" ht="13.5" thickBot="1">
      <c r="A66" s="690" t="s">
        <v>2778</v>
      </c>
      <c r="B66" s="691" t="s">
        <v>28</v>
      </c>
      <c r="C66" s="691" t="s">
        <v>29</v>
      </c>
      <c r="D66" s="691" t="s">
        <v>1029</v>
      </c>
      <c r="E66" s="691">
        <f>IF(B46="楼面地价",SUM(E56:E65),'数据-汇总表'!D3)</f>
        <v>49.61</v>
      </c>
      <c r="F66" s="692" t="e">
        <f>IF(B46="楼面地价",SUM(F56:F65),ROUND(C48*E66/10000,0))</f>
        <v>#DIV/0!</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2017-10-1</v>
      </c>
      <c r="D68" s="754">
        <f>EDATE(C68,-3)</f>
        <v>42917</v>
      </c>
      <c r="E68" s="754">
        <f>EDATE(D68,-3)</f>
        <v>42826</v>
      </c>
      <c r="F68" s="754">
        <f t="shared" ref="F68:O68" si="17">EDATE(E68,-3)</f>
        <v>42736</v>
      </c>
      <c r="G68" s="754">
        <f t="shared" si="17"/>
        <v>42644</v>
      </c>
      <c r="H68" s="754">
        <f t="shared" si="17"/>
        <v>42552</v>
      </c>
      <c r="I68" s="754">
        <f t="shared" si="17"/>
        <v>42461</v>
      </c>
      <c r="J68" s="754">
        <f t="shared" si="17"/>
        <v>42370</v>
      </c>
      <c r="K68" s="754">
        <f t="shared" si="17"/>
        <v>42278</v>
      </c>
      <c r="L68" s="754">
        <f t="shared" si="17"/>
        <v>42186</v>
      </c>
      <c r="M68" s="754">
        <f t="shared" si="17"/>
        <v>42095</v>
      </c>
      <c r="N68" s="754">
        <f t="shared" si="17"/>
        <v>42005</v>
      </c>
      <c r="O68" s="754">
        <f t="shared" si="17"/>
        <v>41913</v>
      </c>
    </row>
    <row r="69" spans="1:17" ht="21.75" thickBot="1">
      <c r="A69" s="756" t="s">
        <v>2671</v>
      </c>
      <c r="B69" s="752"/>
      <c r="C69" s="757"/>
      <c r="D69" s="757"/>
      <c r="E69" s="757"/>
      <c r="F69" s="758"/>
      <c r="G69" s="758"/>
      <c r="H69" s="757"/>
      <c r="I69" s="757"/>
      <c r="J69" s="1155"/>
      <c r="K69" s="1156"/>
      <c r="L69" s="1157"/>
      <c r="M69" s="1155"/>
      <c r="N69" s="1155"/>
      <c r="O69" s="1155"/>
      <c r="P69" s="499"/>
      <c r="Q69" s="500"/>
    </row>
    <row r="70" spans="1:17" s="504" customFormat="1" ht="15">
      <c r="A70" s="2698" t="s">
        <v>2779</v>
      </c>
      <c r="B70" s="1348"/>
      <c r="C70" s="1562" t="str">
        <f>YEAR(C68)&amp;"-"&amp;ROUNDUP(MONTH(C68)/3,0)</f>
        <v>2017-4</v>
      </c>
      <c r="D70" s="1562" t="str">
        <f>YEAR(D68)&amp;"-"&amp;ROUNDUP(MONTH(D68)/3,0)</f>
        <v>2017-3</v>
      </c>
      <c r="E70" s="1562" t="str">
        <f t="shared" ref="E70:O70" si="18">YEAR(E68)&amp;"-"&amp;ROUNDUP(MONTH(E68)/3,0)</f>
        <v>2017-2</v>
      </c>
      <c r="F70" s="1562" t="str">
        <f t="shared" si="18"/>
        <v>2017-1</v>
      </c>
      <c r="G70" s="1562" t="str">
        <f t="shared" si="18"/>
        <v>2016-4</v>
      </c>
      <c r="H70" s="1562" t="str">
        <f t="shared" si="18"/>
        <v>2016-3</v>
      </c>
      <c r="I70" s="1562" t="str">
        <f t="shared" si="18"/>
        <v>2016-2</v>
      </c>
      <c r="J70" s="1562" t="str">
        <f t="shared" si="18"/>
        <v>2016-1</v>
      </c>
      <c r="K70" s="1562" t="str">
        <f t="shared" si="18"/>
        <v>2015-4</v>
      </c>
      <c r="L70" s="1562" t="str">
        <f t="shared" si="18"/>
        <v>2015-3</v>
      </c>
      <c r="M70" s="1562" t="str">
        <f t="shared" si="18"/>
        <v>2015-2</v>
      </c>
      <c r="N70" s="1562" t="str">
        <f t="shared" si="18"/>
        <v>2015-1</v>
      </c>
      <c r="O70" s="1562" t="str">
        <f t="shared" si="18"/>
        <v>2014-4</v>
      </c>
      <c r="P70" s="503"/>
    </row>
    <row r="71" spans="1:17" s="116" customFormat="1" ht="30" customHeight="1">
      <c r="A71" s="2699" t="s">
        <v>2780</v>
      </c>
      <c r="B71" s="332" t="str">
        <f>"北京市平均增长率"&amp;TEXT(SUMIF(基准地价修正!N21:N25,A71,基准地价修正!P21:P25),"0.00%")</f>
        <v>北京市平均增长率2.78%</v>
      </c>
      <c r="C71" s="599">
        <v>100</v>
      </c>
      <c r="D71" s="591"/>
      <c r="E71" s="591"/>
      <c r="F71" s="591"/>
      <c r="G71" s="591"/>
      <c r="H71" s="591"/>
      <c r="I71" s="591"/>
      <c r="J71" s="591"/>
      <c r="K71" s="591"/>
      <c r="L71" s="591"/>
      <c r="M71" s="1557"/>
      <c r="N71" s="591"/>
      <c r="O71" s="1558"/>
      <c r="P71" s="500"/>
    </row>
    <row r="72" spans="1:17" s="116" customFormat="1" ht="15.75" thickBot="1">
      <c r="A72" s="511" t="s">
        <v>2582</v>
      </c>
      <c r="B72" s="512"/>
      <c r="C72" s="513"/>
      <c r="D72" s="514"/>
      <c r="E72" s="514"/>
      <c r="F72" s="514"/>
      <c r="G72" s="514"/>
      <c r="H72" s="514"/>
      <c r="I72" s="514"/>
      <c r="J72" s="514"/>
      <c r="K72" s="514"/>
      <c r="L72" s="514"/>
      <c r="M72" s="515"/>
      <c r="N72" s="514"/>
      <c r="O72" s="1158"/>
      <c r="P72" s="500"/>
      <c r="Q72" s="500"/>
    </row>
    <row r="73" spans="1:17" s="116" customFormat="1" ht="15">
      <c r="A73" s="517" t="s">
        <v>2547</v>
      </c>
      <c r="B73" s="506"/>
      <c r="C73" s="518" t="s">
        <v>2649</v>
      </c>
      <c r="D73" s="519"/>
      <c r="E73" s="519"/>
      <c r="F73" s="519"/>
      <c r="G73" s="519"/>
      <c r="H73" s="519"/>
      <c r="I73" s="519"/>
      <c r="J73" s="519"/>
      <c r="K73" s="519"/>
      <c r="L73" s="520"/>
      <c r="M73" s="521"/>
      <c r="N73" s="1147"/>
      <c r="O73" s="1147"/>
      <c r="P73" s="522"/>
      <c r="Q73" s="500"/>
    </row>
    <row r="74" spans="1:17" s="116" customFormat="1" ht="15.75" thickBot="1">
      <c r="A74" s="517"/>
      <c r="B74" s="506"/>
      <c r="C74" s="634">
        <v>100</v>
      </c>
      <c r="D74" s="508"/>
      <c r="E74" s="508"/>
      <c r="F74" s="508"/>
      <c r="G74" s="508"/>
      <c r="H74" s="508"/>
      <c r="I74" s="508"/>
      <c r="J74" s="508"/>
      <c r="K74" s="508"/>
      <c r="L74" s="508"/>
      <c r="M74" s="510"/>
      <c r="N74" s="1147"/>
      <c r="O74" s="1147"/>
      <c r="P74" s="500"/>
      <c r="Q74" s="500"/>
    </row>
    <row r="75" spans="1:17">
      <c r="A75" s="523" t="s">
        <v>2585</v>
      </c>
      <c r="B75" s="524" t="s">
        <v>2551</v>
      </c>
      <c r="C75" s="526"/>
      <c r="D75" s="526"/>
      <c r="E75" s="526"/>
      <c r="F75" s="526"/>
      <c r="G75" s="526"/>
      <c r="H75" s="526"/>
      <c r="I75" s="526"/>
      <c r="J75" s="526"/>
      <c r="K75" s="527"/>
      <c r="L75" s="528"/>
      <c r="M75" s="529"/>
      <c r="N75" s="1148"/>
      <c r="O75" s="1148"/>
      <c r="P75" s="45"/>
      <c r="Q75" s="500"/>
    </row>
    <row r="76" spans="1:17" ht="15.75" thickBot="1">
      <c r="A76" s="530"/>
      <c r="B76" s="531"/>
      <c r="C76" s="532"/>
      <c r="D76" s="532"/>
      <c r="E76" s="532"/>
      <c r="F76" s="532"/>
      <c r="G76" s="532"/>
      <c r="H76" s="532"/>
      <c r="I76" s="532"/>
      <c r="J76" s="532"/>
      <c r="K76" s="532"/>
      <c r="L76" s="532"/>
      <c r="M76" s="533"/>
      <c r="N76" s="1149"/>
      <c r="O76" s="1149"/>
      <c r="P76" s="45"/>
      <c r="Q76" s="500"/>
    </row>
    <row r="77" spans="1:17" ht="27.75" thickTop="1">
      <c r="A77" s="530"/>
      <c r="B77" s="534" t="s">
        <v>2554</v>
      </c>
      <c r="C77" s="535"/>
      <c r="D77" s="535"/>
      <c r="E77" s="535"/>
      <c r="F77" s="535"/>
      <c r="G77" s="535"/>
      <c r="H77" s="535"/>
      <c r="I77" s="535"/>
      <c r="J77" s="535"/>
      <c r="K77" s="536"/>
      <c r="L77" s="537"/>
      <c r="M77" s="538"/>
      <c r="N77" s="1148"/>
      <c r="O77" s="1148"/>
      <c r="P77" s="45"/>
      <c r="Q77" s="500"/>
    </row>
    <row r="78" spans="1:17" ht="15.75" thickBot="1">
      <c r="A78" s="530"/>
      <c r="B78" s="539"/>
      <c r="C78" s="540"/>
      <c r="D78" s="540"/>
      <c r="E78" s="540"/>
      <c r="F78" s="540"/>
      <c r="G78" s="540"/>
      <c r="H78" s="540"/>
      <c r="I78" s="540"/>
      <c r="J78" s="540"/>
      <c r="K78" s="540"/>
      <c r="L78" s="540"/>
      <c r="M78" s="541"/>
      <c r="N78" s="1149"/>
      <c r="O78" s="1149"/>
      <c r="P78" s="45"/>
      <c r="Q78" s="500"/>
    </row>
    <row r="79" spans="1:17" ht="15.75" thickTop="1">
      <c r="A79" s="530"/>
      <c r="B79" s="542" t="s">
        <v>2555</v>
      </c>
      <c r="C79" s="543" t="str">
        <f>C80&amp;"（含）"&amp;"-"&amp;D80</f>
        <v>（含）-</v>
      </c>
      <c r="D79" s="543" t="str">
        <f t="shared" ref="D79:L79" si="19">D80&amp;"（含）"&amp;"-"&amp;E80</f>
        <v>（含）-</v>
      </c>
      <c r="E79" s="543" t="str">
        <f t="shared" si="19"/>
        <v>（含）-</v>
      </c>
      <c r="F79" s="543" t="str">
        <f t="shared" si="19"/>
        <v>（含）-</v>
      </c>
      <c r="G79" s="543" t="str">
        <f t="shared" si="19"/>
        <v>（含）-</v>
      </c>
      <c r="H79" s="543" t="str">
        <f t="shared" si="19"/>
        <v>（含）-</v>
      </c>
      <c r="I79" s="543" t="str">
        <f t="shared" si="19"/>
        <v>（含）-</v>
      </c>
      <c r="J79" s="543" t="str">
        <f t="shared" si="19"/>
        <v>（含）-</v>
      </c>
      <c r="K79" s="543" t="str">
        <f t="shared" si="19"/>
        <v>（含）-</v>
      </c>
      <c r="L79" s="543" t="str">
        <f t="shared" si="19"/>
        <v>（含）-</v>
      </c>
      <c r="M79" s="444" t="str">
        <f>M80&amp;"（含）"&amp;"-"&amp;P80</f>
        <v>（含）-</v>
      </c>
      <c r="N79" s="1149"/>
      <c r="O79" s="1149"/>
      <c r="P79" s="45"/>
      <c r="Q79" s="500"/>
    </row>
    <row r="80" spans="1:17" ht="15">
      <c r="A80" s="530"/>
      <c r="B80" s="544"/>
      <c r="C80" s="545"/>
      <c r="D80" s="545"/>
      <c r="E80" s="545"/>
      <c r="F80" s="545"/>
      <c r="G80" s="545"/>
      <c r="H80" s="545"/>
      <c r="I80" s="545"/>
      <c r="J80" s="545"/>
      <c r="K80" s="546"/>
      <c r="L80" s="547"/>
      <c r="M80" s="548"/>
      <c r="N80" s="1148"/>
      <c r="O80" s="1148"/>
      <c r="P80" s="45"/>
      <c r="Q80" s="500"/>
    </row>
    <row r="81" spans="1:17" ht="15.75" thickBot="1">
      <c r="A81" s="530"/>
      <c r="B81" s="531"/>
      <c r="C81" s="540">
        <v>100</v>
      </c>
      <c r="D81" s="540">
        <f t="shared" ref="D81:M81" si="20">IF($B$46="单位面积地价",C81+$K11,C81-$K11)</f>
        <v>100</v>
      </c>
      <c r="E81" s="540">
        <f t="shared" si="20"/>
        <v>100</v>
      </c>
      <c r="F81" s="540">
        <f t="shared" si="20"/>
        <v>100</v>
      </c>
      <c r="G81" s="540">
        <f t="shared" si="20"/>
        <v>100</v>
      </c>
      <c r="H81" s="540">
        <f t="shared" si="20"/>
        <v>100</v>
      </c>
      <c r="I81" s="540">
        <f t="shared" si="20"/>
        <v>100</v>
      </c>
      <c r="J81" s="540">
        <f t="shared" si="20"/>
        <v>100</v>
      </c>
      <c r="K81" s="540">
        <f t="shared" si="20"/>
        <v>100</v>
      </c>
      <c r="L81" s="540">
        <f t="shared" si="20"/>
        <v>100</v>
      </c>
      <c r="M81" s="540">
        <f t="shared" si="20"/>
        <v>100</v>
      </c>
      <c r="N81" s="1149"/>
      <c r="O81" s="1149"/>
      <c r="P81" s="45"/>
      <c r="Q81" s="500"/>
    </row>
    <row r="82" spans="1:17" s="467" customFormat="1" ht="15.75" thickTop="1">
      <c r="A82" s="549"/>
      <c r="B82" s="534" t="str">
        <f>B12</f>
        <v>配建</v>
      </c>
      <c r="C82" s="550"/>
      <c r="D82" s="550"/>
      <c r="E82" s="550"/>
      <c r="F82" s="550"/>
      <c r="G82" s="550"/>
      <c r="H82" s="551"/>
      <c r="I82" s="551"/>
      <c r="J82" s="551"/>
      <c r="K82" s="551"/>
      <c r="L82" s="552"/>
      <c r="M82" s="553"/>
      <c r="N82" s="1150"/>
      <c r="O82" s="1150"/>
      <c r="P82" s="554"/>
      <c r="Q82" s="555"/>
    </row>
    <row r="83" spans="1:17" s="467" customFormat="1" ht="15.75" thickBot="1">
      <c r="A83" s="549"/>
      <c r="B83" s="539"/>
      <c r="C83" s="556"/>
      <c r="D83" s="532"/>
      <c r="E83" s="532"/>
      <c r="F83" s="532"/>
      <c r="G83" s="532"/>
      <c r="H83" s="532"/>
      <c r="I83" s="532"/>
      <c r="J83" s="532"/>
      <c r="K83" s="532"/>
      <c r="L83" s="532"/>
      <c r="M83" s="533"/>
      <c r="N83" s="1149"/>
      <c r="O83" s="1149"/>
      <c r="P83" s="554"/>
      <c r="Q83" s="555"/>
    </row>
    <row r="84" spans="1:17" s="467" customFormat="1" ht="15.75" thickTop="1">
      <c r="A84" s="549"/>
      <c r="B84" s="534">
        <f>B13</f>
        <v>111</v>
      </c>
      <c r="C84" s="550"/>
      <c r="D84" s="550"/>
      <c r="E84" s="550"/>
      <c r="F84" s="550"/>
      <c r="G84" s="550"/>
      <c r="H84" s="551"/>
      <c r="I84" s="551"/>
      <c r="J84" s="551"/>
      <c r="K84" s="551"/>
      <c r="L84" s="552"/>
      <c r="M84" s="553"/>
      <c r="N84" s="1150"/>
      <c r="O84" s="1150"/>
      <c r="P84" s="466"/>
      <c r="Q84" s="557"/>
    </row>
    <row r="85" spans="1:17" s="467" customFormat="1" ht="15.75" thickBot="1">
      <c r="A85" s="549"/>
      <c r="B85" s="539"/>
      <c r="C85" s="556"/>
      <c r="D85" s="556"/>
      <c r="E85" s="556"/>
      <c r="F85" s="556"/>
      <c r="G85" s="556"/>
      <c r="H85" s="558"/>
      <c r="I85" s="558"/>
      <c r="J85" s="558"/>
      <c r="K85" s="558"/>
      <c r="L85" s="558"/>
      <c r="M85" s="559"/>
      <c r="N85" s="1150"/>
      <c r="O85" s="1150"/>
      <c r="P85" s="554"/>
      <c r="Q85" s="555"/>
    </row>
    <row r="86" spans="1:17" s="467" customFormat="1" ht="15.75" thickTop="1">
      <c r="A86" s="549"/>
      <c r="B86" s="542">
        <f>B14</f>
        <v>111</v>
      </c>
      <c r="C86" s="519"/>
      <c r="D86" s="519"/>
      <c r="E86" s="519"/>
      <c r="F86" s="519"/>
      <c r="G86" s="519"/>
      <c r="H86" s="560"/>
      <c r="I86" s="560"/>
      <c r="J86" s="560"/>
      <c r="K86" s="560"/>
      <c r="L86" s="561"/>
      <c r="M86" s="562"/>
      <c r="N86" s="1150"/>
      <c r="O86" s="1150"/>
      <c r="P86" s="563"/>
      <c r="Q86" s="555"/>
    </row>
    <row r="87" spans="1:17" s="467" customFormat="1" ht="15.75" thickBot="1">
      <c r="A87" s="564"/>
      <c r="B87" s="565"/>
      <c r="C87" s="566"/>
      <c r="D87" s="566"/>
      <c r="E87" s="566"/>
      <c r="F87" s="566"/>
      <c r="G87" s="566"/>
      <c r="H87" s="567"/>
      <c r="I87" s="567"/>
      <c r="J87" s="567"/>
      <c r="K87" s="567"/>
      <c r="L87" s="567"/>
      <c r="M87" s="568"/>
      <c r="N87" s="1150"/>
      <c r="O87" s="1150"/>
      <c r="P87" s="554"/>
      <c r="Q87" s="555"/>
    </row>
    <row r="88" spans="1:17">
      <c r="A88" s="523" t="s">
        <v>2556</v>
      </c>
      <c r="B88" s="524" t="s">
        <v>2593</v>
      </c>
      <c r="C88" s="569" t="s">
        <v>2594</v>
      </c>
      <c r="D88" s="569" t="s">
        <v>2595</v>
      </c>
      <c r="E88" s="569" t="s">
        <v>2596</v>
      </c>
      <c r="F88" s="569" t="s">
        <v>2597</v>
      </c>
      <c r="G88" s="569" t="s">
        <v>2598</v>
      </c>
      <c r="H88" s="525"/>
      <c r="I88" s="525"/>
      <c r="J88" s="525"/>
      <c r="K88" s="570"/>
      <c r="L88" s="571"/>
      <c r="M88" s="572"/>
      <c r="N88" s="1148"/>
      <c r="O88" s="1148"/>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49"/>
      <c r="O89" s="1149"/>
      <c r="P89" s="45"/>
      <c r="Q89" s="500"/>
    </row>
    <row r="90" spans="1:17" ht="15.75" thickTop="1">
      <c r="A90" s="530"/>
      <c r="B90" s="534" t="s">
        <v>2781</v>
      </c>
      <c r="C90" s="574" t="s">
        <v>2594</v>
      </c>
      <c r="D90" s="574" t="s">
        <v>2595</v>
      </c>
      <c r="E90" s="574" t="s">
        <v>2596</v>
      </c>
      <c r="F90" s="574" t="s">
        <v>2597</v>
      </c>
      <c r="G90" s="574" t="s">
        <v>2598</v>
      </c>
      <c r="H90" s="535"/>
      <c r="I90" s="535"/>
      <c r="J90" s="535"/>
      <c r="K90" s="536"/>
      <c r="L90" s="537"/>
      <c r="M90" s="538"/>
      <c r="N90" s="1148"/>
      <c r="O90" s="1148"/>
      <c r="P90" s="45"/>
      <c r="Q90" s="500"/>
    </row>
    <row r="91" spans="1:17" ht="15.75" thickBot="1">
      <c r="A91" s="530"/>
      <c r="B91" s="539"/>
      <c r="C91" s="540">
        <v>100</v>
      </c>
      <c r="D91" s="540">
        <f>C91-$K17</f>
        <v>100</v>
      </c>
      <c r="E91" s="540">
        <f>D91-$K17</f>
        <v>100</v>
      </c>
      <c r="F91" s="540">
        <f>E91-$K17</f>
        <v>100</v>
      </c>
      <c r="G91" s="540">
        <f>F91-$K17</f>
        <v>100</v>
      </c>
      <c r="H91" s="540"/>
      <c r="I91" s="540"/>
      <c r="J91" s="540"/>
      <c r="K91" s="540"/>
      <c r="L91" s="540"/>
      <c r="M91" s="541"/>
      <c r="N91" s="1149"/>
      <c r="O91" s="1149"/>
      <c r="P91" s="45"/>
      <c r="Q91" s="500"/>
    </row>
    <row r="92" spans="1:17" ht="15.75" thickTop="1">
      <c r="A92" s="530"/>
      <c r="B92" s="534" t="s">
        <v>2694</v>
      </c>
      <c r="C92" s="574" t="s">
        <v>2594</v>
      </c>
      <c r="D92" s="574" t="s">
        <v>2595</v>
      </c>
      <c r="E92" s="574" t="s">
        <v>2596</v>
      </c>
      <c r="F92" s="574" t="s">
        <v>2597</v>
      </c>
      <c r="G92" s="574" t="s">
        <v>2598</v>
      </c>
      <c r="H92" s="535"/>
      <c r="I92" s="535"/>
      <c r="J92" s="535"/>
      <c r="K92" s="536"/>
      <c r="L92" s="537"/>
      <c r="M92" s="538"/>
      <c r="N92" s="1148"/>
      <c r="O92" s="1148"/>
      <c r="P92" s="45"/>
      <c r="Q92" s="500"/>
    </row>
    <row r="93" spans="1:17" ht="15.75" thickBot="1">
      <c r="A93" s="530"/>
      <c r="B93" s="539"/>
      <c r="C93" s="540">
        <v>100</v>
      </c>
      <c r="D93" s="540">
        <f>C93-$K19</f>
        <v>100</v>
      </c>
      <c r="E93" s="540">
        <f>D93-$K19</f>
        <v>100</v>
      </c>
      <c r="F93" s="540">
        <f>E93-$K19</f>
        <v>100</v>
      </c>
      <c r="G93" s="540">
        <f>F93-$K19</f>
        <v>100</v>
      </c>
      <c r="H93" s="540"/>
      <c r="I93" s="540"/>
      <c r="J93" s="540"/>
      <c r="K93" s="540"/>
      <c r="L93" s="540"/>
      <c r="M93" s="541"/>
      <c r="N93" s="1149"/>
      <c r="O93" s="1149"/>
      <c r="P93" s="45"/>
      <c r="Q93" s="500"/>
    </row>
    <row r="94" spans="1:17" ht="15.75" thickTop="1">
      <c r="A94" s="530"/>
      <c r="B94" s="534" t="s">
        <v>2599</v>
      </c>
      <c r="C94" s="574" t="s">
        <v>2594</v>
      </c>
      <c r="D94" s="574" t="s">
        <v>2595</v>
      </c>
      <c r="E94" s="574" t="s">
        <v>2596</v>
      </c>
      <c r="F94" s="574" t="s">
        <v>2597</v>
      </c>
      <c r="G94" s="574" t="s">
        <v>2598</v>
      </c>
      <c r="H94" s="535"/>
      <c r="I94" s="535"/>
      <c r="J94" s="535"/>
      <c r="K94" s="536"/>
      <c r="L94" s="537"/>
      <c r="M94" s="538"/>
      <c r="N94" s="1148"/>
      <c r="O94" s="1148"/>
      <c r="P94" s="45"/>
      <c r="Q94" s="500"/>
    </row>
    <row r="95" spans="1:17" ht="15.75" thickBot="1">
      <c r="A95" s="530"/>
      <c r="B95" s="539"/>
      <c r="C95" s="540">
        <v>100</v>
      </c>
      <c r="D95" s="540">
        <f>C95-$K21</f>
        <v>100</v>
      </c>
      <c r="E95" s="540">
        <f>D95-$K21</f>
        <v>100</v>
      </c>
      <c r="F95" s="540">
        <f>E95-$K21</f>
        <v>100</v>
      </c>
      <c r="G95" s="540">
        <f>F95-$K21</f>
        <v>100</v>
      </c>
      <c r="H95" s="540"/>
      <c r="I95" s="540"/>
      <c r="J95" s="540"/>
      <c r="K95" s="540"/>
      <c r="L95" s="540"/>
      <c r="M95" s="541"/>
      <c r="N95" s="1149"/>
      <c r="O95" s="1149"/>
      <c r="P95" s="45"/>
      <c r="Q95" s="500"/>
    </row>
    <row r="96" spans="1:17" s="116" customFormat="1" ht="15.75" thickTop="1">
      <c r="A96" s="575"/>
      <c r="B96" s="534" t="s">
        <v>2782</v>
      </c>
      <c r="C96" s="574" t="s">
        <v>2594</v>
      </c>
      <c r="D96" s="574" t="s">
        <v>2595</v>
      </c>
      <c r="E96" s="574" t="s">
        <v>2596</v>
      </c>
      <c r="F96" s="574" t="s">
        <v>2597</v>
      </c>
      <c r="G96" s="574" t="s">
        <v>2598</v>
      </c>
      <c r="H96" s="574"/>
      <c r="I96" s="574"/>
      <c r="J96" s="574"/>
      <c r="K96" s="574"/>
      <c r="L96" s="693"/>
      <c r="M96" s="617"/>
      <c r="N96" s="1147"/>
      <c r="O96" s="1147"/>
      <c r="P96" s="45"/>
      <c r="Q96" s="500"/>
    </row>
    <row r="97" spans="1:17" s="116" customFormat="1" ht="15.75" thickBot="1">
      <c r="A97" s="575"/>
      <c r="B97" s="539"/>
      <c r="C97" s="578">
        <v>100</v>
      </c>
      <c r="D97" s="540">
        <f>C97-$K23</f>
        <v>100</v>
      </c>
      <c r="E97" s="540">
        <f>D97-$K23</f>
        <v>100</v>
      </c>
      <c r="F97" s="540">
        <f>E97-$K23</f>
        <v>100</v>
      </c>
      <c r="G97" s="540">
        <f>F97-$K23</f>
        <v>100</v>
      </c>
      <c r="H97" s="540"/>
      <c r="I97" s="540"/>
      <c r="J97" s="540"/>
      <c r="K97" s="540"/>
      <c r="L97" s="540"/>
      <c r="M97" s="541"/>
      <c r="N97" s="1149"/>
      <c r="O97" s="1149"/>
      <c r="P97" s="45"/>
      <c r="Q97" s="500"/>
    </row>
    <row r="98" spans="1:17" s="116" customFormat="1" ht="27.75" thickTop="1">
      <c r="A98" s="575"/>
      <c r="B98" s="534" t="s">
        <v>2783</v>
      </c>
      <c r="C98" s="569" t="s">
        <v>2594</v>
      </c>
      <c r="D98" s="569" t="s">
        <v>2595</v>
      </c>
      <c r="E98" s="569" t="s">
        <v>2596</v>
      </c>
      <c r="F98" s="569" t="s">
        <v>2597</v>
      </c>
      <c r="G98" s="569" t="s">
        <v>2598</v>
      </c>
      <c r="H98" s="574"/>
      <c r="I98" s="574"/>
      <c r="J98" s="574"/>
      <c r="K98" s="574"/>
      <c r="L98" s="574"/>
      <c r="M98" s="617"/>
      <c r="N98" s="1147"/>
      <c r="O98" s="1147"/>
      <c r="P98" s="45"/>
      <c r="Q98" s="500"/>
    </row>
    <row r="99" spans="1:17" s="116" customFormat="1" ht="15.75" thickBot="1">
      <c r="A99" s="575"/>
      <c r="B99" s="539"/>
      <c r="C99" s="540">
        <v>100</v>
      </c>
      <c r="D99" s="540">
        <f>C99-$K25</f>
        <v>100</v>
      </c>
      <c r="E99" s="540">
        <f>D99-$K25</f>
        <v>100</v>
      </c>
      <c r="F99" s="540">
        <f>E99-$K25</f>
        <v>100</v>
      </c>
      <c r="G99" s="540">
        <f>F99-$K25</f>
        <v>100</v>
      </c>
      <c r="H99" s="540"/>
      <c r="I99" s="540"/>
      <c r="J99" s="540"/>
      <c r="K99" s="540"/>
      <c r="L99" s="540"/>
      <c r="M99" s="541"/>
      <c r="N99" s="1149"/>
      <c r="O99" s="1149"/>
      <c r="P99" s="45"/>
      <c r="Q99" s="500"/>
    </row>
    <row r="100" spans="1:17" s="467" customFormat="1" ht="15.75" thickTop="1">
      <c r="A100" s="549"/>
      <c r="B100" s="534" t="s">
        <v>2651</v>
      </c>
      <c r="C100" s="569" t="s">
        <v>2594</v>
      </c>
      <c r="D100" s="569" t="s">
        <v>2595</v>
      </c>
      <c r="E100" s="569" t="s">
        <v>2596</v>
      </c>
      <c r="F100" s="569" t="s">
        <v>2597</v>
      </c>
      <c r="G100" s="569" t="s">
        <v>2598</v>
      </c>
      <c r="H100" s="596"/>
      <c r="I100" s="596"/>
      <c r="J100" s="596"/>
      <c r="K100" s="596"/>
      <c r="L100" s="597"/>
      <c r="M100" s="598"/>
      <c r="N100" s="1150"/>
      <c r="O100" s="1150"/>
      <c r="P100" s="554"/>
      <c r="Q100" s="555"/>
    </row>
    <row r="101" spans="1:17" s="467" customFormat="1" ht="15.75" thickBot="1">
      <c r="A101" s="549"/>
      <c r="B101" s="539"/>
      <c r="C101" s="540">
        <v>100</v>
      </c>
      <c r="D101" s="540">
        <f>C101-$K27</f>
        <v>100</v>
      </c>
      <c r="E101" s="540">
        <f>D101-$K27</f>
        <v>100</v>
      </c>
      <c r="F101" s="540">
        <f>E101-$K27</f>
        <v>100</v>
      </c>
      <c r="G101" s="540">
        <f>F101-$K27</f>
        <v>100</v>
      </c>
      <c r="H101" s="603"/>
      <c r="I101" s="603"/>
      <c r="J101" s="603"/>
      <c r="K101" s="603"/>
      <c r="L101" s="603"/>
      <c r="M101" s="604"/>
      <c r="N101" s="1150"/>
      <c r="O101" s="1150"/>
      <c r="P101" s="554"/>
      <c r="Q101" s="555"/>
    </row>
    <row r="102" spans="1:17" s="467" customFormat="1" ht="15.75" thickTop="1">
      <c r="A102" s="549"/>
      <c r="B102" s="542" t="s">
        <v>2652</v>
      </c>
      <c r="C102" s="655" t="s">
        <v>2672</v>
      </c>
      <c r="D102" s="655" t="s">
        <v>2673</v>
      </c>
      <c r="E102" s="655" t="s">
        <v>2674</v>
      </c>
      <c r="F102" s="655" t="s">
        <v>2675</v>
      </c>
      <c r="G102" s="655" t="s">
        <v>2676</v>
      </c>
      <c r="H102" s="596"/>
      <c r="I102" s="596"/>
      <c r="J102" s="596"/>
      <c r="K102" s="596"/>
      <c r="L102" s="596"/>
      <c r="M102" s="1374"/>
      <c r="N102" s="1150"/>
      <c r="O102" s="1150"/>
      <c r="P102" s="554"/>
      <c r="Q102" s="555"/>
    </row>
    <row r="103" spans="1:17" s="467" customFormat="1" ht="15.75" thickBot="1">
      <c r="A103" s="549"/>
      <c r="B103" s="542"/>
      <c r="C103" s="540">
        <v>100</v>
      </c>
      <c r="D103" s="540">
        <f>C103-$K29</f>
        <v>100</v>
      </c>
      <c r="E103" s="540">
        <f>D103-$K29</f>
        <v>100</v>
      </c>
      <c r="F103" s="540">
        <f>E103-$K29</f>
        <v>100</v>
      </c>
      <c r="G103" s="540">
        <f>F103-$K29</f>
        <v>100</v>
      </c>
      <c r="H103" s="544"/>
      <c r="I103" s="544"/>
      <c r="J103" s="544"/>
      <c r="K103" s="544"/>
      <c r="L103" s="544"/>
      <c r="M103" s="1374"/>
      <c r="N103" s="1150"/>
      <c r="O103" s="1150"/>
      <c r="P103" s="554"/>
      <c r="Q103" s="555"/>
    </row>
    <row r="104" spans="1:17" ht="15.75" thickTop="1">
      <c r="A104" s="530"/>
      <c r="B104" s="534" t="str">
        <f>B31</f>
        <v>临街状况</v>
      </c>
      <c r="C104" s="535" t="s">
        <v>2784</v>
      </c>
      <c r="D104" s="535" t="s">
        <v>2785</v>
      </c>
      <c r="E104" s="535" t="s">
        <v>2786</v>
      </c>
      <c r="F104" s="535" t="s">
        <v>2787</v>
      </c>
      <c r="G104" s="535"/>
      <c r="H104" s="535"/>
      <c r="I104" s="535"/>
      <c r="J104" s="535"/>
      <c r="K104" s="536"/>
      <c r="L104" s="537"/>
      <c r="M104" s="538"/>
      <c r="N104" s="1148"/>
      <c r="O104" s="1148"/>
      <c r="P104" s="45"/>
      <c r="Q104" s="500"/>
    </row>
    <row r="105" spans="1:17" ht="15.75" thickBot="1">
      <c r="A105" s="530"/>
      <c r="B105" s="539"/>
      <c r="C105" s="540">
        <v>100</v>
      </c>
      <c r="D105" s="540">
        <f>C105-$K31</f>
        <v>100</v>
      </c>
      <c r="E105" s="540">
        <f t="shared" ref="E105:M105" si="21">D105-$K31</f>
        <v>100</v>
      </c>
      <c r="F105" s="540">
        <f t="shared" si="21"/>
        <v>100</v>
      </c>
      <c r="G105" s="540">
        <f t="shared" si="21"/>
        <v>100</v>
      </c>
      <c r="H105" s="540">
        <f t="shared" si="21"/>
        <v>100</v>
      </c>
      <c r="I105" s="540">
        <f t="shared" si="21"/>
        <v>100</v>
      </c>
      <c r="J105" s="540">
        <f t="shared" si="21"/>
        <v>100</v>
      </c>
      <c r="K105" s="540">
        <f t="shared" si="21"/>
        <v>100</v>
      </c>
      <c r="L105" s="540">
        <f t="shared" si="21"/>
        <v>100</v>
      </c>
      <c r="M105" s="540">
        <f t="shared" si="21"/>
        <v>100</v>
      </c>
      <c r="N105" s="1149"/>
      <c r="O105" s="1149"/>
      <c r="P105" s="45"/>
      <c r="Q105" s="500"/>
    </row>
    <row r="106" spans="1:17" ht="27.75" thickTop="1">
      <c r="A106" s="530"/>
      <c r="B106" s="534" t="s">
        <v>2688</v>
      </c>
      <c r="C106" s="550"/>
      <c r="D106" s="550"/>
      <c r="E106" s="550"/>
      <c r="F106" s="550"/>
      <c r="G106" s="550"/>
      <c r="H106" s="579"/>
      <c r="I106" s="579"/>
      <c r="J106" s="579"/>
      <c r="K106" s="580"/>
      <c r="L106" s="581"/>
      <c r="M106" s="582"/>
      <c r="N106" s="1148"/>
      <c r="O106" s="1148"/>
      <c r="P106" s="45"/>
      <c r="Q106" s="500"/>
    </row>
    <row r="107" spans="1:17" ht="15.75" thickBot="1">
      <c r="A107" s="530"/>
      <c r="B107" s="539"/>
      <c r="C107" s="540">
        <v>100</v>
      </c>
      <c r="D107" s="540">
        <f>C107-$K32</f>
        <v>100</v>
      </c>
      <c r="E107" s="540">
        <f t="shared" ref="E107:M107" si="22">D107-$K32</f>
        <v>100</v>
      </c>
      <c r="F107" s="540">
        <f t="shared" si="22"/>
        <v>100</v>
      </c>
      <c r="G107" s="540">
        <f t="shared" si="22"/>
        <v>100</v>
      </c>
      <c r="H107" s="540">
        <f t="shared" si="22"/>
        <v>100</v>
      </c>
      <c r="I107" s="540">
        <f t="shared" si="22"/>
        <v>100</v>
      </c>
      <c r="J107" s="540">
        <f t="shared" si="22"/>
        <v>100</v>
      </c>
      <c r="K107" s="540">
        <f t="shared" si="22"/>
        <v>100</v>
      </c>
      <c r="L107" s="540">
        <f t="shared" si="22"/>
        <v>100</v>
      </c>
      <c r="M107" s="540">
        <f t="shared" si="22"/>
        <v>100</v>
      </c>
      <c r="N107" s="1149"/>
      <c r="O107" s="1149"/>
      <c r="P107" s="45"/>
      <c r="Q107" s="500"/>
    </row>
    <row r="108" spans="1:17" ht="15.75" thickTop="1">
      <c r="A108" s="530"/>
      <c r="B108" s="534" t="s">
        <v>2747</v>
      </c>
      <c r="C108" s="579"/>
      <c r="D108" s="579"/>
      <c r="E108" s="579"/>
      <c r="F108" s="579"/>
      <c r="G108" s="579"/>
      <c r="H108" s="579"/>
      <c r="I108" s="579"/>
      <c r="J108" s="579"/>
      <c r="K108" s="580"/>
      <c r="L108" s="581"/>
      <c r="M108" s="582"/>
      <c r="N108" s="1148"/>
      <c r="O108" s="1148"/>
      <c r="P108" s="45"/>
      <c r="Q108" s="500"/>
    </row>
    <row r="109" spans="1:17" ht="15.75" thickBot="1">
      <c r="A109" s="530"/>
      <c r="B109" s="539"/>
      <c r="C109" s="540">
        <v>100</v>
      </c>
      <c r="D109" s="540">
        <f>C109-$K34</f>
        <v>100</v>
      </c>
      <c r="E109" s="540">
        <f t="shared" ref="E109:M109" si="23">D109-$K34</f>
        <v>100</v>
      </c>
      <c r="F109" s="540">
        <f t="shared" si="23"/>
        <v>100</v>
      </c>
      <c r="G109" s="540">
        <f t="shared" si="23"/>
        <v>100</v>
      </c>
      <c r="H109" s="540">
        <f t="shared" si="23"/>
        <v>100</v>
      </c>
      <c r="I109" s="540">
        <f t="shared" si="23"/>
        <v>100</v>
      </c>
      <c r="J109" s="540">
        <f t="shared" si="23"/>
        <v>100</v>
      </c>
      <c r="K109" s="540">
        <f t="shared" si="23"/>
        <v>100</v>
      </c>
      <c r="L109" s="540">
        <f t="shared" si="23"/>
        <v>100</v>
      </c>
      <c r="M109" s="540">
        <f t="shared" si="23"/>
        <v>100</v>
      </c>
      <c r="N109" s="1149"/>
      <c r="O109" s="1149"/>
      <c r="P109" s="45"/>
      <c r="Q109" s="500"/>
    </row>
    <row r="110" spans="1:17" ht="15.75" thickTop="1">
      <c r="A110" s="530"/>
      <c r="B110" s="542">
        <f>B35</f>
        <v>111</v>
      </c>
      <c r="C110" s="550"/>
      <c r="D110" s="550"/>
      <c r="E110" s="550"/>
      <c r="F110" s="550"/>
      <c r="G110" s="583"/>
      <c r="H110" s="583"/>
      <c r="I110" s="583"/>
      <c r="J110" s="583"/>
      <c r="K110" s="584"/>
      <c r="L110" s="585"/>
      <c r="M110" s="586"/>
      <c r="N110" s="1148"/>
      <c r="O110" s="1148"/>
      <c r="P110" s="45"/>
      <c r="Q110" s="500"/>
    </row>
    <row r="111" spans="1:17" ht="15.75" thickBot="1">
      <c r="A111" s="530"/>
      <c r="B111" s="565"/>
      <c r="C111" s="556"/>
      <c r="D111" s="556"/>
      <c r="E111" s="556"/>
      <c r="F111" s="556"/>
      <c r="G111" s="587"/>
      <c r="H111" s="587"/>
      <c r="I111" s="587"/>
      <c r="J111" s="587"/>
      <c r="K111" s="587"/>
      <c r="L111" s="587"/>
      <c r="M111" s="588"/>
      <c r="N111" s="1149"/>
      <c r="O111" s="1149"/>
      <c r="P111" s="45"/>
      <c r="Q111" s="500"/>
    </row>
    <row r="112" spans="1:17" ht="15" thickTop="1">
      <c r="A112" s="670"/>
      <c r="B112" s="534">
        <f>B36</f>
        <v>111</v>
      </c>
      <c r="C112" s="519"/>
      <c r="D112" s="519"/>
      <c r="E112" s="519"/>
      <c r="F112" s="519"/>
      <c r="G112" s="579"/>
      <c r="H112" s="579"/>
      <c r="I112" s="579"/>
      <c r="J112" s="579"/>
      <c r="K112" s="580"/>
      <c r="L112" s="581"/>
      <c r="M112" s="582"/>
      <c r="N112" s="1148"/>
      <c r="O112" s="1148"/>
      <c r="P112" s="45"/>
      <c r="Q112" s="500"/>
    </row>
    <row r="113" spans="1:17" ht="15.75" thickBot="1">
      <c r="A113" s="530"/>
      <c r="B113" s="539"/>
      <c r="C113" s="566"/>
      <c r="D113" s="566"/>
      <c r="E113" s="566"/>
      <c r="F113" s="566"/>
      <c r="G113" s="532"/>
      <c r="H113" s="532"/>
      <c r="I113" s="532"/>
      <c r="J113" s="532"/>
      <c r="K113" s="532"/>
      <c r="L113" s="532"/>
      <c r="M113" s="533"/>
      <c r="N113" s="1149"/>
      <c r="O113" s="1149"/>
      <c r="P113" s="45"/>
      <c r="Q113" s="500"/>
    </row>
    <row r="114" spans="1:17" s="467" customFormat="1" ht="15" thickTop="1">
      <c r="A114" s="589"/>
      <c r="B114" s="590">
        <f>B37</f>
        <v>111</v>
      </c>
      <c r="C114" s="591"/>
      <c r="D114" s="591"/>
      <c r="E114" s="591"/>
      <c r="F114" s="591"/>
      <c r="G114" s="591"/>
      <c r="H114" s="591"/>
      <c r="I114" s="591"/>
      <c r="J114" s="592"/>
      <c r="K114" s="592"/>
      <c r="L114" s="593"/>
      <c r="M114" s="594"/>
      <c r="N114" s="1150"/>
      <c r="O114" s="1150"/>
      <c r="P114" s="554"/>
      <c r="Q114" s="555"/>
    </row>
    <row r="115" spans="1:17" s="467" customFormat="1" ht="15.75" thickBot="1">
      <c r="A115" s="549"/>
      <c r="B115" s="542"/>
      <c r="C115" s="508"/>
      <c r="D115" s="672"/>
      <c r="E115" s="672"/>
      <c r="F115" s="672"/>
      <c r="G115" s="672"/>
      <c r="H115" s="672"/>
      <c r="I115" s="672"/>
      <c r="J115" s="672"/>
      <c r="K115" s="672"/>
      <c r="L115" s="672"/>
      <c r="M115" s="694"/>
      <c r="N115" s="1149"/>
      <c r="O115" s="1149"/>
      <c r="P115" s="554"/>
      <c r="Q115" s="555"/>
    </row>
    <row r="116" spans="1:17">
      <c r="A116" s="523" t="s">
        <v>2560</v>
      </c>
      <c r="B116" s="524" t="s">
        <v>2788</v>
      </c>
      <c r="C116" s="525" t="str">
        <f>C117&amp;"(含)"&amp;"-"&amp;D117</f>
        <v>(含)-</v>
      </c>
      <c r="D116" s="525" t="str">
        <f t="shared" ref="D116:M116" si="24">D117&amp;"(含)"&amp;"-"&amp;E117</f>
        <v>(含)-</v>
      </c>
      <c r="E116" s="525" t="str">
        <f t="shared" si="24"/>
        <v>(含)-</v>
      </c>
      <c r="F116" s="525" t="str">
        <f t="shared" si="24"/>
        <v>(含)-</v>
      </c>
      <c r="G116" s="525" t="str">
        <f t="shared" si="24"/>
        <v>(含)-</v>
      </c>
      <c r="H116" s="525" t="str">
        <f t="shared" si="24"/>
        <v>(含)-</v>
      </c>
      <c r="I116" s="525" t="str">
        <f t="shared" si="24"/>
        <v>(含)-</v>
      </c>
      <c r="J116" s="525" t="str">
        <f t="shared" si="24"/>
        <v>(含)-</v>
      </c>
      <c r="K116" s="525" t="str">
        <f t="shared" si="24"/>
        <v>(含)-</v>
      </c>
      <c r="L116" s="525" t="str">
        <f t="shared" si="24"/>
        <v>(含)-</v>
      </c>
      <c r="M116" s="525" t="str">
        <f t="shared" si="24"/>
        <v>(含)-</v>
      </c>
      <c r="N116" s="1148"/>
      <c r="O116" s="1148"/>
      <c r="P116" s="45"/>
      <c r="Q116" s="500"/>
    </row>
    <row r="117" spans="1:17" ht="15">
      <c r="A117" s="530"/>
      <c r="B117" s="542"/>
      <c r="C117" s="591"/>
      <c r="D117" s="591"/>
      <c r="E117" s="591"/>
      <c r="F117" s="591"/>
      <c r="G117" s="591"/>
      <c r="H117" s="591"/>
      <c r="I117" s="591"/>
      <c r="J117" s="592"/>
      <c r="K117" s="592"/>
      <c r="L117" s="593"/>
      <c r="M117" s="594"/>
      <c r="N117" s="1148"/>
      <c r="O117" s="1148"/>
      <c r="P117" s="45"/>
      <c r="Q117" s="500"/>
    </row>
    <row r="118" spans="1:17" ht="15.75" thickBot="1">
      <c r="A118" s="530"/>
      <c r="B118" s="539"/>
      <c r="C118" s="566"/>
      <c r="D118" s="587"/>
      <c r="E118" s="587"/>
      <c r="F118" s="587"/>
      <c r="G118" s="587"/>
      <c r="H118" s="587"/>
      <c r="I118" s="587"/>
      <c r="J118" s="587"/>
      <c r="K118" s="587"/>
      <c r="L118" s="587"/>
      <c r="M118" s="588"/>
      <c r="N118" s="1149"/>
      <c r="O118" s="1149"/>
      <c r="P118" s="45"/>
      <c r="Q118" s="500"/>
    </row>
    <row r="119" spans="1:17" ht="15" thickTop="1">
      <c r="A119" s="595"/>
      <c r="B119" s="534" t="s">
        <v>2789</v>
      </c>
      <c r="C119" s="579"/>
      <c r="D119" s="579"/>
      <c r="E119" s="579"/>
      <c r="F119" s="579"/>
      <c r="G119" s="579"/>
      <c r="H119" s="579"/>
      <c r="I119" s="579"/>
      <c r="J119" s="579"/>
      <c r="K119" s="580"/>
      <c r="L119" s="581"/>
      <c r="M119" s="582"/>
      <c r="N119" s="1148"/>
      <c r="O119" s="1148"/>
      <c r="P119" s="45"/>
      <c r="Q119" s="500"/>
    </row>
    <row r="120" spans="1:17" ht="15.75" thickBot="1">
      <c r="A120" s="530"/>
      <c r="B120" s="539"/>
      <c r="C120" s="540">
        <v>100</v>
      </c>
      <c r="D120" s="540">
        <f t="shared" ref="D120:M120" si="25">C120-$K39</f>
        <v>100</v>
      </c>
      <c r="E120" s="540">
        <f t="shared" si="25"/>
        <v>100</v>
      </c>
      <c r="F120" s="540">
        <f t="shared" si="25"/>
        <v>100</v>
      </c>
      <c r="G120" s="540">
        <f t="shared" si="25"/>
        <v>100</v>
      </c>
      <c r="H120" s="540">
        <f t="shared" si="25"/>
        <v>100</v>
      </c>
      <c r="I120" s="540">
        <f t="shared" si="25"/>
        <v>100</v>
      </c>
      <c r="J120" s="540">
        <f t="shared" si="25"/>
        <v>100</v>
      </c>
      <c r="K120" s="540">
        <f t="shared" si="25"/>
        <v>100</v>
      </c>
      <c r="L120" s="540">
        <f t="shared" si="25"/>
        <v>100</v>
      </c>
      <c r="M120" s="541">
        <f t="shared" si="25"/>
        <v>100</v>
      </c>
      <c r="N120" s="1149"/>
      <c r="O120" s="1149"/>
      <c r="P120" s="45"/>
      <c r="Q120" s="500"/>
    </row>
    <row r="121" spans="1:17" ht="15" thickTop="1">
      <c r="A121" s="595"/>
      <c r="B121" s="534" t="s">
        <v>2790</v>
      </c>
      <c r="C121" s="550"/>
      <c r="D121" s="550"/>
      <c r="E121" s="550"/>
      <c r="F121" s="579"/>
      <c r="G121" s="579"/>
      <c r="H121" s="579"/>
      <c r="I121" s="579"/>
      <c r="J121" s="579"/>
      <c r="K121" s="580"/>
      <c r="L121" s="581"/>
      <c r="M121" s="582"/>
      <c r="N121" s="1148"/>
      <c r="O121" s="1148"/>
      <c r="P121" s="45"/>
      <c r="Q121" s="500"/>
    </row>
    <row r="122" spans="1:17" ht="15.75" thickBot="1">
      <c r="A122" s="530"/>
      <c r="B122" s="539"/>
      <c r="C122" s="540">
        <v>100</v>
      </c>
      <c r="D122" s="540">
        <f t="shared" ref="D122:M122" si="26">C122-$K40</f>
        <v>100</v>
      </c>
      <c r="E122" s="540">
        <f t="shared" si="26"/>
        <v>100</v>
      </c>
      <c r="F122" s="540">
        <f t="shared" si="26"/>
        <v>100</v>
      </c>
      <c r="G122" s="540">
        <f t="shared" si="26"/>
        <v>100</v>
      </c>
      <c r="H122" s="540">
        <f t="shared" si="26"/>
        <v>100</v>
      </c>
      <c r="I122" s="540">
        <f t="shared" si="26"/>
        <v>100</v>
      </c>
      <c r="J122" s="540">
        <f t="shared" si="26"/>
        <v>100</v>
      </c>
      <c r="K122" s="540">
        <f t="shared" si="26"/>
        <v>100</v>
      </c>
      <c r="L122" s="540">
        <f t="shared" si="26"/>
        <v>100</v>
      </c>
      <c r="M122" s="541">
        <f t="shared" si="26"/>
        <v>100</v>
      </c>
      <c r="N122" s="1149"/>
      <c r="O122" s="1149"/>
      <c r="P122" s="45"/>
      <c r="Q122" s="500"/>
    </row>
    <row r="123" spans="1:17" s="467" customFormat="1" ht="15" thickTop="1">
      <c r="A123" s="589"/>
      <c r="B123" s="534" t="s">
        <v>2791</v>
      </c>
      <c r="C123" s="550"/>
      <c r="D123" s="550"/>
      <c r="E123" s="550"/>
      <c r="F123" s="550"/>
      <c r="G123" s="550"/>
      <c r="H123" s="579"/>
      <c r="I123" s="579"/>
      <c r="J123" s="579"/>
      <c r="K123" s="580"/>
      <c r="L123" s="581"/>
      <c r="M123" s="582"/>
      <c r="N123" s="1150"/>
      <c r="O123" s="1150"/>
      <c r="P123" s="554"/>
      <c r="Q123" s="555"/>
    </row>
    <row r="124" spans="1:17" s="467" customFormat="1" ht="15.75" thickBot="1">
      <c r="A124" s="549"/>
      <c r="B124" s="539"/>
      <c r="C124" s="540">
        <v>100</v>
      </c>
      <c r="D124" s="540">
        <f>C124-$K41</f>
        <v>100</v>
      </c>
      <c r="E124" s="540">
        <f t="shared" ref="E124:M124" si="27">D124-$K41</f>
        <v>100</v>
      </c>
      <c r="F124" s="540">
        <f t="shared" si="27"/>
        <v>100</v>
      </c>
      <c r="G124" s="540">
        <f t="shared" si="27"/>
        <v>100</v>
      </c>
      <c r="H124" s="540">
        <f t="shared" si="27"/>
        <v>100</v>
      </c>
      <c r="I124" s="540">
        <f t="shared" si="27"/>
        <v>100</v>
      </c>
      <c r="J124" s="540">
        <f t="shared" si="27"/>
        <v>100</v>
      </c>
      <c r="K124" s="540">
        <f t="shared" si="27"/>
        <v>100</v>
      </c>
      <c r="L124" s="540">
        <f t="shared" si="27"/>
        <v>100</v>
      </c>
      <c r="M124" s="541">
        <f t="shared" si="27"/>
        <v>100</v>
      </c>
      <c r="N124" s="1150"/>
      <c r="O124" s="1150"/>
      <c r="P124" s="554"/>
      <c r="Q124" s="555"/>
    </row>
    <row r="125" spans="1:17" ht="15" thickTop="1">
      <c r="A125" s="595"/>
      <c r="B125" s="534" t="s">
        <v>2792</v>
      </c>
      <c r="C125" s="550"/>
      <c r="D125" s="550"/>
      <c r="E125" s="579"/>
      <c r="F125" s="579"/>
      <c r="G125" s="579"/>
      <c r="H125" s="579"/>
      <c r="I125" s="579"/>
      <c r="J125" s="579"/>
      <c r="K125" s="580"/>
      <c r="L125" s="581"/>
      <c r="M125" s="582"/>
      <c r="N125" s="1148"/>
      <c r="O125" s="1148"/>
      <c r="P125" s="45"/>
      <c r="Q125" s="500"/>
    </row>
    <row r="126" spans="1:17" ht="15.75" thickBot="1">
      <c r="A126" s="530"/>
      <c r="B126" s="539"/>
      <c r="C126" s="540">
        <v>100</v>
      </c>
      <c r="D126" s="540">
        <f t="shared" ref="D126:M126" si="28">C126-$K42</f>
        <v>100</v>
      </c>
      <c r="E126" s="540">
        <f t="shared" si="28"/>
        <v>100</v>
      </c>
      <c r="F126" s="540">
        <f t="shared" si="28"/>
        <v>100</v>
      </c>
      <c r="G126" s="540">
        <f t="shared" si="28"/>
        <v>100</v>
      </c>
      <c r="H126" s="540">
        <f t="shared" si="28"/>
        <v>100</v>
      </c>
      <c r="I126" s="540">
        <f t="shared" si="28"/>
        <v>100</v>
      </c>
      <c r="J126" s="540">
        <f t="shared" si="28"/>
        <v>100</v>
      </c>
      <c r="K126" s="540">
        <f t="shared" si="28"/>
        <v>100</v>
      </c>
      <c r="L126" s="540">
        <f t="shared" si="28"/>
        <v>100</v>
      </c>
      <c r="M126" s="541">
        <f t="shared" si="28"/>
        <v>100</v>
      </c>
      <c r="N126" s="1149"/>
      <c r="O126" s="1149"/>
      <c r="P126" s="45"/>
      <c r="Q126" s="500"/>
    </row>
    <row r="127" spans="1:17" ht="15" thickTop="1">
      <c r="A127" s="595"/>
      <c r="B127" s="534">
        <f>B43</f>
        <v>111</v>
      </c>
      <c r="C127" s="550"/>
      <c r="D127" s="550"/>
      <c r="E127" s="550"/>
      <c r="F127" s="550"/>
      <c r="G127" s="550"/>
      <c r="H127" s="579"/>
      <c r="I127" s="579"/>
      <c r="J127" s="579"/>
      <c r="K127" s="580"/>
      <c r="L127" s="581"/>
      <c r="M127" s="582"/>
      <c r="N127" s="1148"/>
      <c r="O127" s="1148"/>
      <c r="P127" s="45"/>
      <c r="Q127" s="500"/>
    </row>
    <row r="128" spans="1:17" ht="15.75" thickBot="1">
      <c r="A128" s="530"/>
      <c r="B128" s="539"/>
      <c r="C128" s="556"/>
      <c r="D128" s="556"/>
      <c r="E128" s="556"/>
      <c r="F128" s="556"/>
      <c r="G128" s="532"/>
      <c r="H128" s="532"/>
      <c r="I128" s="532"/>
      <c r="J128" s="532"/>
      <c r="K128" s="532"/>
      <c r="L128" s="532"/>
      <c r="M128" s="533"/>
      <c r="N128" s="1149"/>
      <c r="O128" s="1149"/>
      <c r="P128" s="45"/>
      <c r="Q128" s="500"/>
    </row>
    <row r="129" spans="1:17" ht="15" thickTop="1">
      <c r="A129" s="595"/>
      <c r="B129" s="534">
        <f>B44</f>
        <v>111</v>
      </c>
      <c r="C129" s="519"/>
      <c r="D129" s="519"/>
      <c r="E129" s="519"/>
      <c r="F129" s="519"/>
      <c r="G129" s="579"/>
      <c r="H129" s="579"/>
      <c r="I129" s="579"/>
      <c r="J129" s="579"/>
      <c r="K129" s="580"/>
      <c r="L129" s="581"/>
      <c r="M129" s="582"/>
      <c r="N129" s="1148"/>
      <c r="O129" s="1148"/>
      <c r="P129" s="45"/>
      <c r="Q129" s="500"/>
    </row>
    <row r="130" spans="1:17" ht="15.75" thickBot="1">
      <c r="A130" s="530"/>
      <c r="B130" s="539"/>
      <c r="C130" s="566"/>
      <c r="D130" s="566"/>
      <c r="E130" s="566"/>
      <c r="F130" s="566"/>
      <c r="G130" s="532"/>
      <c r="H130" s="532"/>
      <c r="I130" s="532"/>
      <c r="J130" s="532"/>
      <c r="K130" s="532"/>
      <c r="L130" s="532"/>
      <c r="M130" s="533"/>
      <c r="N130" s="1149"/>
      <c r="O130" s="1149"/>
      <c r="P130" s="45"/>
      <c r="Q130" s="500"/>
    </row>
    <row r="131" spans="1:17" s="467" customFormat="1" ht="15" thickTop="1">
      <c r="A131" s="589"/>
      <c r="B131" s="534">
        <f>B45</f>
        <v>111</v>
      </c>
      <c r="C131" s="519"/>
      <c r="D131" s="519"/>
      <c r="E131" s="519"/>
      <c r="F131" s="519"/>
      <c r="G131" s="551"/>
      <c r="H131" s="551"/>
      <c r="I131" s="551"/>
      <c r="J131" s="551"/>
      <c r="K131" s="551"/>
      <c r="L131" s="552"/>
      <c r="M131" s="553"/>
      <c r="N131" s="1150"/>
      <c r="O131" s="1150"/>
      <c r="P131" s="554"/>
      <c r="Q131" s="555"/>
    </row>
    <row r="132" spans="1:17" s="467" customFormat="1" ht="15.75" thickBot="1">
      <c r="A132" s="564"/>
      <c r="B132" s="695"/>
      <c r="C132" s="566"/>
      <c r="D132" s="566"/>
      <c r="E132" s="566"/>
      <c r="F132" s="566"/>
      <c r="G132" s="587"/>
      <c r="H132" s="587"/>
      <c r="I132" s="587"/>
      <c r="J132" s="587"/>
      <c r="K132" s="587"/>
      <c r="L132" s="587"/>
      <c r="M132" s="588"/>
      <c r="N132" s="1150"/>
      <c r="O132" s="1150"/>
      <c r="P132" s="554"/>
      <c r="Q132" s="55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2741</v>
      </c>
      <c r="B1" s="391"/>
      <c r="C1" s="392" t="s">
        <v>2793</v>
      </c>
      <c r="D1" s="748"/>
      <c r="E1" s="748"/>
      <c r="F1" s="747" t="s">
        <v>2640</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4" customFormat="1" ht="28.5" customHeight="1">
      <c r="A2" s="245" t="s">
        <v>2324</v>
      </c>
      <c r="B2" s="666" t="e">
        <f>F61</f>
        <v>#DIV/0!</v>
      </c>
      <c r="C2" s="1121"/>
      <c r="D2" s="1121"/>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4" customFormat="1" ht="28.5" customHeight="1" thickBot="1">
      <c r="A3" s="247" t="s">
        <v>2326</v>
      </c>
      <c r="B3" s="605" t="e">
        <f>ROUND(IF(D3="",B2*10000/'数据-汇总表'!E3,B2*10000/D3),0)</f>
        <v>#DIV/0!</v>
      </c>
      <c r="C3" s="247" t="s">
        <v>2743</v>
      </c>
      <c r="D3" s="1573"/>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7" t="s">
        <v>2642</v>
      </c>
      <c r="B4" s="398"/>
      <c r="C4" s="3215" t="s">
        <v>2643</v>
      </c>
      <c r="D4" s="3216"/>
      <c r="E4" s="3217" t="s">
        <v>2644</v>
      </c>
      <c r="F4" s="3218"/>
      <c r="G4" s="3215" t="s">
        <v>2645</v>
      </c>
      <c r="H4" s="3216"/>
      <c r="I4" s="3215" t="s">
        <v>2646</v>
      </c>
      <c r="J4" s="3216"/>
      <c r="K4" s="606" t="s">
        <v>2647</v>
      </c>
      <c r="L4" s="1126"/>
      <c r="M4" s="1127"/>
      <c r="N4" s="1127"/>
      <c r="O4" s="1127"/>
      <c r="P4" s="3219" t="s">
        <v>2648</v>
      </c>
      <c r="Q4" s="3220"/>
      <c r="R4" s="3201" t="s">
        <v>2644</v>
      </c>
      <c r="S4" s="3202"/>
      <c r="T4" s="3201" t="s">
        <v>2645</v>
      </c>
      <c r="U4" s="3202"/>
      <c r="V4" s="3198" t="s">
        <v>2646</v>
      </c>
      <c r="W4" s="3198"/>
      <c r="X4" s="1803"/>
      <c r="Y4" s="3201" t="s">
        <v>2648</v>
      </c>
      <c r="Z4" s="3202"/>
      <c r="AA4" s="3195" t="s">
        <v>2644</v>
      </c>
      <c r="AB4" s="3196" t="s">
        <v>2645</v>
      </c>
      <c r="AC4" s="3195" t="s">
        <v>2646</v>
      </c>
    </row>
    <row r="5" spans="1:29" ht="15">
      <c r="A5" s="400"/>
      <c r="B5" s="401"/>
      <c r="C5" s="3207" t="s">
        <v>2539</v>
      </c>
      <c r="D5" s="3208"/>
      <c r="E5" s="3205" t="s">
        <v>2540</v>
      </c>
      <c r="F5" s="3206"/>
      <c r="G5" s="3207" t="s">
        <v>2541</v>
      </c>
      <c r="H5" s="3208"/>
      <c r="I5" s="3207" t="s">
        <v>2542</v>
      </c>
      <c r="J5" s="3208"/>
      <c r="K5" s="606"/>
      <c r="L5" s="1126"/>
      <c r="M5" s="1127"/>
      <c r="N5" s="1127"/>
      <c r="O5" s="1127"/>
      <c r="P5" s="3221"/>
      <c r="Q5" s="3222"/>
      <c r="R5" s="3203"/>
      <c r="S5" s="3204"/>
      <c r="T5" s="3203"/>
      <c r="U5" s="3204"/>
      <c r="V5" s="3198"/>
      <c r="W5" s="3198"/>
      <c r="X5" s="1803"/>
      <c r="Y5" s="3203"/>
      <c r="Z5" s="3204"/>
      <c r="AA5" s="3196"/>
      <c r="AB5" s="3196"/>
      <c r="AC5" s="3196"/>
    </row>
    <row r="6" spans="1:29" ht="15.75" thickBot="1">
      <c r="A6" s="402"/>
      <c r="B6" s="403"/>
      <c r="C6" s="3292" t="s">
        <v>2794</v>
      </c>
      <c r="D6" s="3293"/>
      <c r="E6" s="3294" t="s">
        <v>2794</v>
      </c>
      <c r="F6" s="3295"/>
      <c r="G6" s="3292" t="s">
        <v>2794</v>
      </c>
      <c r="H6" s="3293"/>
      <c r="I6" s="3292" t="s">
        <v>2794</v>
      </c>
      <c r="J6" s="3293"/>
      <c r="K6" s="606" t="s">
        <v>2544</v>
      </c>
      <c r="L6" s="1126"/>
      <c r="M6" s="1127"/>
      <c r="N6" s="1127"/>
      <c r="O6" s="1127"/>
      <c r="P6" s="3223"/>
      <c r="Q6" s="3224"/>
      <c r="R6" s="3203"/>
      <c r="S6" s="3204"/>
      <c r="T6" s="3225"/>
      <c r="U6" s="3226"/>
      <c r="V6" s="3198"/>
      <c r="W6" s="3198"/>
      <c r="X6" s="1803"/>
      <c r="Y6" s="3225"/>
      <c r="Z6" s="3226"/>
      <c r="AA6" s="3197"/>
      <c r="AB6" s="3197"/>
      <c r="AC6" s="3197"/>
    </row>
    <row r="7" spans="1:29" s="116" customFormat="1" ht="15.75" thickBot="1">
      <c r="A7" s="404" t="s">
        <v>2545</v>
      </c>
      <c r="B7" s="405"/>
      <c r="C7" s="406">
        <f>'数据-取费表'!B2</f>
        <v>43028</v>
      </c>
      <c r="D7" s="407">
        <v>100</v>
      </c>
      <c r="E7" s="408"/>
      <c r="F7" s="409">
        <f>SUMIF(65:65,YEAR(E7)&amp;"-"&amp;INT((MONTH(E7)+2)/3),66:66)</f>
        <v>0</v>
      </c>
      <c r="G7" s="2683"/>
      <c r="H7" s="407">
        <f>SUMIF(65:65,YEAR(G7)&amp;"-"&amp;INT((MONTH(G7)+2)/3),66:66)</f>
        <v>0</v>
      </c>
      <c r="I7" s="2683"/>
      <c r="J7" s="407">
        <f>SUMIF(65:65,YEAR(I7)&amp;"-"&amp;INT((MONTH(I7)+2)/3),66:66)</f>
        <v>0</v>
      </c>
      <c r="K7" s="607"/>
      <c r="L7" s="1128"/>
      <c r="M7" s="1129"/>
      <c r="N7" s="1129"/>
      <c r="O7" s="1129"/>
      <c r="P7" s="3199" t="s">
        <v>2546</v>
      </c>
      <c r="Q7" s="3228"/>
      <c r="R7" s="763" t="s">
        <v>17</v>
      </c>
      <c r="S7" s="764">
        <f t="shared" ref="S7:S15" si="0">F7</f>
        <v>0</v>
      </c>
      <c r="T7" s="763" t="s">
        <v>17</v>
      </c>
      <c r="U7" s="764">
        <f t="shared" ref="U7:U15" si="1">H7</f>
        <v>0</v>
      </c>
      <c r="V7" s="763" t="s">
        <v>17</v>
      </c>
      <c r="W7" s="764">
        <f t="shared" ref="W7:W15" si="2">J7</f>
        <v>0</v>
      </c>
      <c r="X7" s="765"/>
      <c r="Y7" s="3199" t="s">
        <v>2546</v>
      </c>
      <c r="Z7" s="3200"/>
      <c r="AA7" s="766" t="e">
        <f>D7/F7</f>
        <v>#DIV/0!</v>
      </c>
      <c r="AB7" s="766" t="e">
        <f>D7/H7</f>
        <v>#DIV/0!</v>
      </c>
      <c r="AC7" s="766" t="e">
        <f>D7/J7</f>
        <v>#DIV/0!</v>
      </c>
    </row>
    <row r="8" spans="1:29" s="116" customFormat="1" ht="15.75" thickBot="1">
      <c r="A8" s="404" t="s">
        <v>2547</v>
      </c>
      <c r="B8" s="405"/>
      <c r="C8" s="410" t="s">
        <v>2548</v>
      </c>
      <c r="D8" s="407">
        <v>100</v>
      </c>
      <c r="E8" s="410"/>
      <c r="F8" s="409">
        <f>SUMIF(68:68,E8,69:69)-SUMIF(68:68,C8,69:69)+100</f>
        <v>0</v>
      </c>
      <c r="G8" s="410"/>
      <c r="H8" s="407">
        <f>SUMIF(68:68,G8,69:69)-SUMIF(68:68,C8,69:69)+100</f>
        <v>0</v>
      </c>
      <c r="I8" s="410"/>
      <c r="J8" s="407">
        <f>SUMIF(68:68,I8,69:69)-SUMIF(68:68,C8,69:69)+100</f>
        <v>0</v>
      </c>
      <c r="K8" s="607"/>
      <c r="L8" s="1128"/>
      <c r="M8" s="1129"/>
      <c r="N8" s="1129"/>
      <c r="O8" s="1129"/>
      <c r="P8" s="3199" t="s">
        <v>2549</v>
      </c>
      <c r="Q8" s="3200"/>
      <c r="R8" s="763" t="s">
        <v>17</v>
      </c>
      <c r="S8" s="764">
        <f t="shared" si="0"/>
        <v>0</v>
      </c>
      <c r="T8" s="763" t="s">
        <v>17</v>
      </c>
      <c r="U8" s="764">
        <f t="shared" si="1"/>
        <v>0</v>
      </c>
      <c r="V8" s="763" t="s">
        <v>17</v>
      </c>
      <c r="W8" s="764">
        <f t="shared" si="2"/>
        <v>0</v>
      </c>
      <c r="X8" s="765"/>
      <c r="Y8" s="3199" t="s">
        <v>2549</v>
      </c>
      <c r="Z8" s="3200"/>
      <c r="AA8" s="766" t="e">
        <f t="shared" ref="AA8:AA40" si="3">D8/F8</f>
        <v>#DIV/0!</v>
      </c>
      <c r="AB8" s="766" t="e">
        <f t="shared" ref="AB8:AB40" si="4">D8/H8</f>
        <v>#DIV/0!</v>
      </c>
      <c r="AC8" s="766" t="e">
        <f t="shared" ref="AC8:AC40" si="5">D8/J8</f>
        <v>#DIV/0!</v>
      </c>
    </row>
    <row r="9" spans="1:29" s="116" customFormat="1">
      <c r="A9" s="411" t="s">
        <v>2550</v>
      </c>
      <c r="B9" s="70" t="s">
        <v>2551</v>
      </c>
      <c r="C9" s="2686"/>
      <c r="D9" s="134">
        <v>100</v>
      </c>
      <c r="E9" s="2686"/>
      <c r="F9" s="134">
        <f>SUMIF(70:70,E9,71:71)-SUMIF(70:70,C9,71:71)+100</f>
        <v>100</v>
      </c>
      <c r="G9" s="2686"/>
      <c r="H9" s="134">
        <f>SUMIF(70:70,G9,71:71)-SUMIF(70:70,C9,71:71)+100</f>
        <v>100</v>
      </c>
      <c r="I9" s="2686"/>
      <c r="J9" s="134">
        <f>SUMIF(70:70,I9,71:71)-SUMIF(70:70,C9,71:71)+100</f>
        <v>100</v>
      </c>
      <c r="K9" s="607"/>
      <c r="L9" s="1128"/>
      <c r="M9" s="1129"/>
      <c r="N9" s="1129"/>
      <c r="O9" s="1130"/>
      <c r="P9" s="3238" t="s">
        <v>2552</v>
      </c>
      <c r="Q9" s="1785" t="str">
        <f t="shared" ref="Q9:Q15" si="6">B9</f>
        <v>用途</v>
      </c>
      <c r="R9" s="763" t="s">
        <v>17</v>
      </c>
      <c r="S9" s="764">
        <f t="shared" si="0"/>
        <v>100</v>
      </c>
      <c r="T9" s="763" t="s">
        <v>17</v>
      </c>
      <c r="U9" s="764">
        <f t="shared" si="1"/>
        <v>100</v>
      </c>
      <c r="V9" s="763" t="s">
        <v>17</v>
      </c>
      <c r="W9" s="764">
        <f t="shared" si="2"/>
        <v>100</v>
      </c>
      <c r="X9" s="765"/>
      <c r="Y9" s="3072" t="s">
        <v>2553</v>
      </c>
      <c r="Z9" s="55" t="str">
        <f t="shared" ref="Z9:Z15" si="7">Q9</f>
        <v>用途</v>
      </c>
      <c r="AA9" s="766">
        <f t="shared" si="3"/>
        <v>1</v>
      </c>
      <c r="AB9" s="766">
        <f t="shared" si="4"/>
        <v>1</v>
      </c>
      <c r="AC9" s="766">
        <f t="shared" si="5"/>
        <v>1</v>
      </c>
    </row>
    <row r="10" spans="1:29" s="423" customFormat="1" ht="27">
      <c r="A10" s="417"/>
      <c r="B10" s="418" t="s">
        <v>2554</v>
      </c>
      <c r="C10" s="428"/>
      <c r="D10" s="135">
        <v>100</v>
      </c>
      <c r="E10" s="428"/>
      <c r="F10" s="135">
        <f>ROUND(100/'数据-取费表'!G16,0)</f>
        <v>117</v>
      </c>
      <c r="G10" s="428"/>
      <c r="H10" s="135">
        <f>ROUND(100/'数据-取费表'!G16,0)</f>
        <v>117</v>
      </c>
      <c r="I10" s="428"/>
      <c r="J10" s="135">
        <f>ROUND(100/'数据-取费表'!G16,0)</f>
        <v>117</v>
      </c>
      <c r="K10" s="667"/>
      <c r="L10" s="1131"/>
      <c r="M10" s="1132"/>
      <c r="N10" s="1132"/>
      <c r="O10" s="1133"/>
      <c r="P10" s="3238"/>
      <c r="Q10" s="1785" t="str">
        <f t="shared" si="6"/>
        <v>土地使用年限（年）</v>
      </c>
      <c r="R10" s="763" t="s">
        <v>17</v>
      </c>
      <c r="S10" s="764">
        <f t="shared" si="0"/>
        <v>117</v>
      </c>
      <c r="T10" s="763" t="s">
        <v>17</v>
      </c>
      <c r="U10" s="764">
        <f t="shared" si="1"/>
        <v>117</v>
      </c>
      <c r="V10" s="763" t="s">
        <v>17</v>
      </c>
      <c r="W10" s="764">
        <f t="shared" si="2"/>
        <v>117</v>
      </c>
      <c r="X10" s="765"/>
      <c r="Y10" s="3072"/>
      <c r="Z10" s="55" t="str">
        <f t="shared" si="7"/>
        <v>土地使用年限（年）</v>
      </c>
      <c r="AA10" s="766">
        <f t="shared" si="3"/>
        <v>0.85470085470085466</v>
      </c>
      <c r="AB10" s="766">
        <f t="shared" si="4"/>
        <v>0.85470085470085466</v>
      </c>
      <c r="AC10" s="766">
        <f t="shared" si="5"/>
        <v>0.85470085470085466</v>
      </c>
    </row>
    <row r="11" spans="1:29" ht="15">
      <c r="A11" s="424"/>
      <c r="B11" s="418" t="s">
        <v>2555</v>
      </c>
      <c r="C11" s="425"/>
      <c r="D11" s="135">
        <v>100</v>
      </c>
      <c r="E11" s="425"/>
      <c r="F11" s="135" t="e">
        <f>LOOKUP(E11,75:75,76:76)-LOOKUP(C11,75:75,76:76)+100</f>
        <v>#N/A</v>
      </c>
      <c r="G11" s="426"/>
      <c r="H11" s="135" t="e">
        <f>LOOKUP(G11,75:75,76:76)-LOOKUP(C11,75:75,76:76)+100</f>
        <v>#N/A</v>
      </c>
      <c r="I11" s="425"/>
      <c r="J11" s="135" t="e">
        <f>LOOKUP(I11,75:75,76:76)-LOOKUP(C11,75:75,76:76)+100</f>
        <v>#N/A</v>
      </c>
      <c r="K11" s="668"/>
      <c r="L11" s="1134"/>
      <c r="M11" s="1127"/>
      <c r="N11" s="1127"/>
      <c r="O11" s="1135"/>
      <c r="P11" s="3238"/>
      <c r="Q11" s="1785" t="str">
        <f t="shared" si="6"/>
        <v>容积率</v>
      </c>
      <c r="R11" s="763" t="s">
        <v>17</v>
      </c>
      <c r="S11" s="764" t="e">
        <f t="shared" si="0"/>
        <v>#N/A</v>
      </c>
      <c r="T11" s="763" t="s">
        <v>17</v>
      </c>
      <c r="U11" s="764" t="e">
        <f t="shared" si="1"/>
        <v>#N/A</v>
      </c>
      <c r="V11" s="763" t="s">
        <v>17</v>
      </c>
      <c r="W11" s="764" t="e">
        <f t="shared" si="2"/>
        <v>#N/A</v>
      </c>
      <c r="X11" s="765"/>
      <c r="Y11" s="3072"/>
      <c r="Z11" s="55" t="str">
        <f t="shared" si="7"/>
        <v>容积率</v>
      </c>
      <c r="AA11" s="766" t="e">
        <f t="shared" si="3"/>
        <v>#N/A</v>
      </c>
      <c r="AB11" s="766" t="e">
        <f t="shared" si="4"/>
        <v>#N/A</v>
      </c>
      <c r="AC11" s="766" t="e">
        <f t="shared" si="5"/>
        <v>#N/A</v>
      </c>
    </row>
    <row r="12" spans="1:29" s="116" customFormat="1" ht="15">
      <c r="A12" s="427"/>
      <c r="B12" s="2587">
        <v>111</v>
      </c>
      <c r="C12" s="428"/>
      <c r="D12" s="429">
        <v>100</v>
      </c>
      <c r="E12" s="545"/>
      <c r="F12" s="135">
        <f>SUMIF(77:77,E12,78:78)-SUMIF(77:77,C12,78:78)+100</f>
        <v>100</v>
      </c>
      <c r="G12" s="669"/>
      <c r="H12" s="135">
        <f>SUMIF(77:77,G12,78:78)-SUMIF(77:77,C12,78:78)+100</f>
        <v>100</v>
      </c>
      <c r="I12" s="545"/>
      <c r="J12" s="135">
        <f>SUMIF(77:77,I12,78:78)-SUMIF(77:77,C12,78:78)+100</f>
        <v>100</v>
      </c>
      <c r="K12" s="667"/>
      <c r="L12" s="1128"/>
      <c r="M12" s="1129"/>
      <c r="N12" s="1129"/>
      <c r="O12" s="1130"/>
      <c r="P12" s="3238"/>
      <c r="Q12" s="1785">
        <f t="shared" si="6"/>
        <v>111</v>
      </c>
      <c r="R12" s="763" t="s">
        <v>17</v>
      </c>
      <c r="S12" s="764">
        <f t="shared" si="0"/>
        <v>100</v>
      </c>
      <c r="T12" s="763" t="s">
        <v>17</v>
      </c>
      <c r="U12" s="764">
        <f t="shared" si="1"/>
        <v>100</v>
      </c>
      <c r="V12" s="763" t="s">
        <v>17</v>
      </c>
      <c r="W12" s="764">
        <f t="shared" si="2"/>
        <v>100</v>
      </c>
      <c r="X12" s="765"/>
      <c r="Y12" s="3072"/>
      <c r="Z12" s="55">
        <f t="shared" si="7"/>
        <v>111</v>
      </c>
      <c r="AA12" s="766">
        <f>D12/F12</f>
        <v>1</v>
      </c>
      <c r="AB12" s="766">
        <f>D12/H12</f>
        <v>1</v>
      </c>
      <c r="AC12" s="766">
        <f>D12/J12</f>
        <v>1</v>
      </c>
    </row>
    <row r="13" spans="1:29" ht="15">
      <c r="A13" s="424"/>
      <c r="B13" s="2587">
        <v>111</v>
      </c>
      <c r="C13" s="430"/>
      <c r="D13" s="431">
        <v>100</v>
      </c>
      <c r="E13" s="545"/>
      <c r="F13" s="135">
        <f>SUMIF(79:79,E13,80:80)-SUMIF(79:79,C13,80:80)+100</f>
        <v>100</v>
      </c>
      <c r="G13" s="669"/>
      <c r="H13" s="431">
        <f>SUMIF(79:79,G13,80:80)-SUMIF(79:79,C13,80:80)+100</f>
        <v>100</v>
      </c>
      <c r="I13" s="545"/>
      <c r="J13" s="431">
        <f>SUMIF(79:79,I13,80:80)-SUMIF(79:79,C13,80:80)+100</f>
        <v>100</v>
      </c>
      <c r="K13" s="667"/>
      <c r="L13" s="1136"/>
      <c r="M13" s="1127"/>
      <c r="N13" s="1127"/>
      <c r="O13" s="1135"/>
      <c r="P13" s="3238"/>
      <c r="Q13" s="1785">
        <f t="shared" si="6"/>
        <v>111</v>
      </c>
      <c r="R13" s="763" t="s">
        <v>17</v>
      </c>
      <c r="S13" s="764">
        <f t="shared" si="0"/>
        <v>100</v>
      </c>
      <c r="T13" s="763" t="s">
        <v>17</v>
      </c>
      <c r="U13" s="764">
        <f t="shared" si="1"/>
        <v>100</v>
      </c>
      <c r="V13" s="763" t="s">
        <v>17</v>
      </c>
      <c r="W13" s="764">
        <f t="shared" si="2"/>
        <v>100</v>
      </c>
      <c r="X13" s="765"/>
      <c r="Y13" s="3072"/>
      <c r="Z13" s="55">
        <f t="shared" si="7"/>
        <v>111</v>
      </c>
      <c r="AA13" s="766">
        <f t="shared" si="3"/>
        <v>1</v>
      </c>
      <c r="AB13" s="766">
        <f t="shared" si="4"/>
        <v>1</v>
      </c>
      <c r="AC13" s="766">
        <f t="shared" si="5"/>
        <v>1</v>
      </c>
    </row>
    <row r="14" spans="1:29" ht="15.75" thickBot="1">
      <c r="A14" s="432"/>
      <c r="B14" s="2589">
        <v>111</v>
      </c>
      <c r="C14" s="433"/>
      <c r="D14" s="434">
        <v>100</v>
      </c>
      <c r="E14" s="545"/>
      <c r="F14" s="434">
        <f>SUMIF(81:81,E14,82:82)-SUMIF(81:81,C14,82:82)+100</f>
        <v>100</v>
      </c>
      <c r="G14" s="669"/>
      <c r="H14" s="434">
        <f>SUMIF(81:81,G14,82:82)-SUMIF(81:81,C14,82:82)+100</f>
        <v>100</v>
      </c>
      <c r="I14" s="545"/>
      <c r="J14" s="434">
        <f>SUMIF(81:81,I14,82:82)-SUMIF(81:81,C14,82:82)+100</f>
        <v>100</v>
      </c>
      <c r="K14" s="667"/>
      <c r="L14" s="1136"/>
      <c r="M14" s="1127"/>
      <c r="N14" s="1127"/>
      <c r="O14" s="1135"/>
      <c r="P14" s="3238"/>
      <c r="Q14" s="1785">
        <f t="shared" si="6"/>
        <v>111</v>
      </c>
      <c r="R14" s="763" t="s">
        <v>17</v>
      </c>
      <c r="S14" s="764">
        <f t="shared" si="0"/>
        <v>100</v>
      </c>
      <c r="T14" s="763" t="s">
        <v>17</v>
      </c>
      <c r="U14" s="764">
        <f t="shared" si="1"/>
        <v>100</v>
      </c>
      <c r="V14" s="763" t="s">
        <v>17</v>
      </c>
      <c r="W14" s="764">
        <f t="shared" si="2"/>
        <v>100</v>
      </c>
      <c r="X14" s="765"/>
      <c r="Y14" s="3072"/>
      <c r="Z14" s="55">
        <f t="shared" si="7"/>
        <v>111</v>
      </c>
      <c r="AA14" s="766">
        <f t="shared" si="3"/>
        <v>1</v>
      </c>
      <c r="AB14" s="766">
        <f t="shared" si="4"/>
        <v>1</v>
      </c>
      <c r="AC14" s="766">
        <f t="shared" si="5"/>
        <v>1</v>
      </c>
    </row>
    <row r="15" spans="1:29" ht="57">
      <c r="A15" s="436" t="s">
        <v>2556</v>
      </c>
      <c r="B15" s="624" t="s">
        <v>2795</v>
      </c>
      <c r="C15" s="2680" t="str">
        <f>估价对象房地状况!G15</f>
        <v>估价对象位于XX开发区，园区建设成熟度XX，产业集聚程度XX</v>
      </c>
      <c r="D15" s="437">
        <v>100</v>
      </c>
      <c r="E15" s="438"/>
      <c r="F15" s="437">
        <f>SUMIF(83:83,E16,84:84)-SUMIF(83:83,C16,84:84)+100</f>
        <v>100</v>
      </c>
      <c r="G15" s="438"/>
      <c r="H15" s="437">
        <f>SUMIF(83:83,G16,84:84)-SUMIF(83:83,C16,84:84)+100</f>
        <v>100</v>
      </c>
      <c r="I15" s="440"/>
      <c r="J15" s="437">
        <f>SUMIF(83:83,I16,84:84)-SUMIF(83:83,C16,84:84)+100</f>
        <v>100</v>
      </c>
      <c r="K15" s="668"/>
      <c r="L15" s="1136"/>
      <c r="M15" s="1127"/>
      <c r="N15" s="1127"/>
      <c r="O15" s="1135"/>
      <c r="P15" s="3231" t="s">
        <v>2557</v>
      </c>
      <c r="Q15" s="1800" t="str">
        <f t="shared" si="6"/>
        <v>产业集聚程度</v>
      </c>
      <c r="R15" s="767" t="s">
        <v>17</v>
      </c>
      <c r="S15" s="768">
        <f t="shared" si="0"/>
        <v>100</v>
      </c>
      <c r="T15" s="767" t="s">
        <v>17</v>
      </c>
      <c r="U15" s="768">
        <f t="shared" si="1"/>
        <v>100</v>
      </c>
      <c r="V15" s="767" t="s">
        <v>17</v>
      </c>
      <c r="W15" s="768">
        <f t="shared" si="2"/>
        <v>100</v>
      </c>
      <c r="X15" s="1803"/>
      <c r="Y15" s="3231" t="s">
        <v>2557</v>
      </c>
      <c r="Z15" s="1804" t="str">
        <f t="shared" si="7"/>
        <v>产业集聚程度</v>
      </c>
      <c r="AA15" s="1801">
        <f t="shared" si="3"/>
        <v>1</v>
      </c>
      <c r="AB15" s="1801">
        <f t="shared" si="4"/>
        <v>1</v>
      </c>
      <c r="AC15" s="1801">
        <f t="shared" si="5"/>
        <v>1</v>
      </c>
    </row>
    <row r="16" spans="1:29" ht="15">
      <c r="A16" s="424"/>
      <c r="B16" s="625"/>
      <c r="C16" s="443"/>
      <c r="D16" s="444"/>
      <c r="E16" s="2598"/>
      <c r="F16" s="444"/>
      <c r="G16" s="2598"/>
      <c r="H16" s="446"/>
      <c r="I16" s="2598"/>
      <c r="J16" s="444"/>
      <c r="K16" s="667"/>
      <c r="L16" s="1136"/>
      <c r="M16" s="1127"/>
      <c r="N16" s="1127"/>
      <c r="O16" s="1135"/>
      <c r="P16" s="3232"/>
      <c r="Q16" s="1800"/>
      <c r="R16" s="767"/>
      <c r="S16" s="768"/>
      <c r="T16" s="767"/>
      <c r="U16" s="768"/>
      <c r="V16" s="767"/>
      <c r="W16" s="768"/>
      <c r="X16" s="1803"/>
      <c r="Y16" s="3232"/>
      <c r="Z16" s="1804"/>
      <c r="AA16" s="1801">
        <v>1</v>
      </c>
      <c r="AB16" s="1801">
        <v>1</v>
      </c>
      <c r="AC16" s="1801">
        <v>1</v>
      </c>
    </row>
    <row r="17" spans="1:29" ht="85.5">
      <c r="A17" s="424"/>
      <c r="B17" s="626" t="s">
        <v>2706</v>
      </c>
      <c r="C17" s="2594" t="str">
        <f>估价对象房地状况!G16</f>
        <v>估价对象周边道路状况、公共交通通达情况、停车便捷程度，综合评价交通便捷度较好</v>
      </c>
      <c r="D17" s="446">
        <v>100</v>
      </c>
      <c r="E17" s="448"/>
      <c r="F17" s="451">
        <f>SUMIF(85:85,E18,86:86)-SUMIF(85:85,C18,86:86)+100</f>
        <v>100</v>
      </c>
      <c r="G17" s="448"/>
      <c r="H17" s="451">
        <f>SUMIF(85:85,G18,86:86)-SUMIF(85:85,C18,86:86)+100</f>
        <v>100</v>
      </c>
      <c r="I17" s="450"/>
      <c r="J17" s="446">
        <f>SUMIF(85:85,I18,86:86)-SUMIF(85:85,C18,86:86)+100</f>
        <v>100</v>
      </c>
      <c r="K17" s="668"/>
      <c r="L17" s="1136"/>
      <c r="M17" s="1127"/>
      <c r="N17" s="1127"/>
      <c r="O17" s="1135"/>
      <c r="P17" s="3232"/>
      <c r="Q17" s="1800" t="str">
        <f>B17</f>
        <v>交通便捷度</v>
      </c>
      <c r="R17" s="767" t="s">
        <v>17</v>
      </c>
      <c r="S17" s="768">
        <f>F17</f>
        <v>100</v>
      </c>
      <c r="T17" s="767" t="s">
        <v>17</v>
      </c>
      <c r="U17" s="768">
        <f>H17</f>
        <v>100</v>
      </c>
      <c r="V17" s="767" t="s">
        <v>17</v>
      </c>
      <c r="W17" s="768">
        <f>J17</f>
        <v>100</v>
      </c>
      <c r="X17" s="1803"/>
      <c r="Y17" s="3232"/>
      <c r="Z17" s="1804" t="str">
        <f>Q17</f>
        <v>交通便捷度</v>
      </c>
      <c r="AA17" s="1801">
        <f t="shared" si="3"/>
        <v>1</v>
      </c>
      <c r="AB17" s="1801">
        <f t="shared" si="4"/>
        <v>1</v>
      </c>
      <c r="AC17" s="1801">
        <f t="shared" si="5"/>
        <v>1</v>
      </c>
    </row>
    <row r="18" spans="1:29" ht="15">
      <c r="A18" s="424"/>
      <c r="B18" s="627"/>
      <c r="C18" s="443"/>
      <c r="D18" s="444"/>
      <c r="E18" s="2592"/>
      <c r="F18" s="444"/>
      <c r="G18" s="2592"/>
      <c r="H18" s="444"/>
      <c r="I18" s="2591"/>
      <c r="J18" s="444"/>
      <c r="K18" s="667"/>
      <c r="L18" s="1136"/>
      <c r="M18" s="1127"/>
      <c r="N18" s="1127"/>
      <c r="O18" s="1135"/>
      <c r="P18" s="3232"/>
      <c r="Q18" s="1800"/>
      <c r="R18" s="767"/>
      <c r="S18" s="768"/>
      <c r="T18" s="767"/>
      <c r="U18" s="768"/>
      <c r="V18" s="767"/>
      <c r="W18" s="768"/>
      <c r="X18" s="1803"/>
      <c r="Y18" s="3232"/>
      <c r="Z18" s="1804"/>
      <c r="AA18" s="1801">
        <v>1</v>
      </c>
      <c r="AB18" s="1801">
        <v>1</v>
      </c>
      <c r="AC18" s="1801">
        <v>1</v>
      </c>
    </row>
    <row r="19" spans="1:29" ht="15">
      <c r="A19" s="424"/>
      <c r="B19" s="626" t="s">
        <v>2745</v>
      </c>
      <c r="C19" s="2594">
        <f>估价对象房地状况!G17</f>
        <v>0</v>
      </c>
      <c r="D19" s="446">
        <v>100</v>
      </c>
      <c r="E19" s="448"/>
      <c r="F19" s="451">
        <f>SUMIF(87:87,E20,88:88)-SUMIF(87:87,C20,88:88)+100</f>
        <v>100</v>
      </c>
      <c r="G19" s="448"/>
      <c r="H19" s="451">
        <f>SUMIF(87:87,G20,88:88)-SUMIF(87:87,C20,88:88)+100</f>
        <v>100</v>
      </c>
      <c r="I19" s="448"/>
      <c r="J19" s="451">
        <f>SUMIF(87:87,I20,88:88)-SUMIF(87:87,C20,88:88)+100</f>
        <v>100</v>
      </c>
      <c r="K19" s="668"/>
      <c r="L19" s="1136"/>
      <c r="M19" s="1127"/>
      <c r="N19" s="1127"/>
      <c r="O19" s="1135"/>
      <c r="P19" s="3232"/>
      <c r="Q19" s="1800" t="str">
        <f t="shared" ref="Q19:Q33" si="8">B19</f>
        <v>区域土地利用方向</v>
      </c>
      <c r="R19" s="767" t="s">
        <v>17</v>
      </c>
      <c r="S19" s="768">
        <f>F19</f>
        <v>100</v>
      </c>
      <c r="T19" s="767" t="s">
        <v>17</v>
      </c>
      <c r="U19" s="768">
        <f>H19</f>
        <v>100</v>
      </c>
      <c r="V19" s="767" t="s">
        <v>17</v>
      </c>
      <c r="W19" s="768">
        <f>J19</f>
        <v>100</v>
      </c>
      <c r="X19" s="1803"/>
      <c r="Y19" s="3232"/>
      <c r="Z19" s="1804" t="str">
        <f>Q19</f>
        <v>区域土地利用方向</v>
      </c>
      <c r="AA19" s="1801">
        <f t="shared" si="3"/>
        <v>1</v>
      </c>
      <c r="AB19" s="1801">
        <f t="shared" si="4"/>
        <v>1</v>
      </c>
      <c r="AC19" s="1801">
        <f t="shared" si="5"/>
        <v>1</v>
      </c>
    </row>
    <row r="20" spans="1:29" ht="15">
      <c r="A20" s="400"/>
      <c r="B20" s="627"/>
      <c r="C20" s="443"/>
      <c r="D20" s="444"/>
      <c r="E20" s="2592"/>
      <c r="F20" s="444"/>
      <c r="G20" s="2592"/>
      <c r="H20" s="444"/>
      <c r="I20" s="2592"/>
      <c r="J20" s="444"/>
      <c r="K20" s="805"/>
      <c r="L20" s="1136"/>
      <c r="M20" s="1127"/>
      <c r="N20" s="1127"/>
      <c r="O20" s="1135"/>
      <c r="P20" s="3232"/>
      <c r="Q20" s="1800"/>
      <c r="R20" s="767"/>
      <c r="S20" s="768"/>
      <c r="T20" s="767"/>
      <c r="U20" s="768"/>
      <c r="V20" s="767"/>
      <c r="W20" s="768"/>
      <c r="X20" s="1803"/>
      <c r="Y20" s="3232"/>
      <c r="Z20" s="1804"/>
      <c r="AA20" s="1801"/>
      <c r="AB20" s="1801"/>
      <c r="AC20" s="1801"/>
    </row>
    <row r="21" spans="1:29" ht="71.25">
      <c r="A21" s="400"/>
      <c r="B21" s="626" t="s">
        <v>2796</v>
      </c>
      <c r="C21" s="2594" t="str">
        <f>估价对象房地状况!G18</f>
        <v>该园区内是否有污染型企业，绿化情况，卫生条件，整体环境状况判断</v>
      </c>
      <c r="D21" s="446">
        <v>100</v>
      </c>
      <c r="E21" s="448"/>
      <c r="F21" s="446">
        <f>SUMIF(89:89,E22,90:90)-SUMIF(89:89,C22,90:90)+100</f>
        <v>100</v>
      </c>
      <c r="G21" s="448"/>
      <c r="H21" s="446">
        <f>SUMIF(89:89,G22,90:90)-SUMIF(89:89,C22,90:90)+100</f>
        <v>100</v>
      </c>
      <c r="I21" s="450"/>
      <c r="J21" s="446">
        <f>SUMIF(89:89,I22,90:90)-SUMIF(89:89,C22,90:90)+100</f>
        <v>100</v>
      </c>
      <c r="K21" s="668"/>
      <c r="L21" s="1136"/>
      <c r="M21" s="1127"/>
      <c r="N21" s="1127"/>
      <c r="O21" s="1135"/>
      <c r="P21" s="3232"/>
      <c r="Q21" s="1800" t="str">
        <f t="shared" si="8"/>
        <v>环境状况</v>
      </c>
      <c r="R21" s="767" t="s">
        <v>17</v>
      </c>
      <c r="S21" s="768">
        <f>F21</f>
        <v>100</v>
      </c>
      <c r="T21" s="767" t="s">
        <v>17</v>
      </c>
      <c r="U21" s="768">
        <f>H21</f>
        <v>100</v>
      </c>
      <c r="V21" s="767" t="s">
        <v>17</v>
      </c>
      <c r="W21" s="768">
        <f>J21</f>
        <v>100</v>
      </c>
      <c r="X21" s="1803"/>
      <c r="Y21" s="3232"/>
      <c r="Z21" s="1804" t="str">
        <f>Q21</f>
        <v>环境状况</v>
      </c>
      <c r="AA21" s="1801">
        <f t="shared" si="3"/>
        <v>1</v>
      </c>
      <c r="AB21" s="1801">
        <f t="shared" si="4"/>
        <v>1</v>
      </c>
      <c r="AC21" s="1801">
        <f t="shared" si="5"/>
        <v>1</v>
      </c>
    </row>
    <row r="22" spans="1:29" ht="15">
      <c r="A22" s="400"/>
      <c r="B22" s="627"/>
      <c r="C22" s="443"/>
      <c r="D22" s="444"/>
      <c r="E22" s="2598"/>
      <c r="F22" s="444"/>
      <c r="G22" s="2598"/>
      <c r="H22" s="444"/>
      <c r="I22" s="443"/>
      <c r="J22" s="444"/>
      <c r="K22" s="667"/>
      <c r="L22" s="1136"/>
      <c r="M22" s="1127"/>
      <c r="N22" s="1127"/>
      <c r="O22" s="1135"/>
      <c r="P22" s="3232"/>
      <c r="Q22" s="1800"/>
      <c r="R22" s="767"/>
      <c r="S22" s="768"/>
      <c r="T22" s="767"/>
      <c r="U22" s="768"/>
      <c r="V22" s="767"/>
      <c r="W22" s="768"/>
      <c r="X22" s="1803"/>
      <c r="Y22" s="3232"/>
      <c r="Z22" s="1804"/>
      <c r="AA22" s="1801">
        <v>1</v>
      </c>
      <c r="AB22" s="1801">
        <v>1</v>
      </c>
      <c r="AC22" s="1801">
        <v>1</v>
      </c>
    </row>
    <row r="23" spans="1:29" s="116" customFormat="1" ht="42.75">
      <c r="A23" s="644"/>
      <c r="B23" s="628" t="s">
        <v>2651</v>
      </c>
      <c r="C23" s="2594" t="str">
        <f>估价对象房地状况!G19</f>
        <v>估价对象所在区域公共配套设施齐备情况</v>
      </c>
      <c r="D23" s="446">
        <v>100</v>
      </c>
      <c r="E23" s="448"/>
      <c r="F23" s="446">
        <f>SUMIF(91:91,E24,92:92)-SUMIF(91:91,C24,92:92)+100</f>
        <v>100</v>
      </c>
      <c r="G23" s="448"/>
      <c r="H23" s="446">
        <f>SUMIF(91:91,G24,92:92)-SUMIF(91:91,C24,92:92)+100</f>
        <v>100</v>
      </c>
      <c r="I23" s="450"/>
      <c r="J23" s="446">
        <f>SUMIF(91:91,I24,92:92)-SUMIF(91:91,C24,92:92)+100</f>
        <v>100</v>
      </c>
      <c r="K23" s="668"/>
      <c r="L23" s="1128"/>
      <c r="M23" s="1129"/>
      <c r="N23" s="1129"/>
      <c r="O23" s="1130"/>
      <c r="P23" s="3232"/>
      <c r="Q23" s="1785" t="str">
        <f t="shared" si="8"/>
        <v>公共配套设施</v>
      </c>
      <c r="R23" s="763" t="s">
        <v>17</v>
      </c>
      <c r="S23" s="764">
        <f>F23</f>
        <v>100</v>
      </c>
      <c r="T23" s="763" t="s">
        <v>17</v>
      </c>
      <c r="U23" s="764">
        <f>H23</f>
        <v>100</v>
      </c>
      <c r="V23" s="763" t="s">
        <v>17</v>
      </c>
      <c r="W23" s="764">
        <f>J23</f>
        <v>100</v>
      </c>
      <c r="X23" s="765"/>
      <c r="Y23" s="3232"/>
      <c r="Z23" s="55" t="str">
        <f>Q23</f>
        <v>公共配套设施</v>
      </c>
      <c r="AA23" s="1801">
        <f>D23/F23</f>
        <v>1</v>
      </c>
      <c r="AB23" s="1801">
        <f>D23/H23</f>
        <v>1</v>
      </c>
      <c r="AC23" s="1801">
        <f>D23/J23</f>
        <v>1</v>
      </c>
    </row>
    <row r="24" spans="1:29" s="116" customFormat="1" ht="15">
      <c r="A24" s="644"/>
      <c r="B24" s="627"/>
      <c r="C24" s="2687"/>
      <c r="D24" s="444"/>
      <c r="E24" s="2598"/>
      <c r="F24" s="444"/>
      <c r="G24" s="2598"/>
      <c r="H24" s="444"/>
      <c r="I24" s="443"/>
      <c r="J24" s="444"/>
      <c r="K24" s="667"/>
      <c r="L24" s="1128"/>
      <c r="M24" s="1129"/>
      <c r="N24" s="1129"/>
      <c r="O24" s="1130"/>
      <c r="P24" s="3232"/>
      <c r="Q24" s="1785"/>
      <c r="R24" s="763"/>
      <c r="S24" s="764"/>
      <c r="T24" s="763"/>
      <c r="U24" s="764"/>
      <c r="V24" s="763"/>
      <c r="W24" s="764"/>
      <c r="X24" s="765"/>
      <c r="Y24" s="3232"/>
      <c r="Z24" s="55"/>
      <c r="AA24" s="766">
        <v>1</v>
      </c>
      <c r="AB24" s="766">
        <v>1</v>
      </c>
      <c r="AC24" s="766">
        <v>1</v>
      </c>
    </row>
    <row r="25" spans="1:29" s="116" customFormat="1" ht="28.5">
      <c r="A25" s="644"/>
      <c r="B25" s="628" t="s">
        <v>2652</v>
      </c>
      <c r="C25" s="2594" t="str">
        <f>估价对象房地状况!G20</f>
        <v>估价对象所在区域基础设施水平</v>
      </c>
      <c r="D25" s="446">
        <v>100</v>
      </c>
      <c r="E25" s="448"/>
      <c r="F25" s="446">
        <f>SUMIF(93:93,E26,94:94)-SUMIF(93:93,C26,94:94)+100</f>
        <v>100</v>
      </c>
      <c r="G25" s="448"/>
      <c r="H25" s="446">
        <f>SUMIF(93:93,G26,94:94)-SUMIF(93:93,C26,94:94)+100</f>
        <v>100</v>
      </c>
      <c r="I25" s="450"/>
      <c r="J25" s="446">
        <f>SUMIF(93:93,I26,94:94)-SUMIF(93:93,C26,94:94)+100</f>
        <v>100</v>
      </c>
      <c r="K25" s="668"/>
      <c r="L25" s="1128"/>
      <c r="M25" s="1129"/>
      <c r="N25" s="1129"/>
      <c r="O25" s="1130"/>
      <c r="P25" s="3232"/>
      <c r="Q25" s="1785" t="str">
        <f>B25</f>
        <v>基础设施水平</v>
      </c>
      <c r="R25" s="763" t="s">
        <v>17</v>
      </c>
      <c r="S25" s="764">
        <f>F25</f>
        <v>100</v>
      </c>
      <c r="T25" s="763" t="s">
        <v>17</v>
      </c>
      <c r="U25" s="764">
        <f>H25</f>
        <v>100</v>
      </c>
      <c r="V25" s="763" t="s">
        <v>17</v>
      </c>
      <c r="W25" s="764">
        <f>J25</f>
        <v>100</v>
      </c>
      <c r="X25" s="765"/>
      <c r="Y25" s="3232"/>
      <c r="Z25" s="55" t="str">
        <f>Q25</f>
        <v>基础设施水平</v>
      </c>
      <c r="AA25" s="1801">
        <f>D25/F25</f>
        <v>1</v>
      </c>
      <c r="AB25" s="1801">
        <f>D25/H25</f>
        <v>1</v>
      </c>
      <c r="AC25" s="1801">
        <f>D25/J25</f>
        <v>1</v>
      </c>
    </row>
    <row r="26" spans="1:29" s="116" customFormat="1" ht="15">
      <c r="A26" s="644"/>
      <c r="B26" s="627"/>
      <c r="C26" s="2687"/>
      <c r="D26" s="444"/>
      <c r="E26" s="2688"/>
      <c r="F26" s="444"/>
      <c r="G26" s="2688"/>
      <c r="H26" s="444"/>
      <c r="I26" s="2688"/>
      <c r="J26" s="444"/>
      <c r="K26" s="667"/>
      <c r="L26" s="1128"/>
      <c r="M26" s="1129"/>
      <c r="N26" s="1129"/>
      <c r="O26" s="1130"/>
      <c r="P26" s="3232"/>
      <c r="Q26" s="1785"/>
      <c r="R26" s="763"/>
      <c r="S26" s="764"/>
      <c r="T26" s="763"/>
      <c r="U26" s="764"/>
      <c r="V26" s="763"/>
      <c r="W26" s="764"/>
      <c r="X26" s="765"/>
      <c r="Y26" s="3232"/>
      <c r="Z26" s="55"/>
      <c r="AA26" s="766">
        <v>1</v>
      </c>
      <c r="AB26" s="766">
        <v>1</v>
      </c>
      <c r="AC26" s="766">
        <v>1</v>
      </c>
    </row>
    <row r="27" spans="1:29" ht="15">
      <c r="A27" s="424"/>
      <c r="B27" s="627" t="s">
        <v>2653</v>
      </c>
      <c r="C27" s="612"/>
      <c r="D27" s="431">
        <v>100</v>
      </c>
      <c r="E27" s="629"/>
      <c r="F27" s="431">
        <f>SUMIF(95:95,E27,96:96)-SUMIF(95:95,C27,96:96)+100</f>
        <v>100</v>
      </c>
      <c r="G27" s="629"/>
      <c r="H27" s="431">
        <f>SUMIF(95:95,G27,96:96)-SUMIF(95:95,C27,96:96)+100</f>
        <v>100</v>
      </c>
      <c r="I27" s="629"/>
      <c r="J27" s="431">
        <f>SUMIF(95:95,I27,96:96)-SUMIF(95:95,C27,96:96)+100</f>
        <v>100</v>
      </c>
      <c r="K27" s="668"/>
      <c r="L27" s="1136"/>
      <c r="M27" s="1127"/>
      <c r="N27" s="1127"/>
      <c r="O27" s="1135"/>
      <c r="P27" s="3232"/>
      <c r="Q27" s="1800" t="str">
        <f t="shared" si="8"/>
        <v>临街状况</v>
      </c>
      <c r="R27" s="767" t="s">
        <v>17</v>
      </c>
      <c r="S27" s="768">
        <f t="shared" ref="S27:S40" si="9">F27</f>
        <v>100</v>
      </c>
      <c r="T27" s="767" t="s">
        <v>17</v>
      </c>
      <c r="U27" s="768">
        <f t="shared" ref="U27:U40" si="10">H27</f>
        <v>100</v>
      </c>
      <c r="V27" s="767" t="s">
        <v>17</v>
      </c>
      <c r="W27" s="768">
        <f t="shared" ref="W27:W40" si="11">J27</f>
        <v>100</v>
      </c>
      <c r="X27" s="1803"/>
      <c r="Y27" s="3232"/>
      <c r="Z27" s="1804" t="str">
        <f t="shared" ref="Z27:Z40" si="12">Q27</f>
        <v>临街状况</v>
      </c>
      <c r="AA27" s="1801">
        <f t="shared" si="3"/>
        <v>1</v>
      </c>
      <c r="AB27" s="1801">
        <f t="shared" si="4"/>
        <v>1</v>
      </c>
      <c r="AC27" s="1801">
        <f t="shared" si="5"/>
        <v>1</v>
      </c>
    </row>
    <row r="28" spans="1:29" ht="27">
      <c r="A28" s="424"/>
      <c r="B28" s="628" t="s">
        <v>2688</v>
      </c>
      <c r="C28" s="2700">
        <f>估价对象房地状况!G22</f>
        <v>0</v>
      </c>
      <c r="D28" s="446">
        <v>100</v>
      </c>
      <c r="E28" s="448"/>
      <c r="F28" s="446">
        <f>SUMIF(97:97,E29,98:98)-SUMIF(97:97,C29,98:98)+100</f>
        <v>100</v>
      </c>
      <c r="G28" s="448"/>
      <c r="H28" s="446">
        <f>SUMIF(97:97,G29,98:98)-SUMIF(97:97,C29,98:98)+100</f>
        <v>100</v>
      </c>
      <c r="I28" s="450"/>
      <c r="J28" s="446">
        <f>SUMIF(97:97,I29,98:98)-SUMIF(97:97,C29,98:98)+100</f>
        <v>100</v>
      </c>
      <c r="K28" s="668"/>
      <c r="L28" s="1136"/>
      <c r="M28" s="1127"/>
      <c r="N28" s="1127"/>
      <c r="O28" s="1135"/>
      <c r="P28" s="3232"/>
      <c r="Q28" s="1800" t="str">
        <f t="shared" si="8"/>
        <v>毗邻道路的类型与等级</v>
      </c>
      <c r="R28" s="767" t="s">
        <v>17</v>
      </c>
      <c r="S28" s="768">
        <f t="shared" si="9"/>
        <v>100</v>
      </c>
      <c r="T28" s="767" t="s">
        <v>17</v>
      </c>
      <c r="U28" s="768">
        <f t="shared" si="10"/>
        <v>100</v>
      </c>
      <c r="V28" s="767" t="s">
        <v>17</v>
      </c>
      <c r="W28" s="768">
        <f t="shared" si="11"/>
        <v>100</v>
      </c>
      <c r="X28" s="1803"/>
      <c r="Y28" s="3232"/>
      <c r="Z28" s="1804" t="str">
        <f t="shared" si="12"/>
        <v>毗邻道路的类型与等级</v>
      </c>
      <c r="AA28" s="1801">
        <f t="shared" si="3"/>
        <v>1</v>
      </c>
      <c r="AB28" s="1801">
        <f t="shared" si="4"/>
        <v>1</v>
      </c>
      <c r="AC28" s="1801">
        <f t="shared" si="5"/>
        <v>1</v>
      </c>
    </row>
    <row r="29" spans="1:29" ht="15">
      <c r="A29" s="424"/>
      <c r="B29" s="627"/>
      <c r="C29" s="443"/>
      <c r="D29" s="444"/>
      <c r="E29" s="2598"/>
      <c r="F29" s="444"/>
      <c r="G29" s="2598"/>
      <c r="H29" s="444"/>
      <c r="I29" s="2598"/>
      <c r="J29" s="444"/>
      <c r="K29" s="609"/>
      <c r="L29" s="1136"/>
      <c r="M29" s="1127"/>
      <c r="N29" s="1127"/>
      <c r="O29" s="1135"/>
      <c r="P29" s="3232"/>
      <c r="Q29" s="1800"/>
      <c r="R29" s="767"/>
      <c r="S29" s="768"/>
      <c r="T29" s="767"/>
      <c r="U29" s="768"/>
      <c r="V29" s="767"/>
      <c r="W29" s="768"/>
      <c r="X29" s="1803"/>
      <c r="Y29" s="3232"/>
      <c r="Z29" s="1804"/>
      <c r="AA29" s="1801">
        <v>1</v>
      </c>
      <c r="AB29" s="1801">
        <v>1</v>
      </c>
      <c r="AC29" s="1801">
        <v>1</v>
      </c>
    </row>
    <row r="30" spans="1:29" ht="15">
      <c r="A30" s="424"/>
      <c r="B30" s="649" t="s">
        <v>2747</v>
      </c>
      <c r="C30" s="1378">
        <f>估价对象房地状况!G23</f>
        <v>0</v>
      </c>
      <c r="D30" s="431">
        <v>100</v>
      </c>
      <c r="E30" s="629"/>
      <c r="F30" s="431">
        <f>SUMIF(99:99,E30,100:100)-SUMIF(99:99,C30,100:100)+100</f>
        <v>100</v>
      </c>
      <c r="G30" s="629"/>
      <c r="H30" s="431">
        <f>SUMIF(99:99,G30,100:100)-SUMIF(99:99,C30,100:100)+100</f>
        <v>100</v>
      </c>
      <c r="I30" s="629"/>
      <c r="J30" s="431">
        <f>SUMIF(99:99,I30,100:100)-SUMIF(99:99,C30,100:100)+100</f>
        <v>100</v>
      </c>
      <c r="K30" s="608"/>
      <c r="L30" s="1136"/>
      <c r="M30" s="1127"/>
      <c r="N30" s="1127"/>
      <c r="O30" s="1135"/>
      <c r="P30" s="3232"/>
      <c r="Q30" s="1800" t="str">
        <f t="shared" si="8"/>
        <v>土地级别</v>
      </c>
      <c r="R30" s="767" t="s">
        <v>17</v>
      </c>
      <c r="S30" s="768">
        <f t="shared" si="9"/>
        <v>100</v>
      </c>
      <c r="T30" s="767" t="s">
        <v>17</v>
      </c>
      <c r="U30" s="768">
        <f t="shared" si="10"/>
        <v>100</v>
      </c>
      <c r="V30" s="767" t="s">
        <v>17</v>
      </c>
      <c r="W30" s="768">
        <f t="shared" si="11"/>
        <v>100</v>
      </c>
      <c r="X30" s="1803"/>
      <c r="Y30" s="3232"/>
      <c r="Z30" s="1804" t="str">
        <f t="shared" si="12"/>
        <v>土地级别</v>
      </c>
      <c r="AA30" s="1801">
        <f t="shared" si="3"/>
        <v>1</v>
      </c>
      <c r="AB30" s="1801">
        <f t="shared" si="4"/>
        <v>1</v>
      </c>
      <c r="AC30" s="1801">
        <f t="shared" si="5"/>
        <v>1</v>
      </c>
    </row>
    <row r="31" spans="1:29" ht="15">
      <c r="A31" s="400"/>
      <c r="B31" s="2665">
        <v>111</v>
      </c>
      <c r="C31" s="669"/>
      <c r="D31" s="431">
        <v>100</v>
      </c>
      <c r="E31" s="473"/>
      <c r="F31" s="431">
        <f>SUMIF(101:101,E31,102:102)-SUMIF(101:101,C31,102:102)+100</f>
        <v>100</v>
      </c>
      <c r="G31" s="473"/>
      <c r="H31" s="431">
        <f>SUMIF(101:101,G31,102:102)-SUMIF(101:101,C31,102:102)+100</f>
        <v>100</v>
      </c>
      <c r="I31" s="545"/>
      <c r="J31" s="431">
        <f>SUMIF(101:101,I31,102:102)-SUMIF(101:101,C31,102:102)+100</f>
        <v>100</v>
      </c>
      <c r="K31" s="609"/>
      <c r="L31" s="1136"/>
      <c r="M31" s="1127"/>
      <c r="N31" s="1127"/>
      <c r="O31" s="1135"/>
      <c r="P31" s="3232"/>
      <c r="Q31" s="1800">
        <f t="shared" si="8"/>
        <v>111</v>
      </c>
      <c r="R31" s="767" t="s">
        <v>17</v>
      </c>
      <c r="S31" s="768">
        <f t="shared" si="9"/>
        <v>100</v>
      </c>
      <c r="T31" s="767" t="s">
        <v>17</v>
      </c>
      <c r="U31" s="768">
        <f t="shared" si="10"/>
        <v>100</v>
      </c>
      <c r="V31" s="767" t="s">
        <v>17</v>
      </c>
      <c r="W31" s="768">
        <f t="shared" si="11"/>
        <v>100</v>
      </c>
      <c r="X31" s="1803"/>
      <c r="Y31" s="3232"/>
      <c r="Z31" s="1804">
        <f t="shared" si="12"/>
        <v>111</v>
      </c>
      <c r="AA31" s="1801">
        <f t="shared" si="3"/>
        <v>1</v>
      </c>
      <c r="AB31" s="1801">
        <f t="shared" si="4"/>
        <v>1</v>
      </c>
      <c r="AC31" s="1801">
        <f t="shared" si="5"/>
        <v>1</v>
      </c>
    </row>
    <row r="32" spans="1:29" ht="15">
      <c r="A32" s="670"/>
      <c r="B32" s="2701">
        <v>111</v>
      </c>
      <c r="C32" s="669"/>
      <c r="D32" s="431">
        <v>100</v>
      </c>
      <c r="E32" s="473"/>
      <c r="F32" s="431">
        <f>SUMIF(103:103,E33,104:104)-SUMIF(103:103,C33,104:104)+100</f>
        <v>100</v>
      </c>
      <c r="G32" s="473"/>
      <c r="H32" s="431">
        <f>SUMIF(103:103,G32,104:104)-SUMIF(103:103,C32,104:104)+100</f>
        <v>100</v>
      </c>
      <c r="I32" s="669"/>
      <c r="J32" s="431">
        <f>SUMIF(103:103,I32,104:104)-SUMIF(103:103,C32,104:104)+100</f>
        <v>100</v>
      </c>
      <c r="K32" s="609"/>
      <c r="L32" s="1136"/>
      <c r="M32" s="1127"/>
      <c r="N32" s="1127"/>
      <c r="O32" s="1135"/>
      <c r="P32" s="3287" t="s">
        <v>2562</v>
      </c>
      <c r="Q32" s="1800">
        <f t="shared" si="8"/>
        <v>111</v>
      </c>
      <c r="R32" s="767" t="s">
        <v>17</v>
      </c>
      <c r="S32" s="768">
        <f t="shared" si="9"/>
        <v>100</v>
      </c>
      <c r="T32" s="767" t="s">
        <v>17</v>
      </c>
      <c r="U32" s="768">
        <f t="shared" si="10"/>
        <v>100</v>
      </c>
      <c r="V32" s="767" t="s">
        <v>17</v>
      </c>
      <c r="W32" s="768">
        <f t="shared" si="11"/>
        <v>100</v>
      </c>
      <c r="X32" s="1803"/>
      <c r="Y32" s="3236" t="s">
        <v>2562</v>
      </c>
      <c r="Z32" s="1804">
        <f t="shared" si="12"/>
        <v>111</v>
      </c>
      <c r="AA32" s="1801">
        <f t="shared" si="3"/>
        <v>1</v>
      </c>
      <c r="AB32" s="1801">
        <f t="shared" si="4"/>
        <v>1</v>
      </c>
      <c r="AC32" s="1801">
        <f t="shared" si="5"/>
        <v>1</v>
      </c>
    </row>
    <row r="33" spans="1:29" s="467" customFormat="1" ht="15.75" thickBot="1">
      <c r="A33" s="671"/>
      <c r="B33" s="2702">
        <v>111</v>
      </c>
      <c r="C33" s="673"/>
      <c r="D33" s="136">
        <v>100</v>
      </c>
      <c r="E33" s="696"/>
      <c r="F33" s="434">
        <f>SUMIF(105:105,E33,106:106)-SUMIF(105:105,C33,106:106)+100</f>
        <v>100</v>
      </c>
      <c r="G33" s="696"/>
      <c r="H33" s="434">
        <f>SUMIF(105:105,G33,106:106)-SUMIF(105:105,C33,106:106)+100</f>
        <v>100</v>
      </c>
      <c r="I33" s="673"/>
      <c r="J33" s="434">
        <f>SUMIF(105:105,I33,106:106)-SUMIF(105:105,C33,106:106)+100</f>
        <v>100</v>
      </c>
      <c r="K33" s="609"/>
      <c r="L33" s="1134"/>
      <c r="M33" s="1137"/>
      <c r="N33" s="1137"/>
      <c r="O33" s="1138"/>
      <c r="P33" s="3236"/>
      <c r="Q33" s="1800">
        <f t="shared" si="8"/>
        <v>111</v>
      </c>
      <c r="R33" s="770" t="s">
        <v>17</v>
      </c>
      <c r="S33" s="771">
        <f t="shared" si="9"/>
        <v>100</v>
      </c>
      <c r="T33" s="770" t="s">
        <v>17</v>
      </c>
      <c r="U33" s="771">
        <f t="shared" si="10"/>
        <v>100</v>
      </c>
      <c r="V33" s="770" t="s">
        <v>17</v>
      </c>
      <c r="W33" s="771">
        <f t="shared" si="11"/>
        <v>100</v>
      </c>
      <c r="X33" s="772"/>
      <c r="Y33" s="3236"/>
      <c r="Z33" s="773">
        <f t="shared" si="12"/>
        <v>111</v>
      </c>
      <c r="AA33" s="1801">
        <f t="shared" si="3"/>
        <v>1</v>
      </c>
      <c r="AB33" s="1801">
        <f t="shared" si="4"/>
        <v>1</v>
      </c>
      <c r="AC33" s="1801">
        <f t="shared" si="5"/>
        <v>1</v>
      </c>
    </row>
    <row r="34" spans="1:29" ht="15">
      <c r="A34" s="436" t="s">
        <v>2560</v>
      </c>
      <c r="B34" s="452" t="s">
        <v>2748</v>
      </c>
      <c r="C34" s="674"/>
      <c r="D34" s="463">
        <v>100</v>
      </c>
      <c r="E34" s="674"/>
      <c r="F34" s="463" t="e">
        <f>LOOKUP(E34,108:108,109:109)-LOOKUP(C34,108:108,109:109)+100</f>
        <v>#N/A</v>
      </c>
      <c r="G34" s="674"/>
      <c r="H34" s="463" t="e">
        <f>LOOKUP(G34,108:108,109:109)-LOOKUP(C34,108:108,109:109)+100</f>
        <v>#N/A</v>
      </c>
      <c r="I34" s="526"/>
      <c r="J34" s="463" t="e">
        <f>LOOKUP(I34,108:108,109:109)-LOOKUP(C34,108:108,109:109)+100</f>
        <v>#N/A</v>
      </c>
      <c r="K34" s="609"/>
      <c r="L34" s="1136"/>
      <c r="M34" s="1127"/>
      <c r="N34" s="1127"/>
      <c r="O34" s="1135"/>
      <c r="P34" s="3236"/>
      <c r="Q34" s="1800" t="str">
        <f>B34</f>
        <v>宗地面积</v>
      </c>
      <c r="R34" s="767" t="s">
        <v>17</v>
      </c>
      <c r="S34" s="768" t="e">
        <f t="shared" si="9"/>
        <v>#N/A</v>
      </c>
      <c r="T34" s="767" t="s">
        <v>17</v>
      </c>
      <c r="U34" s="768" t="e">
        <f t="shared" si="10"/>
        <v>#N/A</v>
      </c>
      <c r="V34" s="767" t="s">
        <v>17</v>
      </c>
      <c r="W34" s="768" t="e">
        <f t="shared" si="11"/>
        <v>#N/A</v>
      </c>
      <c r="X34" s="1803"/>
      <c r="Y34" s="3236"/>
      <c r="Z34" s="1804" t="str">
        <f t="shared" si="12"/>
        <v>宗地面积</v>
      </c>
      <c r="AA34" s="1801" t="e">
        <f t="shared" si="3"/>
        <v>#N/A</v>
      </c>
      <c r="AB34" s="1801" t="e">
        <f t="shared" si="4"/>
        <v>#N/A</v>
      </c>
      <c r="AC34" s="1801" t="e">
        <f t="shared" si="5"/>
        <v>#N/A</v>
      </c>
    </row>
    <row r="35" spans="1:29" ht="15">
      <c r="A35" s="468"/>
      <c r="B35" s="418" t="s">
        <v>2749</v>
      </c>
      <c r="C35" s="2600"/>
      <c r="D35" s="431">
        <v>100</v>
      </c>
      <c r="E35" s="2600"/>
      <c r="F35" s="431">
        <f>SUMIF(110:110,E35,111:111)-SUMIF(110:110,C35,111:111)+100</f>
        <v>100</v>
      </c>
      <c r="G35" s="2600"/>
      <c r="H35" s="431">
        <f>SUMIF(110:110,G35,111:111)-SUMIF(110:110,C35,111:111)+100</f>
        <v>100</v>
      </c>
      <c r="I35" s="2600"/>
      <c r="J35" s="431">
        <f>SUMIF(110:110,I35,111:111)-SUMIF(110:110,C35,111:111)+100</f>
        <v>100</v>
      </c>
      <c r="K35" s="608"/>
      <c r="L35" s="1136"/>
      <c r="M35" s="1127"/>
      <c r="N35" s="1127"/>
      <c r="O35" s="1135"/>
      <c r="P35" s="3236"/>
      <c r="Q35" s="1800" t="str">
        <f t="shared" ref="Q35:Q40" si="13">B35</f>
        <v>宗地形状</v>
      </c>
      <c r="R35" s="767" t="s">
        <v>17</v>
      </c>
      <c r="S35" s="768">
        <f t="shared" si="9"/>
        <v>100</v>
      </c>
      <c r="T35" s="767" t="s">
        <v>17</v>
      </c>
      <c r="U35" s="768">
        <f t="shared" si="10"/>
        <v>100</v>
      </c>
      <c r="V35" s="767" t="s">
        <v>17</v>
      </c>
      <c r="W35" s="768">
        <f t="shared" si="11"/>
        <v>100</v>
      </c>
      <c r="X35" s="1803"/>
      <c r="Y35" s="3236"/>
      <c r="Z35" s="1804" t="str">
        <f t="shared" si="12"/>
        <v>宗地形状</v>
      </c>
      <c r="AA35" s="1801">
        <f t="shared" si="3"/>
        <v>1</v>
      </c>
      <c r="AB35" s="1801">
        <f t="shared" si="4"/>
        <v>1</v>
      </c>
      <c r="AC35" s="1801">
        <f t="shared" si="5"/>
        <v>1</v>
      </c>
    </row>
    <row r="36" spans="1:29" s="116" customFormat="1" ht="15">
      <c r="A36" s="469"/>
      <c r="B36" s="418" t="s">
        <v>2751</v>
      </c>
      <c r="C36" s="2689"/>
      <c r="D36" s="135">
        <v>100</v>
      </c>
      <c r="E36" s="2689"/>
      <c r="F36" s="431">
        <f>SUMIF(112:112,E36,113:113)-SUMIF(112:112,C36,113:113)+100</f>
        <v>100</v>
      </c>
      <c r="G36" s="2689"/>
      <c r="H36" s="431">
        <f>SUMIF(112:112,G36,113:113)-SUMIF(112:112,C36,113:113)+100</f>
        <v>100</v>
      </c>
      <c r="I36" s="2689"/>
      <c r="J36" s="431">
        <f>SUMIF(112:112,I36,113:113)-SUMIF(112:112,C36,113:113)+100</f>
        <v>100</v>
      </c>
      <c r="K36" s="608"/>
      <c r="L36" s="1128"/>
      <c r="M36" s="1129"/>
      <c r="N36" s="1129"/>
      <c r="O36" s="1130"/>
      <c r="P36" s="3236"/>
      <c r="Q36" s="1800" t="str">
        <f t="shared" si="13"/>
        <v>宗地开发程度</v>
      </c>
      <c r="R36" s="763" t="s">
        <v>17</v>
      </c>
      <c r="S36" s="764">
        <f t="shared" si="9"/>
        <v>100</v>
      </c>
      <c r="T36" s="763" t="s">
        <v>17</v>
      </c>
      <c r="U36" s="764">
        <f t="shared" si="10"/>
        <v>100</v>
      </c>
      <c r="V36" s="763" t="s">
        <v>17</v>
      </c>
      <c r="W36" s="764">
        <f t="shared" si="11"/>
        <v>100</v>
      </c>
      <c r="X36" s="765"/>
      <c r="Y36" s="3236"/>
      <c r="Z36" s="55" t="str">
        <f t="shared" si="12"/>
        <v>宗地开发程度</v>
      </c>
      <c r="AA36" s="766">
        <f t="shared" si="3"/>
        <v>1</v>
      </c>
      <c r="AB36" s="766">
        <f t="shared" si="4"/>
        <v>1</v>
      </c>
      <c r="AC36" s="766">
        <f t="shared" si="5"/>
        <v>1</v>
      </c>
    </row>
    <row r="37" spans="1:29" ht="15">
      <c r="A37" s="468"/>
      <c r="B37" s="418" t="s">
        <v>2752</v>
      </c>
      <c r="C37" s="2600"/>
      <c r="D37" s="431">
        <v>100</v>
      </c>
      <c r="E37" s="2600"/>
      <c r="F37" s="431">
        <f>SUMIF(114:114,E37,115:115)-SUMIF(114:114,C37,115:115)+100</f>
        <v>100</v>
      </c>
      <c r="G37" s="2600"/>
      <c r="H37" s="431">
        <f>SUMIF(114:114,G37,115:115)-SUMIF(114:114,C37,115:115)+100</f>
        <v>100</v>
      </c>
      <c r="I37" s="2600"/>
      <c r="J37" s="431">
        <f>SUMIF(114:114,I37,115:115)-SUMIF(114:114,C37,115:115)+100</f>
        <v>100</v>
      </c>
      <c r="K37" s="608"/>
      <c r="L37" s="1136"/>
      <c r="M37" s="1127"/>
      <c r="N37" s="1127"/>
      <c r="O37" s="1135"/>
      <c r="P37" s="3236" t="s">
        <v>2562</v>
      </c>
      <c r="Q37" s="1800" t="str">
        <f t="shared" si="13"/>
        <v>工程地质条件</v>
      </c>
      <c r="R37" s="767" t="s">
        <v>17</v>
      </c>
      <c r="S37" s="768">
        <f t="shared" si="9"/>
        <v>100</v>
      </c>
      <c r="T37" s="767" t="s">
        <v>17</v>
      </c>
      <c r="U37" s="768">
        <f t="shared" si="10"/>
        <v>100</v>
      </c>
      <c r="V37" s="767" t="s">
        <v>17</v>
      </c>
      <c r="W37" s="768">
        <f t="shared" si="11"/>
        <v>100</v>
      </c>
      <c r="X37" s="1803"/>
      <c r="Y37" s="3236" t="s">
        <v>2562</v>
      </c>
      <c r="Z37" s="1804" t="str">
        <f t="shared" si="12"/>
        <v>工程地质条件</v>
      </c>
      <c r="AA37" s="1801">
        <f t="shared" si="3"/>
        <v>1</v>
      </c>
      <c r="AB37" s="1801">
        <f t="shared" si="4"/>
        <v>1</v>
      </c>
      <c r="AC37" s="1801">
        <f t="shared" si="5"/>
        <v>1</v>
      </c>
    </row>
    <row r="38" spans="1:29" ht="15">
      <c r="A38" s="468"/>
      <c r="B38" s="1376">
        <v>111</v>
      </c>
      <c r="C38" s="669"/>
      <c r="D38" s="431">
        <v>100</v>
      </c>
      <c r="E38" s="669"/>
      <c r="F38" s="431">
        <f>SUMIF(116:116,E38,117:117)-SUMIF(116:116,C38,117:117)+100</f>
        <v>100</v>
      </c>
      <c r="G38" s="669"/>
      <c r="H38" s="431">
        <f>SUMIF(116:116,G38,117:117)-SUMIF(116:116,C38,117:117)+100</f>
        <v>100</v>
      </c>
      <c r="I38" s="545"/>
      <c r="J38" s="431">
        <f>SUMIF(116:116,I38,117:117)-SUMIF(116:116,C38,117:117)+100</f>
        <v>100</v>
      </c>
      <c r="K38" s="609"/>
      <c r="L38" s="1136"/>
      <c r="M38" s="1127"/>
      <c r="N38" s="1127"/>
      <c r="O38" s="1135"/>
      <c r="P38" s="3236"/>
      <c r="Q38" s="1800">
        <f t="shared" si="13"/>
        <v>111</v>
      </c>
      <c r="R38" s="767" t="s">
        <v>17</v>
      </c>
      <c r="S38" s="768">
        <f t="shared" si="9"/>
        <v>100</v>
      </c>
      <c r="T38" s="767" t="s">
        <v>17</v>
      </c>
      <c r="U38" s="768">
        <f t="shared" si="10"/>
        <v>100</v>
      </c>
      <c r="V38" s="767" t="s">
        <v>17</v>
      </c>
      <c r="W38" s="768">
        <f t="shared" si="11"/>
        <v>100</v>
      </c>
      <c r="X38" s="1803"/>
      <c r="Y38" s="3236"/>
      <c r="Z38" s="1804">
        <f t="shared" si="12"/>
        <v>111</v>
      </c>
      <c r="AA38" s="1801">
        <f t="shared" si="3"/>
        <v>1</v>
      </c>
      <c r="AB38" s="1801">
        <f t="shared" si="4"/>
        <v>1</v>
      </c>
      <c r="AC38" s="1801">
        <f t="shared" si="5"/>
        <v>1</v>
      </c>
    </row>
    <row r="39" spans="1:29" ht="15">
      <c r="A39" s="468"/>
      <c r="B39" s="1376">
        <v>111</v>
      </c>
      <c r="C39" s="669"/>
      <c r="D39" s="431">
        <v>100</v>
      </c>
      <c r="E39" s="669"/>
      <c r="F39" s="431">
        <f>SUMIF(118:118,E39,119:119)-SUMIF(118:118,C39,119:119)+100</f>
        <v>100</v>
      </c>
      <c r="G39" s="669"/>
      <c r="H39" s="431">
        <f>SUMIF(118:118,G39,119:119)-SUMIF(118:118,C39,119:119)+100</f>
        <v>100</v>
      </c>
      <c r="I39" s="545"/>
      <c r="J39" s="431">
        <f>SUMIF(118:118,I39,119:119)-SUMIF(118:118,C39,119:119)+100</f>
        <v>100</v>
      </c>
      <c r="K39" s="609"/>
      <c r="L39" s="1136"/>
      <c r="M39" s="1127"/>
      <c r="N39" s="1127"/>
      <c r="O39" s="1135"/>
      <c r="P39" s="3236"/>
      <c r="Q39" s="1800">
        <f t="shared" si="13"/>
        <v>111</v>
      </c>
      <c r="R39" s="767" t="s">
        <v>17</v>
      </c>
      <c r="S39" s="768">
        <f t="shared" si="9"/>
        <v>100</v>
      </c>
      <c r="T39" s="767" t="s">
        <v>17</v>
      </c>
      <c r="U39" s="768">
        <f t="shared" si="10"/>
        <v>100</v>
      </c>
      <c r="V39" s="767" t="s">
        <v>17</v>
      </c>
      <c r="W39" s="768">
        <f t="shared" si="11"/>
        <v>100</v>
      </c>
      <c r="X39" s="1803"/>
      <c r="Y39" s="3236"/>
      <c r="Z39" s="1804">
        <f t="shared" si="12"/>
        <v>111</v>
      </c>
      <c r="AA39" s="1801">
        <f t="shared" si="3"/>
        <v>1</v>
      </c>
      <c r="AB39" s="1801">
        <f t="shared" si="4"/>
        <v>1</v>
      </c>
      <c r="AC39" s="1801">
        <f t="shared" si="5"/>
        <v>1</v>
      </c>
    </row>
    <row r="40" spans="1:29" s="467" customFormat="1" ht="15.75" thickBot="1">
      <c r="A40" s="464"/>
      <c r="B40" s="1376">
        <v>111</v>
      </c>
      <c r="C40" s="2690"/>
      <c r="D40" s="136">
        <v>100</v>
      </c>
      <c r="E40" s="669"/>
      <c r="F40" s="434">
        <f>SUMIF(120:120,E40,121:121)-SUMIF(120:120,C40,121:121)+100</f>
        <v>100</v>
      </c>
      <c r="G40" s="669"/>
      <c r="H40" s="434">
        <f>SUMIF(120:120,G40,121:121)-SUMIF(120:120,C40,121:121)+100</f>
        <v>100</v>
      </c>
      <c r="I40" s="545"/>
      <c r="J40" s="434">
        <f>SUMIF(120:120,I40,121:121)-SUMIF(120:120,C40,121:121)+100</f>
        <v>100</v>
      </c>
      <c r="K40" s="676"/>
      <c r="L40" s="1134"/>
      <c r="M40" s="1137"/>
      <c r="N40" s="1137"/>
      <c r="O40" s="1138"/>
      <c r="P40" s="3236"/>
      <c r="Q40" s="1800">
        <f t="shared" si="13"/>
        <v>111</v>
      </c>
      <c r="R40" s="770" t="s">
        <v>17</v>
      </c>
      <c r="S40" s="771">
        <f t="shared" si="9"/>
        <v>100</v>
      </c>
      <c r="T40" s="770" t="s">
        <v>17</v>
      </c>
      <c r="U40" s="771">
        <f t="shared" si="10"/>
        <v>100</v>
      </c>
      <c r="V40" s="770" t="s">
        <v>17</v>
      </c>
      <c r="W40" s="771">
        <f t="shared" si="11"/>
        <v>100</v>
      </c>
      <c r="X40" s="772"/>
      <c r="Y40" s="3236"/>
      <c r="Z40" s="773">
        <f t="shared" si="12"/>
        <v>111</v>
      </c>
      <c r="AA40" s="1801">
        <f t="shared" si="3"/>
        <v>1</v>
      </c>
      <c r="AB40" s="1801">
        <f t="shared" si="4"/>
        <v>1</v>
      </c>
      <c r="AC40" s="1801">
        <f t="shared" si="5"/>
        <v>1</v>
      </c>
    </row>
    <row r="41" spans="1:29" ht="15">
      <c r="A41" s="475" t="s">
        <v>2717</v>
      </c>
      <c r="B41" s="2691" t="s">
        <v>2797</v>
      </c>
      <c r="C41" s="677" t="s">
        <v>1</v>
      </c>
      <c r="D41" s="477"/>
      <c r="E41" s="478"/>
      <c r="F41" s="479"/>
      <c r="G41" s="480"/>
      <c r="H41" s="481"/>
      <c r="I41" s="478"/>
      <c r="J41" s="481"/>
      <c r="K41" s="776"/>
      <c r="L41" s="1139"/>
      <c r="M41" s="1127"/>
      <c r="N41" s="1127"/>
      <c r="O41" s="1140"/>
      <c r="P41" s="3238" t="str">
        <f>A41</f>
        <v>成交单价</v>
      </c>
      <c r="Q41" s="3238"/>
      <c r="R41" s="3198">
        <f>E41</f>
        <v>0</v>
      </c>
      <c r="S41" s="3198"/>
      <c r="T41" s="3198">
        <f>G41</f>
        <v>0</v>
      </c>
      <c r="U41" s="3198"/>
      <c r="V41" s="3198">
        <f>I41</f>
        <v>0</v>
      </c>
      <c r="W41" s="3198"/>
      <c r="X41" s="752"/>
      <c r="Y41" s="774"/>
      <c r="Z41" s="752"/>
      <c r="AA41" s="752"/>
      <c r="AB41" s="752"/>
      <c r="AC41" s="752"/>
    </row>
    <row r="42" spans="1:29" ht="15.75" thickBot="1">
      <c r="A42" s="482" t="s">
        <v>2666</v>
      </c>
      <c r="B42" s="678"/>
      <c r="C42" s="486" t="e">
        <f>R43</f>
        <v>#DIV/0!</v>
      </c>
      <c r="D42" s="485"/>
      <c r="E42" s="486" t="e">
        <f>R42</f>
        <v>#DIV/0!</v>
      </c>
      <c r="F42" s="487"/>
      <c r="G42" s="484" t="e">
        <f>T42</f>
        <v>#DIV/0!</v>
      </c>
      <c r="H42" s="485"/>
      <c r="I42" s="486" t="e">
        <f>V42</f>
        <v>#DIV/0!</v>
      </c>
      <c r="J42" s="485"/>
      <c r="K42" s="777"/>
      <c r="L42" s="1139"/>
      <c r="M42" s="1127"/>
      <c r="N42" s="1127"/>
      <c r="O42" s="1140"/>
      <c r="P42" s="3238" t="str">
        <f>A42</f>
        <v>比较价值（元/平方米）</v>
      </c>
      <c r="Q42" s="3238"/>
      <c r="R42" s="3288" t="e">
        <f>ROUND(PRODUCT(R41,AA7:AA40),0)</f>
        <v>#DIV/0!</v>
      </c>
      <c r="S42" s="3288"/>
      <c r="T42" s="3288" t="e">
        <f>ROUND(PRODUCT(T41,AB7:AB40),0)</f>
        <v>#DIV/0!</v>
      </c>
      <c r="U42" s="3288"/>
      <c r="V42" s="3288" t="e">
        <f>ROUND(PRODUCT(V41,AC7:AC40),0)</f>
        <v>#DIV/0!</v>
      </c>
      <c r="W42" s="3288"/>
      <c r="X42" s="752"/>
      <c r="Y42" s="752"/>
      <c r="Z42" s="752"/>
      <c r="AA42" s="752"/>
      <c r="AB42" s="752"/>
      <c r="AC42" s="752"/>
    </row>
    <row r="43" spans="1:29" ht="15.75" thickBot="1">
      <c r="A43" s="488" t="s">
        <v>2667</v>
      </c>
      <c r="B43" s="489"/>
      <c r="C43" s="490" t="e">
        <f>R43</f>
        <v>#DIV/0!</v>
      </c>
      <c r="D43" s="490"/>
      <c r="E43" s="490"/>
      <c r="F43" s="490"/>
      <c r="G43" s="490"/>
      <c r="H43" s="490"/>
      <c r="I43" s="490"/>
      <c r="J43" s="490"/>
      <c r="K43" s="778"/>
      <c r="L43" s="1139"/>
      <c r="M43" s="1127"/>
      <c r="N43" s="1127"/>
      <c r="O43" s="1140"/>
      <c r="P43" s="3240" t="str">
        <f>A43</f>
        <v>估价对象XX用房的比较价值（楼面单价，元/平方米）</v>
      </c>
      <c r="Q43" s="3241"/>
      <c r="R43" s="3289" t="e">
        <f>ROUND(AVERAGE(R42:V42),0)</f>
        <v>#DIV/0!</v>
      </c>
      <c r="S43" s="3289"/>
      <c r="T43" s="3289"/>
      <c r="U43" s="3289"/>
      <c r="V43" s="3289"/>
      <c r="W43" s="3289"/>
      <c r="X43" s="752"/>
      <c r="Y43" s="752"/>
      <c r="Z43" s="752"/>
      <c r="AA43" s="752"/>
      <c r="AB43" s="752"/>
      <c r="AC43" s="752"/>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3" t="s">
        <v>2668</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101"/>
      <c r="L46" s="1102"/>
      <c r="M46" s="1127"/>
      <c r="N46" s="1127"/>
      <c r="O46" s="1140"/>
    </row>
    <row r="47" spans="1:29" ht="13.5" customHeight="1">
      <c r="A47" s="1140"/>
      <c r="B47" s="1140"/>
      <c r="C47" s="493" t="s">
        <v>2669</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101"/>
      <c r="L47" s="1102"/>
      <c r="M47" s="1140"/>
      <c r="N47" s="1140"/>
      <c r="O47" s="1140"/>
    </row>
    <row r="48" spans="1:29" s="498" customFormat="1" ht="13.5" customHeight="1">
      <c r="A48" s="1141"/>
      <c r="B48" s="1141"/>
      <c r="C48" s="493" t="s">
        <v>2670</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4"/>
      <c r="L48" s="1145"/>
      <c r="M48" s="1141"/>
      <c r="N48" s="1141"/>
      <c r="O48" s="1141"/>
    </row>
    <row r="49" spans="1:17" s="498" customFormat="1" ht="15" thickBot="1">
      <c r="A49" s="1141"/>
      <c r="B49" s="1142"/>
      <c r="C49" s="755"/>
      <c r="D49" s="753"/>
      <c r="E49" s="753"/>
      <c r="F49" s="753"/>
      <c r="G49" s="753"/>
      <c r="H49" s="753"/>
      <c r="I49" s="753"/>
      <c r="J49" s="753"/>
      <c r="K49" s="1144"/>
      <c r="L49" s="1145"/>
      <c r="M49" s="1141"/>
      <c r="N49" s="1141"/>
      <c r="O49" s="1141"/>
    </row>
    <row r="50" spans="1:17" ht="27">
      <c r="A50" s="679" t="s">
        <v>2755</v>
      </c>
      <c r="B50" s="680" t="s">
        <v>2756</v>
      </c>
      <c r="C50" s="2692" t="s">
        <v>2757</v>
      </c>
      <c r="D50" s="2693" t="s">
        <v>2758</v>
      </c>
      <c r="E50" s="681" t="s">
        <v>2759</v>
      </c>
      <c r="F50" s="682" t="s">
        <v>2760</v>
      </c>
      <c r="G50" s="3215" t="s">
        <v>2761</v>
      </c>
      <c r="H50" s="3290"/>
      <c r="I50" s="1804" t="s">
        <v>2798</v>
      </c>
      <c r="J50" s="1804" t="str">
        <f>项目基本情况!F35</f>
        <v>浙江省杭州市</v>
      </c>
      <c r="K50" s="2695" t="s">
        <v>2763</v>
      </c>
      <c r="L50" s="1102"/>
      <c r="M50" s="1140"/>
      <c r="N50" s="1140"/>
      <c r="O50" s="1140"/>
    </row>
    <row r="51" spans="1:17" s="687" customFormat="1">
      <c r="A51" s="683" t="s">
        <v>2764</v>
      </c>
      <c r="B51" s="684" t="e">
        <f>C43</f>
        <v>#DIV/0!</v>
      </c>
      <c r="C51" s="685">
        <v>1</v>
      </c>
      <c r="D51" s="1159">
        <v>1</v>
      </c>
      <c r="E51" s="685">
        <f>'数据-汇总表'!E8+'数据-汇总表'!E9</f>
        <v>49.61</v>
      </c>
      <c r="F51" s="686" t="e">
        <f t="shared" ref="F51:F60" si="14">ROUND(B51*E51/10000,0)</f>
        <v>#DIV/0!</v>
      </c>
      <c r="G51" s="3214"/>
      <c r="H51" s="3238"/>
      <c r="I51" s="938">
        <v>1</v>
      </c>
      <c r="J51" s="938">
        <v>1</v>
      </c>
      <c r="K51" s="1141"/>
      <c r="L51" s="937"/>
      <c r="M51" s="937"/>
      <c r="N51" s="937"/>
      <c r="O51" s="937"/>
    </row>
    <row r="52" spans="1:17" s="687" customFormat="1">
      <c r="A52" s="688" t="s">
        <v>2765</v>
      </c>
      <c r="B52" s="262" t="e">
        <f>ROUND($C$43*C52*D52,0)</f>
        <v>#DIV/0!</v>
      </c>
      <c r="C52" s="200">
        <f t="shared" ref="C52:C60" si="15">IF($C$50="北京市系数",I52,J52)</f>
        <v>0</v>
      </c>
      <c r="D52" s="1160">
        <v>0.25</v>
      </c>
      <c r="E52" s="689"/>
      <c r="F52" s="686" t="e">
        <f t="shared" si="14"/>
        <v>#DIV/0!</v>
      </c>
      <c r="G52" s="3291" t="s">
        <v>2766</v>
      </c>
      <c r="H52" s="1100">
        <f>项目基本情况!B37</f>
        <v>0</v>
      </c>
      <c r="I52" s="938">
        <f>SUMIF(修正!A45:A56,H52,修正!B45:B56)</f>
        <v>0</v>
      </c>
      <c r="J52" s="939"/>
      <c r="K52" s="1140"/>
      <c r="L52" s="937"/>
      <c r="M52" s="937"/>
      <c r="N52" s="937"/>
      <c r="O52" s="937"/>
    </row>
    <row r="53" spans="1:17" s="687" customFormat="1">
      <c r="A53" s="688" t="s">
        <v>2767</v>
      </c>
      <c r="B53" s="262" t="e">
        <f t="shared" ref="B53:B60" si="16">ROUND($C$43*C53*D53,0)</f>
        <v>#DIV/0!</v>
      </c>
      <c r="C53" s="200">
        <f t="shared" si="15"/>
        <v>0</v>
      </c>
      <c r="D53" s="1160">
        <v>0.25</v>
      </c>
      <c r="E53" s="689"/>
      <c r="F53" s="686" t="e">
        <f t="shared" si="14"/>
        <v>#DIV/0!</v>
      </c>
      <c r="G53" s="3291"/>
      <c r="H53" s="1100">
        <f>项目基本情况!B37</f>
        <v>0</v>
      </c>
      <c r="I53" s="938">
        <f>SUMIF(修正!A45:A56,H53,修正!C45:C56)</f>
        <v>0</v>
      </c>
      <c r="J53" s="939"/>
      <c r="K53" s="1141"/>
      <c r="L53" s="937"/>
      <c r="M53" s="937"/>
      <c r="N53" s="937"/>
      <c r="O53" s="937"/>
    </row>
    <row r="54" spans="1:17" s="687" customFormat="1">
      <c r="A54" s="688" t="s">
        <v>2768</v>
      </c>
      <c r="B54" s="262" t="e">
        <f t="shared" si="16"/>
        <v>#DIV/0!</v>
      </c>
      <c r="C54" s="200">
        <f t="shared" si="15"/>
        <v>0</v>
      </c>
      <c r="D54" s="1160">
        <v>0.25</v>
      </c>
      <c r="E54" s="689"/>
      <c r="F54" s="686" t="e">
        <f t="shared" si="14"/>
        <v>#DIV/0!</v>
      </c>
      <c r="G54" s="3291"/>
      <c r="H54" s="1100">
        <f>项目基本情况!B37</f>
        <v>0</v>
      </c>
      <c r="I54" s="938">
        <f>SUMIF(修正!A45:A56,H54,修正!D45:D56)</f>
        <v>0</v>
      </c>
      <c r="J54" s="939"/>
      <c r="K54" s="1140"/>
      <c r="L54" s="937"/>
      <c r="M54" s="937"/>
      <c r="N54" s="937"/>
      <c r="O54" s="937"/>
    </row>
    <row r="55" spans="1:17" s="687" customFormat="1">
      <c r="A55" s="688" t="s">
        <v>2769</v>
      </c>
      <c r="B55" s="262" t="e">
        <f t="shared" si="16"/>
        <v>#DIV/0!</v>
      </c>
      <c r="C55" s="200">
        <f t="shared" si="15"/>
        <v>0</v>
      </c>
      <c r="D55" s="1160">
        <v>0.25</v>
      </c>
      <c r="E55" s="689"/>
      <c r="F55" s="686" t="e">
        <f t="shared" si="14"/>
        <v>#DIV/0!</v>
      </c>
      <c r="G55" s="3291"/>
      <c r="H55" s="1100">
        <f>项目基本情况!B37</f>
        <v>0</v>
      </c>
      <c r="I55" s="938">
        <f>SUMIF(修正!A45:A56,H55,修正!E45:E56)</f>
        <v>0</v>
      </c>
      <c r="J55" s="939"/>
      <c r="K55" s="1141"/>
      <c r="L55" s="937"/>
      <c r="M55" s="937"/>
      <c r="N55" s="937"/>
      <c r="O55" s="937"/>
    </row>
    <row r="56" spans="1:17" s="687" customFormat="1">
      <c r="A56" s="688" t="s">
        <v>2770</v>
      </c>
      <c r="B56" s="262" t="e">
        <f t="shared" si="16"/>
        <v>#DIV/0!</v>
      </c>
      <c r="C56" s="200">
        <f t="shared" si="15"/>
        <v>0</v>
      </c>
      <c r="D56" s="1160">
        <v>0.25</v>
      </c>
      <c r="E56" s="261">
        <f>'数据-汇总表'!E11</f>
        <v>0</v>
      </c>
      <c r="F56" s="686" t="e">
        <f t="shared" si="14"/>
        <v>#DIV/0!</v>
      </c>
      <c r="G56" s="2696" t="s">
        <v>2771</v>
      </c>
      <c r="H56" s="1100">
        <f>项目基本情况!C37</f>
        <v>0</v>
      </c>
      <c r="I56" s="938">
        <f>SUMIF(修正!A45:A56,H56,修正!F45:F56)</f>
        <v>0</v>
      </c>
      <c r="J56" s="939"/>
      <c r="K56" s="1140"/>
      <c r="L56" s="937"/>
      <c r="M56" s="937"/>
      <c r="N56" s="937"/>
      <c r="O56" s="937"/>
    </row>
    <row r="57" spans="1:17" s="687" customFormat="1">
      <c r="A57" s="688" t="s">
        <v>2772</v>
      </c>
      <c r="B57" s="262" t="e">
        <f t="shared" si="16"/>
        <v>#DIV/0!</v>
      </c>
      <c r="C57" s="200">
        <f t="shared" si="15"/>
        <v>0</v>
      </c>
      <c r="D57" s="1160">
        <v>0.25</v>
      </c>
      <c r="E57" s="261">
        <f>'数据-汇总表'!E12</f>
        <v>0</v>
      </c>
      <c r="F57" s="686" t="e">
        <f t="shared" si="14"/>
        <v>#DIV/0!</v>
      </c>
      <c r="G57" s="1105" t="s">
        <v>2773</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7" customFormat="1">
      <c r="A58" s="688" t="s">
        <v>2774</v>
      </c>
      <c r="B58" s="262" t="e">
        <f t="shared" si="16"/>
        <v>#DIV/0!</v>
      </c>
      <c r="C58" s="200">
        <f t="shared" si="15"/>
        <v>0</v>
      </c>
      <c r="D58" s="1160">
        <v>0.25</v>
      </c>
      <c r="E58" s="261">
        <f>'数据-汇总表'!E13</f>
        <v>0</v>
      </c>
      <c r="F58" s="686" t="e">
        <f t="shared" si="14"/>
        <v>#DIV/0!</v>
      </c>
      <c r="G58" s="1105" t="s">
        <v>2775</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7" customFormat="1">
      <c r="A59" s="688" t="s">
        <v>2776</v>
      </c>
      <c r="B59" s="262" t="e">
        <f t="shared" si="16"/>
        <v>#DIV/0!</v>
      </c>
      <c r="C59" s="200">
        <f t="shared" si="15"/>
        <v>0</v>
      </c>
      <c r="D59" s="1160">
        <v>0.25</v>
      </c>
      <c r="E59" s="261">
        <f>'数据-汇总表'!E14</f>
        <v>0</v>
      </c>
      <c r="F59" s="686" t="e">
        <f t="shared" si="14"/>
        <v>#DIV/0!</v>
      </c>
      <c r="G59" s="2696" t="s">
        <v>2766</v>
      </c>
      <c r="H59" s="1100">
        <f>项目基本情况!B37</f>
        <v>0</v>
      </c>
      <c r="I59" s="938">
        <f>SUMIF(修正!A45:A56,H59,修正!H45:H56)</f>
        <v>0</v>
      </c>
      <c r="J59" s="939"/>
      <c r="K59" s="1141"/>
      <c r="L59" s="937"/>
      <c r="M59" s="937"/>
      <c r="N59" s="937"/>
      <c r="O59" s="937"/>
    </row>
    <row r="60" spans="1:17" s="687" customFormat="1" ht="15" thickBot="1">
      <c r="A60" s="688" t="s">
        <v>2777</v>
      </c>
      <c r="B60" s="262" t="e">
        <f t="shared" si="16"/>
        <v>#DIV/0!</v>
      </c>
      <c r="C60" s="200">
        <f t="shared" si="15"/>
        <v>0</v>
      </c>
      <c r="D60" s="1160">
        <v>0.25</v>
      </c>
      <c r="E60" s="261">
        <f>'数据-汇总表'!E15</f>
        <v>0</v>
      </c>
      <c r="F60" s="686" t="e">
        <f t="shared" si="14"/>
        <v>#DIV/0!</v>
      </c>
      <c r="G60" s="2697" t="s">
        <v>2771</v>
      </c>
      <c r="H60" s="1110">
        <f>项目基本情况!C37</f>
        <v>0</v>
      </c>
      <c r="I60" s="938">
        <f>SUMIF(修正!A45:A56,H60,修正!H45:H56)</f>
        <v>0</v>
      </c>
      <c r="J60" s="939"/>
      <c r="K60" s="1140"/>
      <c r="L60" s="937"/>
      <c r="M60" s="937"/>
      <c r="N60" s="937"/>
      <c r="O60" s="937"/>
    </row>
    <row r="61" spans="1:17" s="687" customFormat="1" ht="15" thickBot="1">
      <c r="A61" s="690" t="s">
        <v>2778</v>
      </c>
      <c r="B61" s="691" t="s">
        <v>28</v>
      </c>
      <c r="C61" s="691" t="s">
        <v>29</v>
      </c>
      <c r="D61" s="691" t="s">
        <v>1029</v>
      </c>
      <c r="E61" s="691">
        <f>IF(B41="楼面地价",SUM(E51:E60),'数据-汇总表'!D3)</f>
        <v>8.7100000000000009</v>
      </c>
      <c r="F61" s="692"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4" t="str">
        <f>YEAR(C7)&amp;"-"&amp;MONTH(C7)&amp;"-1"</f>
        <v>2017-10-1</v>
      </c>
      <c r="D63" s="754">
        <f>EDATE(C63,-3)</f>
        <v>42917</v>
      </c>
      <c r="E63" s="754">
        <f>EDATE(D63,-3)</f>
        <v>42826</v>
      </c>
      <c r="F63" s="754">
        <f t="shared" ref="F63:O63" si="17">EDATE(E63,-3)</f>
        <v>42736</v>
      </c>
      <c r="G63" s="754">
        <f t="shared" si="17"/>
        <v>42644</v>
      </c>
      <c r="H63" s="754">
        <f t="shared" si="17"/>
        <v>42552</v>
      </c>
      <c r="I63" s="754">
        <f t="shared" si="17"/>
        <v>42461</v>
      </c>
      <c r="J63" s="754">
        <f t="shared" si="17"/>
        <v>42370</v>
      </c>
      <c r="K63" s="754">
        <f t="shared" si="17"/>
        <v>42278</v>
      </c>
      <c r="L63" s="754">
        <f t="shared" si="17"/>
        <v>42186</v>
      </c>
      <c r="M63" s="754">
        <f t="shared" si="17"/>
        <v>42095</v>
      </c>
      <c r="N63" s="754">
        <f t="shared" si="17"/>
        <v>42005</v>
      </c>
      <c r="O63" s="754">
        <f t="shared" si="17"/>
        <v>41913</v>
      </c>
    </row>
    <row r="64" spans="1:17" ht="21.75" thickBot="1">
      <c r="A64" s="756" t="s">
        <v>2671</v>
      </c>
      <c r="B64" s="752"/>
      <c r="C64" s="757"/>
      <c r="D64" s="757"/>
      <c r="E64" s="757"/>
      <c r="F64" s="758"/>
      <c r="G64" s="758"/>
      <c r="H64" s="757"/>
      <c r="I64" s="757"/>
      <c r="J64" s="757"/>
      <c r="K64" s="759"/>
      <c r="L64" s="760"/>
      <c r="M64" s="757"/>
      <c r="N64" s="757"/>
      <c r="O64" s="1155"/>
      <c r="P64" s="499"/>
      <c r="Q64" s="500"/>
    </row>
    <row r="65" spans="1:17" s="504" customFormat="1" ht="15">
      <c r="A65" s="2698" t="s">
        <v>2779</v>
      </c>
      <c r="B65" s="1348"/>
      <c r="C65" s="1562" t="str">
        <f>YEAR(C63)&amp;"-"&amp;ROUNDUP(MONTH(C63)/3,0)</f>
        <v>2017-4</v>
      </c>
      <c r="D65" s="1562" t="str">
        <f t="shared" ref="D65:O65" si="18">YEAR(D63)&amp;"-"&amp;ROUNDUP(MONTH(D63)/3,0)</f>
        <v>2017-3</v>
      </c>
      <c r="E65" s="1562" t="str">
        <f t="shared" si="18"/>
        <v>2017-2</v>
      </c>
      <c r="F65" s="1562" t="str">
        <f t="shared" si="18"/>
        <v>2017-1</v>
      </c>
      <c r="G65" s="1562" t="str">
        <f t="shared" si="18"/>
        <v>2016-4</v>
      </c>
      <c r="H65" s="1562" t="str">
        <f t="shared" si="18"/>
        <v>2016-3</v>
      </c>
      <c r="I65" s="1562" t="str">
        <f t="shared" si="18"/>
        <v>2016-2</v>
      </c>
      <c r="J65" s="1562" t="str">
        <f t="shared" si="18"/>
        <v>2016-1</v>
      </c>
      <c r="K65" s="1562" t="str">
        <f t="shared" si="18"/>
        <v>2015-4</v>
      </c>
      <c r="L65" s="1562" t="str">
        <f t="shared" si="18"/>
        <v>2015-3</v>
      </c>
      <c r="M65" s="1562" t="str">
        <f t="shared" si="18"/>
        <v>2015-2</v>
      </c>
      <c r="N65" s="1562" t="str">
        <f t="shared" si="18"/>
        <v>2015-1</v>
      </c>
      <c r="O65" s="1562" t="str">
        <f t="shared" si="18"/>
        <v>2014-4</v>
      </c>
      <c r="P65" s="503"/>
    </row>
    <row r="66" spans="1:17" s="116" customFormat="1" ht="30.75" customHeight="1">
      <c r="A66" s="2703" t="s">
        <v>2799</v>
      </c>
      <c r="B66" s="332" t="str">
        <f>"北京市平均增长率"&amp;TEXT(基准地价修正!P24,"0.00%")</f>
        <v>北京市平均增长率1.39%</v>
      </c>
      <c r="C66" s="599">
        <v>100</v>
      </c>
      <c r="D66" s="591"/>
      <c r="E66" s="591"/>
      <c r="F66" s="591"/>
      <c r="G66" s="591"/>
      <c r="H66" s="591"/>
      <c r="I66" s="591"/>
      <c r="J66" s="591"/>
      <c r="K66" s="591"/>
      <c r="L66" s="591"/>
      <c r="M66" s="1557"/>
      <c r="N66" s="1557"/>
      <c r="O66" s="1559"/>
      <c r="P66" s="500"/>
    </row>
    <row r="67" spans="1:17" s="116" customFormat="1" ht="15.75" thickBot="1">
      <c r="A67" s="511" t="s">
        <v>2582</v>
      </c>
      <c r="B67" s="512"/>
      <c r="C67" s="513"/>
      <c r="D67" s="514"/>
      <c r="E67" s="514"/>
      <c r="F67" s="514"/>
      <c r="G67" s="514"/>
      <c r="H67" s="514"/>
      <c r="I67" s="514"/>
      <c r="J67" s="514"/>
      <c r="K67" s="514"/>
      <c r="L67" s="514"/>
      <c r="M67" s="515"/>
      <c r="N67" s="515"/>
      <c r="O67" s="516"/>
      <c r="P67" s="500"/>
      <c r="Q67" s="500"/>
    </row>
    <row r="68" spans="1:17" s="116" customFormat="1" ht="15">
      <c r="A68" s="517" t="s">
        <v>2547</v>
      </c>
      <c r="B68" s="506"/>
      <c r="C68" s="518" t="s">
        <v>2649</v>
      </c>
      <c r="D68" s="519"/>
      <c r="E68" s="519"/>
      <c r="F68" s="519"/>
      <c r="G68" s="519"/>
      <c r="H68" s="519"/>
      <c r="I68" s="519"/>
      <c r="J68" s="519"/>
      <c r="K68" s="519"/>
      <c r="L68" s="520"/>
      <c r="M68" s="521"/>
      <c r="N68" s="1147"/>
      <c r="O68" s="1147"/>
      <c r="P68" s="522"/>
      <c r="Q68" s="500"/>
    </row>
    <row r="69" spans="1:17" s="116" customFormat="1" ht="15.75" thickBot="1">
      <c r="A69" s="517"/>
      <c r="B69" s="506"/>
      <c r="C69" s="634">
        <v>100</v>
      </c>
      <c r="D69" s="508"/>
      <c r="E69" s="508"/>
      <c r="F69" s="508"/>
      <c r="G69" s="508"/>
      <c r="H69" s="508"/>
      <c r="I69" s="508"/>
      <c r="J69" s="508"/>
      <c r="K69" s="508"/>
      <c r="L69" s="508"/>
      <c r="M69" s="510"/>
      <c r="N69" s="1147"/>
      <c r="O69" s="1147"/>
      <c r="P69" s="500"/>
      <c r="Q69" s="500"/>
    </row>
    <row r="70" spans="1:17">
      <c r="A70" s="523" t="s">
        <v>2585</v>
      </c>
      <c r="B70" s="524" t="s">
        <v>2551</v>
      </c>
      <c r="C70" s="526"/>
      <c r="D70" s="526"/>
      <c r="E70" s="526"/>
      <c r="F70" s="526"/>
      <c r="G70" s="526"/>
      <c r="H70" s="526"/>
      <c r="I70" s="526"/>
      <c r="J70" s="526"/>
      <c r="K70" s="527"/>
      <c r="L70" s="528"/>
      <c r="M70" s="529"/>
      <c r="N70" s="1148"/>
      <c r="O70" s="1148"/>
      <c r="P70" s="45"/>
      <c r="Q70" s="500"/>
    </row>
    <row r="71" spans="1:17" ht="15.75" thickBot="1">
      <c r="A71" s="530"/>
      <c r="B71" s="531"/>
      <c r="C71" s="532"/>
      <c r="D71" s="532"/>
      <c r="E71" s="532"/>
      <c r="F71" s="532"/>
      <c r="G71" s="532"/>
      <c r="H71" s="532"/>
      <c r="I71" s="532"/>
      <c r="J71" s="532"/>
      <c r="K71" s="532"/>
      <c r="L71" s="532"/>
      <c r="M71" s="533"/>
      <c r="N71" s="1149"/>
      <c r="O71" s="1149"/>
      <c r="P71" s="45"/>
      <c r="Q71" s="500"/>
    </row>
    <row r="72" spans="1:17" ht="27.75" thickTop="1">
      <c r="A72" s="530"/>
      <c r="B72" s="534" t="s">
        <v>2554</v>
      </c>
      <c r="C72" s="535"/>
      <c r="D72" s="535"/>
      <c r="E72" s="535"/>
      <c r="F72" s="535"/>
      <c r="G72" s="535"/>
      <c r="H72" s="535"/>
      <c r="I72" s="535"/>
      <c r="J72" s="535"/>
      <c r="K72" s="536"/>
      <c r="L72" s="537"/>
      <c r="M72" s="538"/>
      <c r="N72" s="1148"/>
      <c r="O72" s="1148"/>
      <c r="P72" s="45"/>
      <c r="Q72" s="500"/>
    </row>
    <row r="73" spans="1:17" ht="15.75" thickBot="1">
      <c r="A73" s="530"/>
      <c r="B73" s="539"/>
      <c r="C73" s="540"/>
      <c r="D73" s="540"/>
      <c r="E73" s="540"/>
      <c r="F73" s="540"/>
      <c r="G73" s="540"/>
      <c r="H73" s="540"/>
      <c r="I73" s="540"/>
      <c r="J73" s="540"/>
      <c r="K73" s="540"/>
      <c r="L73" s="540"/>
      <c r="M73" s="541"/>
      <c r="N73" s="1149"/>
      <c r="O73" s="1149"/>
      <c r="P73" s="45"/>
      <c r="Q73" s="500"/>
    </row>
    <row r="74" spans="1:17" ht="15.75" thickTop="1">
      <c r="A74" s="530"/>
      <c r="B74" s="542" t="s">
        <v>2555</v>
      </c>
      <c r="C74" s="543" t="str">
        <f>C75&amp;"（含）"&amp;"-"&amp;D75</f>
        <v>（含）-</v>
      </c>
      <c r="D74" s="543" t="str">
        <f t="shared" ref="D74:L74" si="19">D75&amp;"（含）"&amp;"-"&amp;E75</f>
        <v>（含）-</v>
      </c>
      <c r="E74" s="543" t="str">
        <f t="shared" si="19"/>
        <v>（含）-</v>
      </c>
      <c r="F74" s="543" t="str">
        <f t="shared" si="19"/>
        <v>（含）-</v>
      </c>
      <c r="G74" s="543" t="str">
        <f t="shared" si="19"/>
        <v>（含）-</v>
      </c>
      <c r="H74" s="543" t="str">
        <f t="shared" si="19"/>
        <v>（含）-</v>
      </c>
      <c r="I74" s="543" t="str">
        <f t="shared" si="19"/>
        <v>（含）-</v>
      </c>
      <c r="J74" s="543" t="str">
        <f t="shared" si="19"/>
        <v>（含）-</v>
      </c>
      <c r="K74" s="543" t="str">
        <f t="shared" si="19"/>
        <v>（含）-</v>
      </c>
      <c r="L74" s="543" t="str">
        <f t="shared" si="19"/>
        <v>（含）-</v>
      </c>
      <c r="M74" s="444" t="str">
        <f>M75&amp;"（含）"&amp;"-"&amp;P75</f>
        <v>（含）-</v>
      </c>
      <c r="N74" s="1149"/>
      <c r="O74" s="1149"/>
      <c r="P74" s="45"/>
      <c r="Q74" s="500"/>
    </row>
    <row r="75" spans="1:17" ht="15">
      <c r="A75" s="530"/>
      <c r="B75" s="544"/>
      <c r="C75" s="545"/>
      <c r="D75" s="545"/>
      <c r="E75" s="545"/>
      <c r="F75" s="545"/>
      <c r="G75" s="545"/>
      <c r="H75" s="545"/>
      <c r="I75" s="545"/>
      <c r="J75" s="545"/>
      <c r="K75" s="546"/>
      <c r="L75" s="547"/>
      <c r="M75" s="548"/>
      <c r="N75" s="1148"/>
      <c r="O75" s="1148"/>
      <c r="P75" s="45"/>
      <c r="Q75" s="500"/>
    </row>
    <row r="76" spans="1:17" ht="15.75" thickBot="1">
      <c r="A76" s="530"/>
      <c r="B76" s="531"/>
      <c r="C76" s="540">
        <v>100</v>
      </c>
      <c r="D76" s="540">
        <f>IF($B$41="单位面积地价",C76+$K11,C76-$K11)</f>
        <v>100</v>
      </c>
      <c r="E76" s="540">
        <f t="shared" ref="E76:M76" si="20">IF($B$41="单位面积地价",D76+$K11,D76-$K11)</f>
        <v>100</v>
      </c>
      <c r="F76" s="540">
        <f t="shared" si="20"/>
        <v>100</v>
      </c>
      <c r="G76" s="540">
        <f t="shared" si="20"/>
        <v>100</v>
      </c>
      <c r="H76" s="540">
        <f t="shared" si="20"/>
        <v>100</v>
      </c>
      <c r="I76" s="540">
        <f t="shared" si="20"/>
        <v>100</v>
      </c>
      <c r="J76" s="540">
        <f t="shared" si="20"/>
        <v>100</v>
      </c>
      <c r="K76" s="540">
        <f t="shared" si="20"/>
        <v>100</v>
      </c>
      <c r="L76" s="540">
        <f t="shared" si="20"/>
        <v>100</v>
      </c>
      <c r="M76" s="540">
        <f t="shared" si="20"/>
        <v>100</v>
      </c>
      <c r="N76" s="1149"/>
      <c r="O76" s="1149"/>
      <c r="P76" s="45"/>
      <c r="Q76" s="500"/>
    </row>
    <row r="77" spans="1:17" s="467" customFormat="1" ht="15.75" thickTop="1">
      <c r="A77" s="549"/>
      <c r="B77" s="534">
        <f>B12</f>
        <v>111</v>
      </c>
      <c r="C77" s="550"/>
      <c r="D77" s="550"/>
      <c r="E77" s="550"/>
      <c r="F77" s="550"/>
      <c r="G77" s="550"/>
      <c r="H77" s="551"/>
      <c r="I77" s="551"/>
      <c r="J77" s="551"/>
      <c r="K77" s="551"/>
      <c r="L77" s="552"/>
      <c r="M77" s="553"/>
      <c r="N77" s="1150"/>
      <c r="O77" s="1150"/>
      <c r="P77" s="554"/>
      <c r="Q77" s="555"/>
    </row>
    <row r="78" spans="1:17" s="467" customFormat="1" ht="15.75" thickBot="1">
      <c r="A78" s="549"/>
      <c r="B78" s="539"/>
      <c r="C78" s="556"/>
      <c r="D78" s="532"/>
      <c r="E78" s="532"/>
      <c r="F78" s="532"/>
      <c r="G78" s="532"/>
      <c r="H78" s="532"/>
      <c r="I78" s="532"/>
      <c r="J78" s="532"/>
      <c r="K78" s="532"/>
      <c r="L78" s="532"/>
      <c r="M78" s="533"/>
      <c r="N78" s="1149"/>
      <c r="O78" s="1149"/>
      <c r="P78" s="554"/>
      <c r="Q78" s="555"/>
    </row>
    <row r="79" spans="1:17" s="467" customFormat="1" ht="15.75" thickTop="1">
      <c r="A79" s="549"/>
      <c r="B79" s="534">
        <f>B13</f>
        <v>111</v>
      </c>
      <c r="C79" s="550"/>
      <c r="D79" s="550"/>
      <c r="E79" s="550"/>
      <c r="F79" s="550"/>
      <c r="G79" s="550"/>
      <c r="H79" s="551"/>
      <c r="I79" s="551"/>
      <c r="J79" s="551"/>
      <c r="K79" s="551"/>
      <c r="L79" s="552"/>
      <c r="M79" s="553"/>
      <c r="N79" s="1150"/>
      <c r="O79" s="1150"/>
      <c r="P79" s="466"/>
      <c r="Q79" s="557"/>
    </row>
    <row r="80" spans="1:17" s="467" customFormat="1" ht="15.75" thickBot="1">
      <c r="A80" s="549"/>
      <c r="B80" s="539"/>
      <c r="C80" s="556"/>
      <c r="D80" s="556"/>
      <c r="E80" s="556"/>
      <c r="F80" s="556"/>
      <c r="G80" s="556"/>
      <c r="H80" s="558"/>
      <c r="I80" s="558"/>
      <c r="J80" s="558"/>
      <c r="K80" s="558"/>
      <c r="L80" s="558"/>
      <c r="M80" s="559"/>
      <c r="N80" s="1150"/>
      <c r="O80" s="1150"/>
      <c r="P80" s="554"/>
      <c r="Q80" s="555"/>
    </row>
    <row r="81" spans="1:17" s="467" customFormat="1" ht="15.75" thickTop="1">
      <c r="A81" s="549"/>
      <c r="B81" s="542">
        <f>B14</f>
        <v>111</v>
      </c>
      <c r="C81" s="519"/>
      <c r="D81" s="519"/>
      <c r="E81" s="519"/>
      <c r="F81" s="519"/>
      <c r="G81" s="519"/>
      <c r="H81" s="560"/>
      <c r="I81" s="560"/>
      <c r="J81" s="560"/>
      <c r="K81" s="560"/>
      <c r="L81" s="561"/>
      <c r="M81" s="562"/>
      <c r="N81" s="1150"/>
      <c r="O81" s="1150"/>
      <c r="P81" s="563"/>
      <c r="Q81" s="555"/>
    </row>
    <row r="82" spans="1:17" s="467" customFormat="1" ht="15.75" thickBot="1">
      <c r="A82" s="564"/>
      <c r="B82" s="565"/>
      <c r="C82" s="566"/>
      <c r="D82" s="566"/>
      <c r="E82" s="566"/>
      <c r="F82" s="566"/>
      <c r="G82" s="566"/>
      <c r="H82" s="567"/>
      <c r="I82" s="567"/>
      <c r="J82" s="567"/>
      <c r="K82" s="567"/>
      <c r="L82" s="567"/>
      <c r="M82" s="568"/>
      <c r="N82" s="1150"/>
      <c r="O82" s="1150"/>
      <c r="P82" s="554"/>
      <c r="Q82" s="555"/>
    </row>
    <row r="83" spans="1:17">
      <c r="A83" s="523" t="s">
        <v>2556</v>
      </c>
      <c r="B83" s="524" t="s">
        <v>2702</v>
      </c>
      <c r="C83" s="569" t="s">
        <v>2594</v>
      </c>
      <c r="D83" s="569" t="s">
        <v>2595</v>
      </c>
      <c r="E83" s="569" t="s">
        <v>2596</v>
      </c>
      <c r="F83" s="569" t="s">
        <v>2597</v>
      </c>
      <c r="G83" s="569" t="s">
        <v>2598</v>
      </c>
      <c r="H83" s="525"/>
      <c r="I83" s="525"/>
      <c r="J83" s="525"/>
      <c r="K83" s="570"/>
      <c r="L83" s="571"/>
      <c r="M83" s="572"/>
      <c r="N83" s="1148"/>
      <c r="O83" s="1148"/>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49"/>
      <c r="O84" s="1149"/>
      <c r="P84" s="45"/>
      <c r="Q84" s="500"/>
    </row>
    <row r="85" spans="1:17" ht="15.75" thickTop="1">
      <c r="A85" s="530"/>
      <c r="B85" s="534" t="s">
        <v>2599</v>
      </c>
      <c r="C85" s="574" t="s">
        <v>2594</v>
      </c>
      <c r="D85" s="574" t="s">
        <v>2595</v>
      </c>
      <c r="E85" s="574" t="s">
        <v>2596</v>
      </c>
      <c r="F85" s="574" t="s">
        <v>2597</v>
      </c>
      <c r="G85" s="574" t="s">
        <v>2598</v>
      </c>
      <c r="H85" s="535"/>
      <c r="I85" s="535"/>
      <c r="J85" s="535"/>
      <c r="K85" s="536"/>
      <c r="L85" s="537"/>
      <c r="M85" s="538"/>
      <c r="N85" s="1148"/>
      <c r="O85" s="1148"/>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49"/>
      <c r="O86" s="1149"/>
      <c r="P86" s="45"/>
      <c r="Q86" s="500"/>
    </row>
    <row r="87" spans="1:17" s="116" customFormat="1" ht="15.75" thickTop="1">
      <c r="A87" s="575"/>
      <c r="B87" s="534" t="s">
        <v>2782</v>
      </c>
      <c r="C87" s="569" t="s">
        <v>2594</v>
      </c>
      <c r="D87" s="569" t="s">
        <v>2595</v>
      </c>
      <c r="E87" s="569" t="s">
        <v>2596</v>
      </c>
      <c r="F87" s="569" t="s">
        <v>2597</v>
      </c>
      <c r="G87" s="569" t="s">
        <v>2598</v>
      </c>
      <c r="H87" s="574"/>
      <c r="I87" s="574"/>
      <c r="J87" s="574"/>
      <c r="K87" s="574"/>
      <c r="L87" s="693"/>
      <c r="M87" s="617"/>
      <c r="N87" s="1147"/>
      <c r="O87" s="1147"/>
      <c r="P87" s="45"/>
      <c r="Q87" s="500"/>
    </row>
    <row r="88" spans="1:17" s="116" customFormat="1" ht="15.75" thickBot="1">
      <c r="A88" s="575"/>
      <c r="B88" s="539"/>
      <c r="C88" s="578">
        <v>100</v>
      </c>
      <c r="D88" s="540">
        <f>C88-$K19</f>
        <v>100</v>
      </c>
      <c r="E88" s="540">
        <f>D88-$K19</f>
        <v>100</v>
      </c>
      <c r="F88" s="540">
        <f>E88-$K19</f>
        <v>100</v>
      </c>
      <c r="G88" s="540">
        <f>F88-$K19</f>
        <v>100</v>
      </c>
      <c r="H88" s="540"/>
      <c r="I88" s="540"/>
      <c r="J88" s="540"/>
      <c r="K88" s="540"/>
      <c r="L88" s="540"/>
      <c r="M88" s="541"/>
      <c r="N88" s="1149"/>
      <c r="O88" s="1149"/>
      <c r="P88" s="45"/>
      <c r="Q88" s="500"/>
    </row>
    <row r="89" spans="1:17" s="116" customFormat="1" ht="27.75" thickTop="1">
      <c r="A89" s="575"/>
      <c r="B89" s="534" t="s">
        <v>2783</v>
      </c>
      <c r="C89" s="569" t="s">
        <v>2594</v>
      </c>
      <c r="D89" s="569" t="s">
        <v>2595</v>
      </c>
      <c r="E89" s="569" t="s">
        <v>2596</v>
      </c>
      <c r="F89" s="569" t="s">
        <v>2597</v>
      </c>
      <c r="G89" s="569" t="s">
        <v>2598</v>
      </c>
      <c r="H89" s="574"/>
      <c r="I89" s="574"/>
      <c r="J89" s="574"/>
      <c r="K89" s="574"/>
      <c r="L89" s="574"/>
      <c r="M89" s="617"/>
      <c r="N89" s="1147"/>
      <c r="O89" s="1147"/>
      <c r="P89" s="45"/>
      <c r="Q89" s="500"/>
    </row>
    <row r="90" spans="1:17" s="116" customFormat="1" ht="15.75" thickBot="1">
      <c r="A90" s="575"/>
      <c r="B90" s="539"/>
      <c r="C90" s="540">
        <v>100</v>
      </c>
      <c r="D90" s="540">
        <f>C90-$K21</f>
        <v>100</v>
      </c>
      <c r="E90" s="540">
        <f>D90-$K21</f>
        <v>100</v>
      </c>
      <c r="F90" s="540">
        <f>E90-$K21</f>
        <v>100</v>
      </c>
      <c r="G90" s="540">
        <f>F90-$K21</f>
        <v>100</v>
      </c>
      <c r="H90" s="540"/>
      <c r="I90" s="540"/>
      <c r="J90" s="540"/>
      <c r="K90" s="540"/>
      <c r="L90" s="540"/>
      <c r="M90" s="541"/>
      <c r="N90" s="1149"/>
      <c r="O90" s="1149"/>
      <c r="P90" s="45"/>
      <c r="Q90" s="500"/>
    </row>
    <row r="91" spans="1:17" s="467" customFormat="1" ht="15.75" thickTop="1">
      <c r="A91" s="549"/>
      <c r="B91" s="534" t="s">
        <v>2651</v>
      </c>
      <c r="C91" s="569" t="s">
        <v>2594</v>
      </c>
      <c r="D91" s="569" t="s">
        <v>2595</v>
      </c>
      <c r="E91" s="569" t="s">
        <v>2596</v>
      </c>
      <c r="F91" s="569" t="s">
        <v>2597</v>
      </c>
      <c r="G91" s="569" t="s">
        <v>2598</v>
      </c>
      <c r="H91" s="596"/>
      <c r="I91" s="596"/>
      <c r="J91" s="596"/>
      <c r="K91" s="596"/>
      <c r="L91" s="597"/>
      <c r="M91" s="598"/>
      <c r="N91" s="1150"/>
      <c r="O91" s="1150"/>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50"/>
      <c r="O92" s="1150"/>
      <c r="P92" s="554"/>
      <c r="Q92" s="555"/>
    </row>
    <row r="93" spans="1:17" s="467" customFormat="1" ht="15.75" thickTop="1">
      <c r="A93" s="549"/>
      <c r="B93" s="542" t="s">
        <v>2800</v>
      </c>
      <c r="C93" s="655" t="s">
        <v>2672</v>
      </c>
      <c r="D93" s="655" t="s">
        <v>2673</v>
      </c>
      <c r="E93" s="655" t="s">
        <v>2674</v>
      </c>
      <c r="F93" s="655" t="s">
        <v>2675</v>
      </c>
      <c r="G93" s="655" t="s">
        <v>2676</v>
      </c>
      <c r="H93" s="596"/>
      <c r="I93" s="596"/>
      <c r="J93" s="596"/>
      <c r="K93" s="596"/>
      <c r="L93" s="596"/>
      <c r="M93" s="598"/>
      <c r="N93" s="1150"/>
      <c r="O93" s="1150"/>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74"/>
      <c r="N94" s="1150"/>
      <c r="O94" s="1150"/>
      <c r="P94" s="554"/>
      <c r="Q94" s="555"/>
    </row>
    <row r="95" spans="1:17" ht="15.75" thickTop="1">
      <c r="A95" s="530"/>
      <c r="B95" s="534" t="str">
        <f>B27</f>
        <v>临街状况</v>
      </c>
      <c r="C95" s="535" t="s">
        <v>2784</v>
      </c>
      <c r="D95" s="535" t="s">
        <v>2785</v>
      </c>
      <c r="E95" s="535" t="s">
        <v>2786</v>
      </c>
      <c r="F95" s="535" t="s">
        <v>2787</v>
      </c>
      <c r="G95" s="535"/>
      <c r="H95" s="535"/>
      <c r="I95" s="535"/>
      <c r="J95" s="535"/>
      <c r="K95" s="536"/>
      <c r="L95" s="537"/>
      <c r="M95" s="538"/>
      <c r="N95" s="1148"/>
      <c r="O95" s="1148"/>
      <c r="P95" s="45"/>
      <c r="Q95" s="500"/>
    </row>
    <row r="96" spans="1:17" ht="15.75" thickBot="1">
      <c r="A96" s="530"/>
      <c r="B96" s="539"/>
      <c r="C96" s="540">
        <v>100</v>
      </c>
      <c r="D96" s="540">
        <f t="shared" ref="D96:M96" si="21">C96-$K27</f>
        <v>100</v>
      </c>
      <c r="E96" s="540">
        <f t="shared" si="21"/>
        <v>100</v>
      </c>
      <c r="F96" s="540">
        <f t="shared" si="21"/>
        <v>100</v>
      </c>
      <c r="G96" s="540">
        <f t="shared" si="21"/>
        <v>100</v>
      </c>
      <c r="H96" s="540">
        <f t="shared" si="21"/>
        <v>100</v>
      </c>
      <c r="I96" s="540">
        <f t="shared" si="21"/>
        <v>100</v>
      </c>
      <c r="J96" s="540">
        <f t="shared" si="21"/>
        <v>100</v>
      </c>
      <c r="K96" s="540">
        <f t="shared" si="21"/>
        <v>100</v>
      </c>
      <c r="L96" s="540">
        <f t="shared" si="21"/>
        <v>100</v>
      </c>
      <c r="M96" s="540">
        <f t="shared" si="21"/>
        <v>100</v>
      </c>
      <c r="N96" s="1149"/>
      <c r="O96" s="1149"/>
      <c r="P96" s="45"/>
      <c r="Q96" s="500"/>
    </row>
    <row r="97" spans="1:17" ht="27.75" thickTop="1">
      <c r="A97" s="530"/>
      <c r="B97" s="534" t="s">
        <v>2688</v>
      </c>
      <c r="C97" s="550"/>
      <c r="D97" s="550"/>
      <c r="E97" s="550"/>
      <c r="F97" s="550"/>
      <c r="G97" s="550"/>
      <c r="H97" s="579"/>
      <c r="I97" s="579"/>
      <c r="J97" s="579"/>
      <c r="K97" s="580"/>
      <c r="L97" s="581"/>
      <c r="M97" s="582"/>
      <c r="N97" s="1148"/>
      <c r="O97" s="1148"/>
      <c r="P97" s="45"/>
      <c r="Q97" s="500"/>
    </row>
    <row r="98" spans="1:17" ht="15.75" thickBot="1">
      <c r="A98" s="530"/>
      <c r="B98" s="539"/>
      <c r="C98" s="540">
        <v>100</v>
      </c>
      <c r="D98" s="540">
        <f t="shared" ref="D98:M98" si="22">C98-$K28</f>
        <v>100</v>
      </c>
      <c r="E98" s="540">
        <f t="shared" si="22"/>
        <v>100</v>
      </c>
      <c r="F98" s="540">
        <f t="shared" si="22"/>
        <v>100</v>
      </c>
      <c r="G98" s="540">
        <f t="shared" si="22"/>
        <v>100</v>
      </c>
      <c r="H98" s="540">
        <f t="shared" si="22"/>
        <v>100</v>
      </c>
      <c r="I98" s="540">
        <f t="shared" si="22"/>
        <v>100</v>
      </c>
      <c r="J98" s="540">
        <f t="shared" si="22"/>
        <v>100</v>
      </c>
      <c r="K98" s="540">
        <f t="shared" si="22"/>
        <v>100</v>
      </c>
      <c r="L98" s="540">
        <f t="shared" si="22"/>
        <v>100</v>
      </c>
      <c r="M98" s="540">
        <f t="shared" si="22"/>
        <v>100</v>
      </c>
      <c r="N98" s="1149"/>
      <c r="O98" s="1149"/>
      <c r="P98" s="45"/>
      <c r="Q98" s="500"/>
    </row>
    <row r="99" spans="1:17" ht="15.75" thickTop="1">
      <c r="A99" s="530"/>
      <c r="B99" s="534" t="s">
        <v>2747</v>
      </c>
      <c r="C99" s="579"/>
      <c r="D99" s="579"/>
      <c r="E99" s="579"/>
      <c r="F99" s="579"/>
      <c r="G99" s="579"/>
      <c r="H99" s="579"/>
      <c r="I99" s="579"/>
      <c r="J99" s="579"/>
      <c r="K99" s="580"/>
      <c r="L99" s="581"/>
      <c r="M99" s="582"/>
      <c r="N99" s="1148"/>
      <c r="O99" s="1148"/>
      <c r="P99" s="45"/>
      <c r="Q99" s="500"/>
    </row>
    <row r="100" spans="1:17" ht="15.75" thickBot="1">
      <c r="A100" s="530"/>
      <c r="B100" s="539"/>
      <c r="C100" s="540">
        <v>100</v>
      </c>
      <c r="D100" s="540">
        <f t="shared" ref="D100:M100" si="23">C100-$K30</f>
        <v>100</v>
      </c>
      <c r="E100" s="540">
        <f t="shared" si="23"/>
        <v>100</v>
      </c>
      <c r="F100" s="540">
        <f t="shared" si="23"/>
        <v>100</v>
      </c>
      <c r="G100" s="540">
        <f t="shared" si="23"/>
        <v>100</v>
      </c>
      <c r="H100" s="540">
        <f t="shared" si="23"/>
        <v>100</v>
      </c>
      <c r="I100" s="540">
        <f t="shared" si="23"/>
        <v>100</v>
      </c>
      <c r="J100" s="540">
        <f t="shared" si="23"/>
        <v>100</v>
      </c>
      <c r="K100" s="540">
        <f t="shared" si="23"/>
        <v>100</v>
      </c>
      <c r="L100" s="540">
        <f t="shared" si="23"/>
        <v>100</v>
      </c>
      <c r="M100" s="540">
        <f t="shared" si="23"/>
        <v>100</v>
      </c>
      <c r="N100" s="1149"/>
      <c r="O100" s="1149"/>
      <c r="P100" s="45"/>
      <c r="Q100" s="500"/>
    </row>
    <row r="101" spans="1:17" ht="15.75" thickTop="1">
      <c r="A101" s="530"/>
      <c r="B101" s="542">
        <f>B31</f>
        <v>111</v>
      </c>
      <c r="C101" s="550"/>
      <c r="D101" s="550"/>
      <c r="E101" s="550"/>
      <c r="F101" s="550"/>
      <c r="G101" s="583"/>
      <c r="H101" s="583"/>
      <c r="I101" s="583"/>
      <c r="J101" s="583"/>
      <c r="K101" s="584"/>
      <c r="L101" s="585"/>
      <c r="M101" s="586"/>
      <c r="N101" s="1148"/>
      <c r="O101" s="1148"/>
      <c r="P101" s="45"/>
      <c r="Q101" s="500"/>
    </row>
    <row r="102" spans="1:17" ht="15.75" thickBot="1">
      <c r="A102" s="530"/>
      <c r="B102" s="565"/>
      <c r="C102" s="556"/>
      <c r="D102" s="532"/>
      <c r="E102" s="532"/>
      <c r="F102" s="532"/>
      <c r="G102" s="587"/>
      <c r="H102" s="587"/>
      <c r="I102" s="587"/>
      <c r="J102" s="587"/>
      <c r="K102" s="587"/>
      <c r="L102" s="587"/>
      <c r="M102" s="588"/>
      <c r="N102" s="1149"/>
      <c r="O102" s="1149"/>
      <c r="P102" s="45"/>
      <c r="Q102" s="500"/>
    </row>
    <row r="103" spans="1:17" ht="15" thickTop="1">
      <c r="A103" s="670"/>
      <c r="B103" s="534">
        <f>B32</f>
        <v>111</v>
      </c>
      <c r="C103" s="550"/>
      <c r="D103" s="550"/>
      <c r="E103" s="550"/>
      <c r="F103" s="550"/>
      <c r="G103" s="579"/>
      <c r="H103" s="579"/>
      <c r="I103" s="579"/>
      <c r="J103" s="579"/>
      <c r="K103" s="580"/>
      <c r="L103" s="581"/>
      <c r="M103" s="582"/>
      <c r="N103" s="1148"/>
      <c r="O103" s="1148"/>
      <c r="P103" s="45"/>
      <c r="Q103" s="500"/>
    </row>
    <row r="104" spans="1:17" ht="15.75" thickBot="1">
      <c r="A104" s="530"/>
      <c r="B104" s="539"/>
      <c r="C104" s="556"/>
      <c r="D104" s="556"/>
      <c r="E104" s="556"/>
      <c r="F104" s="556"/>
      <c r="G104" s="532"/>
      <c r="H104" s="532"/>
      <c r="I104" s="532"/>
      <c r="J104" s="532"/>
      <c r="K104" s="532"/>
      <c r="L104" s="532"/>
      <c r="M104" s="533"/>
      <c r="N104" s="1149"/>
      <c r="O104" s="1149"/>
      <c r="P104" s="45"/>
      <c r="Q104" s="500"/>
    </row>
    <row r="105" spans="1:17" s="467" customFormat="1" ht="15" thickTop="1">
      <c r="A105" s="589"/>
      <c r="B105" s="590">
        <f>B33</f>
        <v>111</v>
      </c>
      <c r="C105" s="519"/>
      <c r="D105" s="519"/>
      <c r="E105" s="519"/>
      <c r="F105" s="519"/>
      <c r="G105" s="591"/>
      <c r="H105" s="591"/>
      <c r="I105" s="591"/>
      <c r="J105" s="592"/>
      <c r="K105" s="592"/>
      <c r="L105" s="593"/>
      <c r="M105" s="594"/>
      <c r="N105" s="1150"/>
      <c r="O105" s="1150"/>
      <c r="P105" s="554"/>
      <c r="Q105" s="555"/>
    </row>
    <row r="106" spans="1:17" s="467" customFormat="1" ht="15.75" thickBot="1">
      <c r="A106" s="549"/>
      <c r="B106" s="542"/>
      <c r="C106" s="566"/>
      <c r="D106" s="566"/>
      <c r="E106" s="566"/>
      <c r="F106" s="566"/>
      <c r="G106" s="672"/>
      <c r="H106" s="672"/>
      <c r="I106" s="672"/>
      <c r="J106" s="672"/>
      <c r="K106" s="672"/>
      <c r="L106" s="672"/>
      <c r="M106" s="694"/>
      <c r="N106" s="1149"/>
      <c r="O106" s="1149"/>
      <c r="P106" s="554"/>
      <c r="Q106" s="555"/>
    </row>
    <row r="107" spans="1:17">
      <c r="A107" s="523" t="s">
        <v>2560</v>
      </c>
      <c r="B107" s="524" t="s">
        <v>2788</v>
      </c>
      <c r="C107" s="525" t="str">
        <f t="shared" ref="C107:L107" si="24">C108&amp;"(含)"&amp;"-"&amp;D108</f>
        <v>(含)-</v>
      </c>
      <c r="D107" s="525" t="str">
        <f t="shared" si="24"/>
        <v>(含)-</v>
      </c>
      <c r="E107" s="525" t="str">
        <f t="shared" si="24"/>
        <v>(含)-</v>
      </c>
      <c r="F107" s="525" t="str">
        <f t="shared" si="24"/>
        <v>(含)-</v>
      </c>
      <c r="G107" s="525" t="str">
        <f t="shared" si="24"/>
        <v>(含)-</v>
      </c>
      <c r="H107" s="525" t="str">
        <f t="shared" si="24"/>
        <v>(含)-</v>
      </c>
      <c r="I107" s="525" t="str">
        <f t="shared" si="24"/>
        <v>(含)-</v>
      </c>
      <c r="J107" s="525" t="str">
        <f t="shared" si="24"/>
        <v>(含)-</v>
      </c>
      <c r="K107" s="1756" t="str">
        <f t="shared" si="24"/>
        <v>(含)-</v>
      </c>
      <c r="L107" s="1756" t="str">
        <f t="shared" si="24"/>
        <v>(含)-</v>
      </c>
      <c r="M107" s="1757" t="str">
        <f>M108&amp;"(含)"&amp;"-"&amp;P108</f>
        <v>(含)-</v>
      </c>
      <c r="N107" s="1148"/>
      <c r="O107" s="1148"/>
      <c r="P107" s="45"/>
      <c r="Q107" s="500"/>
    </row>
    <row r="108" spans="1:17" ht="15">
      <c r="A108" s="530"/>
      <c r="B108" s="542"/>
      <c r="C108" s="591"/>
      <c r="D108" s="591"/>
      <c r="E108" s="591"/>
      <c r="F108" s="591"/>
      <c r="G108" s="591"/>
      <c r="H108" s="591"/>
      <c r="I108" s="591"/>
      <c r="J108" s="592"/>
      <c r="K108" s="592"/>
      <c r="L108" s="593"/>
      <c r="M108" s="594"/>
      <c r="N108" s="1148"/>
      <c r="O108" s="1148"/>
      <c r="P108" s="45"/>
      <c r="Q108" s="500"/>
    </row>
    <row r="109" spans="1:17" ht="15.75" thickBot="1">
      <c r="A109" s="530"/>
      <c r="B109" s="539"/>
      <c r="C109" s="566"/>
      <c r="D109" s="587"/>
      <c r="E109" s="587"/>
      <c r="F109" s="587"/>
      <c r="G109" s="587"/>
      <c r="H109" s="587"/>
      <c r="I109" s="587"/>
      <c r="J109" s="587"/>
      <c r="K109" s="587"/>
      <c r="L109" s="587"/>
      <c r="M109" s="588"/>
      <c r="N109" s="1149"/>
      <c r="O109" s="1149"/>
      <c r="P109" s="45"/>
      <c r="Q109" s="500"/>
    </row>
    <row r="110" spans="1:17" ht="15" thickTop="1">
      <c r="A110" s="595"/>
      <c r="B110" s="534" t="s">
        <v>2789</v>
      </c>
      <c r="C110" s="579"/>
      <c r="D110" s="579"/>
      <c r="E110" s="579"/>
      <c r="F110" s="579"/>
      <c r="G110" s="579"/>
      <c r="H110" s="579"/>
      <c r="I110" s="579"/>
      <c r="J110" s="579"/>
      <c r="K110" s="580"/>
      <c r="L110" s="581"/>
      <c r="M110" s="582"/>
      <c r="N110" s="1148"/>
      <c r="O110" s="1148"/>
      <c r="P110" s="45"/>
      <c r="Q110" s="500"/>
    </row>
    <row r="111" spans="1:17" ht="15.75" thickBot="1">
      <c r="A111" s="530"/>
      <c r="B111" s="539"/>
      <c r="C111" s="540">
        <v>100</v>
      </c>
      <c r="D111" s="540">
        <f t="shared" ref="D111:M111" si="25">C111-$K35</f>
        <v>100</v>
      </c>
      <c r="E111" s="540">
        <f t="shared" si="25"/>
        <v>100</v>
      </c>
      <c r="F111" s="540">
        <f t="shared" si="25"/>
        <v>100</v>
      </c>
      <c r="G111" s="540">
        <f t="shared" si="25"/>
        <v>100</v>
      </c>
      <c r="H111" s="540">
        <f t="shared" si="25"/>
        <v>100</v>
      </c>
      <c r="I111" s="540">
        <f t="shared" si="25"/>
        <v>100</v>
      </c>
      <c r="J111" s="540">
        <f t="shared" si="25"/>
        <v>100</v>
      </c>
      <c r="K111" s="540">
        <f t="shared" si="25"/>
        <v>100</v>
      </c>
      <c r="L111" s="540">
        <f t="shared" si="25"/>
        <v>100</v>
      </c>
      <c r="M111" s="541">
        <f t="shared" si="25"/>
        <v>100</v>
      </c>
      <c r="N111" s="1149"/>
      <c r="O111" s="1149"/>
      <c r="P111" s="45"/>
      <c r="Q111" s="500"/>
    </row>
    <row r="112" spans="1:17" s="467" customFormat="1" ht="15" thickTop="1">
      <c r="A112" s="589"/>
      <c r="B112" s="534" t="s">
        <v>2791</v>
      </c>
      <c r="C112" s="550"/>
      <c r="D112" s="550"/>
      <c r="E112" s="550"/>
      <c r="F112" s="550"/>
      <c r="G112" s="550"/>
      <c r="H112" s="579"/>
      <c r="I112" s="579"/>
      <c r="J112" s="579"/>
      <c r="K112" s="580"/>
      <c r="L112" s="581"/>
      <c r="M112" s="582"/>
      <c r="N112" s="1150"/>
      <c r="O112" s="1150"/>
      <c r="P112" s="554"/>
      <c r="Q112" s="555"/>
    </row>
    <row r="113" spans="1:17" s="467" customFormat="1" ht="15.75" thickBot="1">
      <c r="A113" s="549"/>
      <c r="B113" s="539"/>
      <c r="C113" s="540">
        <v>100</v>
      </c>
      <c r="D113" s="540">
        <f t="shared" ref="D113:M113" si="26">C113-$K36</f>
        <v>100</v>
      </c>
      <c r="E113" s="540">
        <f t="shared" si="26"/>
        <v>100</v>
      </c>
      <c r="F113" s="540">
        <f t="shared" si="26"/>
        <v>100</v>
      </c>
      <c r="G113" s="540">
        <f t="shared" si="26"/>
        <v>100</v>
      </c>
      <c r="H113" s="540">
        <f t="shared" si="26"/>
        <v>100</v>
      </c>
      <c r="I113" s="540">
        <f t="shared" si="26"/>
        <v>100</v>
      </c>
      <c r="J113" s="540">
        <f t="shared" si="26"/>
        <v>100</v>
      </c>
      <c r="K113" s="540">
        <f t="shared" si="26"/>
        <v>100</v>
      </c>
      <c r="L113" s="540">
        <f t="shared" si="26"/>
        <v>100</v>
      </c>
      <c r="M113" s="541">
        <f t="shared" si="26"/>
        <v>100</v>
      </c>
      <c r="N113" s="1150"/>
      <c r="O113" s="1150"/>
      <c r="P113" s="554"/>
      <c r="Q113" s="555"/>
    </row>
    <row r="114" spans="1:17" ht="15" thickTop="1">
      <c r="A114" s="595"/>
      <c r="B114" s="534" t="s">
        <v>2792</v>
      </c>
      <c r="C114" s="550"/>
      <c r="D114" s="550"/>
      <c r="E114" s="579"/>
      <c r="F114" s="579"/>
      <c r="G114" s="579"/>
      <c r="H114" s="579"/>
      <c r="I114" s="579"/>
      <c r="J114" s="579"/>
      <c r="K114" s="580"/>
      <c r="L114" s="581"/>
      <c r="M114" s="582"/>
      <c r="N114" s="1148"/>
      <c r="O114" s="1148"/>
      <c r="P114" s="45"/>
      <c r="Q114" s="500"/>
    </row>
    <row r="115" spans="1:17" ht="15.75" thickBot="1">
      <c r="A115" s="530"/>
      <c r="B115" s="539"/>
      <c r="C115" s="540">
        <v>100</v>
      </c>
      <c r="D115" s="540">
        <f t="shared" ref="D115:M115" si="27">C115-$K37</f>
        <v>100</v>
      </c>
      <c r="E115" s="540">
        <f t="shared" si="27"/>
        <v>100</v>
      </c>
      <c r="F115" s="540">
        <f t="shared" si="27"/>
        <v>100</v>
      </c>
      <c r="G115" s="540">
        <f t="shared" si="27"/>
        <v>100</v>
      </c>
      <c r="H115" s="540">
        <f t="shared" si="27"/>
        <v>100</v>
      </c>
      <c r="I115" s="540">
        <f t="shared" si="27"/>
        <v>100</v>
      </c>
      <c r="J115" s="540">
        <f t="shared" si="27"/>
        <v>100</v>
      </c>
      <c r="K115" s="540">
        <f t="shared" si="27"/>
        <v>100</v>
      </c>
      <c r="L115" s="540">
        <f t="shared" si="27"/>
        <v>100</v>
      </c>
      <c r="M115" s="541">
        <f t="shared" si="27"/>
        <v>100</v>
      </c>
      <c r="N115" s="1149"/>
      <c r="O115" s="1149"/>
      <c r="P115" s="45"/>
      <c r="Q115" s="500"/>
    </row>
    <row r="116" spans="1:17" ht="15" thickTop="1">
      <c r="A116" s="595"/>
      <c r="B116" s="534">
        <f>B38</f>
        <v>111</v>
      </c>
      <c r="C116" s="550"/>
      <c r="D116" s="550"/>
      <c r="E116" s="550"/>
      <c r="F116" s="550"/>
      <c r="G116" s="550"/>
      <c r="H116" s="579"/>
      <c r="I116" s="579"/>
      <c r="J116" s="579"/>
      <c r="K116" s="580"/>
      <c r="L116" s="581"/>
      <c r="M116" s="582"/>
      <c r="N116" s="1148"/>
      <c r="O116" s="1148"/>
      <c r="P116" s="45"/>
      <c r="Q116" s="500"/>
    </row>
    <row r="117" spans="1:17" ht="15.75" thickBot="1">
      <c r="A117" s="530"/>
      <c r="B117" s="539"/>
      <c r="C117" s="556"/>
      <c r="D117" s="532"/>
      <c r="E117" s="532"/>
      <c r="F117" s="532"/>
      <c r="G117" s="532"/>
      <c r="H117" s="532"/>
      <c r="I117" s="532"/>
      <c r="J117" s="532"/>
      <c r="K117" s="532"/>
      <c r="L117" s="532"/>
      <c r="M117" s="533"/>
      <c r="N117" s="1149"/>
      <c r="O117" s="1149"/>
      <c r="P117" s="45"/>
      <c r="Q117" s="500"/>
    </row>
    <row r="118" spans="1:17" ht="15" thickTop="1">
      <c r="A118" s="595"/>
      <c r="B118" s="534">
        <f>B39</f>
        <v>111</v>
      </c>
      <c r="C118" s="550"/>
      <c r="D118" s="550"/>
      <c r="E118" s="550"/>
      <c r="F118" s="550"/>
      <c r="G118" s="579"/>
      <c r="H118" s="579"/>
      <c r="I118" s="579"/>
      <c r="J118" s="579"/>
      <c r="K118" s="580"/>
      <c r="L118" s="581"/>
      <c r="M118" s="582"/>
      <c r="N118" s="1148"/>
      <c r="O118" s="1148"/>
      <c r="P118" s="45"/>
      <c r="Q118" s="500"/>
    </row>
    <row r="119" spans="1:17" ht="15.75" thickBot="1">
      <c r="A119" s="530"/>
      <c r="B119" s="539"/>
      <c r="C119" s="556"/>
      <c r="D119" s="556"/>
      <c r="E119" s="556"/>
      <c r="F119" s="556"/>
      <c r="G119" s="532"/>
      <c r="H119" s="532"/>
      <c r="I119" s="532"/>
      <c r="J119" s="532"/>
      <c r="K119" s="532"/>
      <c r="L119" s="532"/>
      <c r="M119" s="533"/>
      <c r="N119" s="1149"/>
      <c r="O119" s="1149"/>
      <c r="P119" s="45"/>
      <c r="Q119" s="500"/>
    </row>
    <row r="120" spans="1:17" s="467" customFormat="1" ht="15" thickTop="1">
      <c r="A120" s="589"/>
      <c r="B120" s="534">
        <f>B40</f>
        <v>111</v>
      </c>
      <c r="C120" s="519"/>
      <c r="D120" s="519"/>
      <c r="E120" s="519"/>
      <c r="F120" s="519"/>
      <c r="G120" s="551"/>
      <c r="H120" s="551"/>
      <c r="I120" s="551"/>
      <c r="J120" s="551"/>
      <c r="K120" s="551"/>
      <c r="L120" s="552"/>
      <c r="M120" s="553"/>
      <c r="N120" s="1150"/>
      <c r="O120" s="1150"/>
      <c r="P120" s="554"/>
      <c r="Q120" s="555"/>
    </row>
    <row r="121" spans="1:17" s="467" customFormat="1" ht="15.75" thickBot="1">
      <c r="A121" s="564"/>
      <c r="B121" s="695"/>
      <c r="C121" s="566"/>
      <c r="D121" s="566"/>
      <c r="E121" s="566"/>
      <c r="F121" s="566"/>
      <c r="G121" s="587"/>
      <c r="H121" s="587"/>
      <c r="I121" s="587"/>
      <c r="J121" s="587"/>
      <c r="K121" s="587"/>
      <c r="L121" s="587"/>
      <c r="M121" s="588"/>
      <c r="N121" s="1150"/>
      <c r="O121" s="1150"/>
      <c r="P121" s="554"/>
      <c r="Q121" s="55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3" customWidth="1"/>
    <col min="2" max="2" width="19.25" style="2889" customWidth="1"/>
    <col min="3" max="4" width="12" style="2707"/>
    <col min="5" max="5" width="14.625" style="2707" customWidth="1"/>
    <col min="6" max="8" width="12" style="2707"/>
    <col min="9" max="9" width="12.25" style="2707" bestFit="1" customWidth="1"/>
    <col min="10" max="10" width="12" style="2707"/>
    <col min="11" max="11" width="8.125" style="2775" customWidth="1"/>
    <col min="12" max="12" width="12" style="2707"/>
    <col min="13" max="13" width="8.5" style="2707" customWidth="1"/>
    <col min="14" max="14" width="9.75" style="2707" customWidth="1"/>
    <col min="15" max="25" width="12" style="2707"/>
    <col min="26" max="26" width="9.375" style="2783" customWidth="1"/>
    <col min="27" max="32" width="9.375" style="1361" customWidth="1"/>
    <col min="33" max="36" width="9.375" style="2783" customWidth="1"/>
    <col min="37" max="38" width="9.375" style="2707" customWidth="1"/>
    <col min="39" max="16384" width="12" style="2707"/>
  </cols>
  <sheetData>
    <row r="1" spans="1:36" ht="28.5">
      <c r="A1" s="240" t="s">
        <v>2801</v>
      </c>
      <c r="B1" s="241"/>
      <c r="C1" s="245" t="s">
        <v>2802</v>
      </c>
      <c r="D1" s="384">
        <f>SUM(D29:D30,D33:D39)</f>
        <v>0</v>
      </c>
      <c r="E1" s="2704"/>
      <c r="F1" s="2704"/>
      <c r="G1" s="2704"/>
      <c r="H1" s="2704"/>
      <c r="I1" s="2704"/>
      <c r="J1" s="2704"/>
      <c r="K1" s="1359"/>
      <c r="L1" s="2705" t="s">
        <v>2803</v>
      </c>
      <c r="M1" s="1076">
        <f>SUMPRODUCT((区片价!B5:B9=I2)*(区片价!C3:F3=E2)*(区片价!C5:F9))</f>
        <v>0</v>
      </c>
      <c r="N1" s="1079">
        <f>SUMPRODUCT((因素修正幅度!B5:B9=I2)*(因素修正幅度!C3:F3=E2)*(因素修正幅度!C5:F9))</f>
        <v>0</v>
      </c>
      <c r="O1" s="2706"/>
      <c r="P1" s="2706"/>
      <c r="Q1" s="1359"/>
      <c r="R1" s="1592" t="s">
        <v>2804</v>
      </c>
      <c r="S1" s="1592" t="s">
        <v>2805</v>
      </c>
      <c r="T1" s="1592" t="s">
        <v>2806</v>
      </c>
      <c r="U1" s="1592" t="s">
        <v>2807</v>
      </c>
      <c r="V1" s="1592" t="s">
        <v>2808</v>
      </c>
      <c r="W1" s="1596"/>
      <c r="X1" s="1596"/>
      <c r="Y1" s="1596"/>
      <c r="Z1" s="1596"/>
      <c r="AA1" s="1596"/>
      <c r="AB1" s="1596"/>
      <c r="AC1" s="1597"/>
      <c r="AD1" s="1598"/>
      <c r="AE1" s="1598"/>
      <c r="AF1" s="1598"/>
      <c r="AG1" s="1598"/>
      <c r="AH1" s="1598"/>
      <c r="AI1" s="1598"/>
      <c r="AJ1" s="1599"/>
    </row>
    <row r="2" spans="1:36" ht="15.75">
      <c r="A2" s="245" t="s">
        <v>2809</v>
      </c>
      <c r="B2" s="248" t="e">
        <f>C26</f>
        <v>#DIV/0!</v>
      </c>
      <c r="C2" s="2708" t="s">
        <v>2810</v>
      </c>
      <c r="D2" s="2709" t="s">
        <v>2811</v>
      </c>
      <c r="E2" s="2710"/>
      <c r="F2" s="2709" t="s">
        <v>2812</v>
      </c>
      <c r="G2" s="2711">
        <f>IF(E2="商业",项目基本情况!B37,IF(E2="办公",项目基本情况!C37,IF(E2="住宅",项目基本情况!D37,项目基本情况!E37)))</f>
        <v>0</v>
      </c>
      <c r="H2" s="2709" t="s">
        <v>2813</v>
      </c>
      <c r="I2" s="2711">
        <f>IF(E2="商业",项目基本情况!B38,IF(E2="办公",项目基本情况!C38,IF(E2="住宅",项目基本情况!D38,项目基本情况!E38)))</f>
        <v>0</v>
      </c>
      <c r="J2" s="2712"/>
      <c r="K2" s="1359"/>
      <c r="L2" s="2713" t="s">
        <v>2814</v>
      </c>
      <c r="M2" s="1077">
        <f>SUMPRODUCT((区片价!B10:B28=I2)*(区片价!C3:F3=E2)*(区片价!C10:F28))</f>
        <v>0</v>
      </c>
      <c r="N2" s="1079">
        <f>SUMPRODUCT((因素修正幅度!B10:B28=I2)*(因素修正幅度!C3:F3=E2)*(因素修正幅度!C10:F28))</f>
        <v>0</v>
      </c>
      <c r="O2" s="1359"/>
      <c r="P2" s="1359"/>
      <c r="Q2" s="1359"/>
      <c r="R2" s="1592">
        <v>1</v>
      </c>
      <c r="S2" s="1592">
        <f>ROUND(IF(G3&gt;1,IF(R2&lt;7,SUMPRODUCT((B93:B98=R2)*(C92:N92=G2)*(C93:N98)),SUMIF(C92:N92,G2,C100:N100)),IF(R2&lt;7,SUMPRODUCT((B102:B107=R2)*(C92:N92=G2)*(C102:N107)),SUMIF(C92:N92,G2,C109:N109))),4)</f>
        <v>0</v>
      </c>
      <c r="T2" s="1592" t="e">
        <f>ROUND($C$5*$C$18*$C$19*$C$20*S2*$C$24,0)</f>
        <v>#DIV/0!</v>
      </c>
      <c r="U2" s="1593"/>
      <c r="V2" s="1592" t="e">
        <f>ROUND(T2*U2/10000,0)</f>
        <v>#DIV/0!</v>
      </c>
      <c r="W2" s="1596"/>
      <c r="X2" s="1596"/>
      <c r="Y2" s="1596"/>
      <c r="Z2" s="1596"/>
      <c r="AA2" s="1596"/>
      <c r="AB2" s="1596"/>
      <c r="AC2" s="1597"/>
      <c r="AD2" s="1598"/>
      <c r="AE2" s="1598"/>
      <c r="AF2" s="1598"/>
      <c r="AG2" s="1598"/>
      <c r="AH2" s="1598"/>
      <c r="AI2" s="1598"/>
      <c r="AJ2" s="1599"/>
    </row>
    <row r="3" spans="1:36" ht="15.75">
      <c r="A3" s="247" t="s">
        <v>2815</v>
      </c>
      <c r="B3" s="248" t="e">
        <f>ROUND(B2*10000/D1,0)</f>
        <v>#DIV/0!</v>
      </c>
      <c r="C3" s="2708" t="s">
        <v>2816</v>
      </c>
      <c r="D3" s="2709" t="s">
        <v>2817</v>
      </c>
      <c r="E3" s="2714"/>
      <c r="F3" s="2715" t="s">
        <v>2818</v>
      </c>
      <c r="G3" s="909">
        <f>IF(F3="宗地容积率",'数据-汇总表'!I4,IF(F3="估价对象容积率",'数据-汇总表'!I6,'数据-汇总表'!I7))</f>
        <v>5.7</v>
      </c>
      <c r="H3" s="198" t="s">
        <v>2819</v>
      </c>
      <c r="I3" s="940"/>
      <c r="J3" s="2712" t="s">
        <v>2820</v>
      </c>
      <c r="K3" s="1359"/>
      <c r="L3" s="2713" t="s">
        <v>2821</v>
      </c>
      <c r="M3" s="1077">
        <f>SUMPRODUCT((区片价!B29:B48=I2)*(区片价!C3:F3=E2)*(区片价!C29:F48))</f>
        <v>0</v>
      </c>
      <c r="N3" s="1079">
        <f>SUMPRODUCT((因素修正幅度!B29:B48=I2)*(因素修正幅度!C3:F3=E2)*(因素修正幅度!C29:F48))</f>
        <v>0</v>
      </c>
      <c r="O3" s="1359"/>
      <c r="P3" s="1359"/>
      <c r="Q3" s="1359"/>
      <c r="R3" s="1592">
        <v>2</v>
      </c>
      <c r="S3" s="1592">
        <f>ROUND(IF(G3&gt;1,IF(R3&lt;7,SUMPRODUCT((B93:B98=R3)*(C92:N92=G2)*(C93:N98)),SUMIF(C92:N92,G2,C100:N100)),IF(R3&lt;7,SUMPRODUCT((B102:B107=R3)*(C92:N92=G2)*(C102:N107)),SUMIF(C92:N92,G2,C109:N109))),4)</f>
        <v>0</v>
      </c>
      <c r="T3" s="1592" t="e">
        <f t="shared" ref="T3:T16" si="0">ROUND($C$5*$C$18*$C$19*$C$20*S3*$C$24,0)</f>
        <v>#DIV/0!</v>
      </c>
      <c r="U3" s="1593"/>
      <c r="V3" s="1592" t="e">
        <f t="shared" ref="V3:V16" si="1">ROUND(T3*U3/10000,0)</f>
        <v>#DIV/0!</v>
      </c>
      <c r="W3" s="1596"/>
      <c r="X3" s="1596"/>
      <c r="Y3" s="1596"/>
      <c r="Z3" s="1596"/>
      <c r="AA3" s="1596"/>
      <c r="AB3" s="1596"/>
      <c r="AC3" s="1597"/>
      <c r="AD3" s="1598"/>
      <c r="AE3" s="1598"/>
      <c r="AF3" s="1598"/>
      <c r="AG3" s="1598"/>
      <c r="AH3" s="1598"/>
      <c r="AI3" s="1598"/>
      <c r="AJ3" s="1599"/>
    </row>
    <row r="4" spans="1:36" ht="15.75">
      <c r="A4" s="3310"/>
      <c r="B4" s="3311"/>
      <c r="C4" s="3311"/>
      <c r="D4" s="3312"/>
      <c r="E4" s="3312"/>
      <c r="F4" s="3312"/>
      <c r="G4" s="3312"/>
      <c r="H4" s="3312"/>
      <c r="I4" s="3312"/>
      <c r="J4" s="3313"/>
      <c r="K4" s="1359"/>
      <c r="L4" s="2713" t="s">
        <v>2822</v>
      </c>
      <c r="M4" s="1077">
        <f>SUMPRODUCT((区片价!B49:B75=I2)*(区片价!C3:F3=E2)*(区片价!C49:F75))</f>
        <v>0</v>
      </c>
      <c r="N4" s="1079">
        <f>SUMPRODUCT((因素修正幅度!B49:B75=I2)*(因素修正幅度!C3:F3=E2)*(因素修正幅度!C49:F75))</f>
        <v>0</v>
      </c>
      <c r="O4" s="1359"/>
      <c r="P4" s="1359"/>
      <c r="Q4" s="1359"/>
      <c r="R4" s="1592">
        <v>3</v>
      </c>
      <c r="S4" s="1592">
        <f>ROUND(IF(G3&gt;1,IF(R4&lt;7,SUMPRODUCT((B93:B98=R4)*(C92:N92=G2)*(C93:N98)),SUMIF(C92:N92,G2,C100:N100)),IF(R4&lt;7,SUMPRODUCT((B102:B107=R4)*(C92:N92=G2)*(C102:N107)),SUMIF(C92:N92,G2,C109:N109))),4)</f>
        <v>0</v>
      </c>
      <c r="T4" s="1592" t="e">
        <f t="shared" si="0"/>
        <v>#DIV/0!</v>
      </c>
      <c r="U4" s="1593"/>
      <c r="V4" s="1592" t="e">
        <f t="shared" si="1"/>
        <v>#DIV/0!</v>
      </c>
      <c r="W4" s="1596"/>
      <c r="X4" s="1596"/>
      <c r="Y4" s="1596"/>
      <c r="Z4" s="1596"/>
      <c r="AA4" s="1596"/>
      <c r="AB4" s="1596"/>
      <c r="AC4" s="1597"/>
      <c r="AD4" s="1598"/>
      <c r="AE4" s="1598"/>
      <c r="AF4" s="1598"/>
      <c r="AG4" s="1598"/>
      <c r="AH4" s="1598"/>
      <c r="AI4" s="1598"/>
      <c r="AJ4" s="1599"/>
    </row>
    <row r="5" spans="1:36" s="2725" customFormat="1" ht="15.75" thickBot="1">
      <c r="A5" s="2716" t="s">
        <v>807</v>
      </c>
      <c r="B5" s="2717" t="s">
        <v>2823</v>
      </c>
      <c r="C5" s="910" t="e">
        <f>ROUND(IF(E2="商业",IF(F16="增加",C6*C7+C16,C6*C7-C16),IF(E2="住宅",IF(F16="增加",C6*C12+C16,C6*C12-C16),IF(F16="增加",C6+C16,C6-C16))),0)</f>
        <v>#DIV/0!</v>
      </c>
      <c r="D5" s="1777">
        <f>ROUND(IF(E2="商业",IF(F16="增加",C6+C16,C6-C16)),0)</f>
        <v>0</v>
      </c>
      <c r="E5" s="2718"/>
      <c r="F5" s="2718"/>
      <c r="G5" s="2719"/>
      <c r="H5" s="2719"/>
      <c r="I5" s="2719"/>
      <c r="J5" s="2720"/>
      <c r="K5" s="2721"/>
      <c r="L5" s="2713" t="s">
        <v>2824</v>
      </c>
      <c r="M5" s="1077">
        <f>SUMPRODUCT((区片价!B76:B109=I2)*(区片价!C3:F3=E2)*(区片价!C76:F109))</f>
        <v>0</v>
      </c>
      <c r="N5" s="1079">
        <f>SUMPRODUCT((因素修正幅度!B76:B109=I2)*(因素修正幅度!C3:F3=E2)*(因素修正幅度!C76:F109))</f>
        <v>0</v>
      </c>
      <c r="O5" s="1359"/>
      <c r="P5" s="1359"/>
      <c r="Q5" s="1359"/>
      <c r="R5" s="1592">
        <v>4</v>
      </c>
      <c r="S5" s="1592">
        <f>ROUND(IF(G3&gt;1,IF(R5&lt;7,SUMPRODUCT((B93:B98=R5)*(C92:N92=G2)*(C93:N98)),SUMIF(C92:N92,G2,C100:N100)),IF(R5&lt;7,SUMPRODUCT((B102:B107=R5)*(C92:N92=G2)*(C102:N107)),SUMIF(C92:N92,G2,C109:N109))),4)</f>
        <v>0</v>
      </c>
      <c r="T5" s="1592" t="e">
        <f t="shared" si="0"/>
        <v>#DIV/0!</v>
      </c>
      <c r="U5" s="1593"/>
      <c r="V5" s="1592" t="e">
        <f t="shared" si="1"/>
        <v>#DIV/0!</v>
      </c>
      <c r="W5" s="1596"/>
      <c r="X5" s="1596"/>
      <c r="Y5" s="1596"/>
      <c r="Z5" s="1596"/>
      <c r="AA5" s="1596"/>
      <c r="AB5" s="1596"/>
      <c r="AC5" s="2722"/>
      <c r="AD5" s="2723"/>
      <c r="AE5" s="2723"/>
      <c r="AF5" s="2723"/>
      <c r="AG5" s="2723"/>
      <c r="AH5" s="2723"/>
      <c r="AI5" s="2723"/>
      <c r="AJ5" s="2724"/>
    </row>
    <row r="6" spans="1:36" ht="15.75" thickBot="1">
      <c r="A6" s="2726" t="s">
        <v>2825</v>
      </c>
      <c r="B6" s="2727" t="s">
        <v>2826</v>
      </c>
      <c r="C6" s="911">
        <f>SUMIF(L1:L12,G2,M1:M12)</f>
        <v>0</v>
      </c>
      <c r="D6" s="2728" t="s">
        <v>2827</v>
      </c>
      <c r="E6" s="2729"/>
      <c r="F6" s="2729"/>
      <c r="G6" s="2730"/>
      <c r="H6" s="2730"/>
      <c r="I6" s="2730"/>
      <c r="J6" s="2731"/>
      <c r="K6" s="1831"/>
      <c r="L6" s="2713" t="s">
        <v>2828</v>
      </c>
      <c r="M6" s="1077">
        <f>SUMPRODUCT((区片价!B110:B157=I2)*(区片价!C3:F3=E2)*(区片价!C110:F157))</f>
        <v>0</v>
      </c>
      <c r="N6" s="1079">
        <f>SUMPRODUCT((因素修正幅度!B110:B157=I2)*(因素修正幅度!C3:F3=E2)*(因素修正幅度!C110:F157))</f>
        <v>0</v>
      </c>
      <c r="O6" s="1359"/>
      <c r="P6" s="1359"/>
      <c r="Q6" s="1359"/>
      <c r="R6" s="1592">
        <v>5</v>
      </c>
      <c r="S6" s="1592">
        <f>ROUND(IF(G3&gt;1,IF(R6&lt;7,SUMPRODUCT((B93:B98=R6)*(C92:N92=G2)*(C93:N98)),SUMIF(C92:N92,G2,C100:N100)),IF(R6&lt;7,SUMPRODUCT((B102:B107=R6)*(C92:N92=G2)*(C102:N107)),SUMIF(C92:N92,G2,C109:N109))),4)</f>
        <v>0</v>
      </c>
      <c r="T6" s="1592" t="e">
        <f t="shared" si="0"/>
        <v>#DIV/0!</v>
      </c>
      <c r="U6" s="1593"/>
      <c r="V6" s="1592" t="e">
        <f t="shared" si="1"/>
        <v>#DIV/0!</v>
      </c>
      <c r="W6" s="1596"/>
      <c r="X6" s="1596"/>
      <c r="Y6" s="1596"/>
      <c r="Z6" s="1596"/>
      <c r="AA6" s="1596"/>
      <c r="AB6" s="1596"/>
      <c r="AC6" s="2722"/>
      <c r="AD6" s="2723"/>
      <c r="AE6" s="2723"/>
      <c r="AF6" s="2723"/>
      <c r="AG6" s="2723"/>
      <c r="AH6" s="2723"/>
      <c r="AI6" s="2723"/>
      <c r="AJ6" s="2724"/>
    </row>
    <row r="7" spans="1:36" ht="24">
      <c r="A7" s="3296" t="str">
        <f>IF(E2="商业",IF(C8="不临58条商业街","",2),"")</f>
        <v/>
      </c>
      <c r="B7" s="2732" t="s">
        <v>2829</v>
      </c>
      <c r="C7" s="912" t="e">
        <f>IF(C8="不临58条商业街",1,ROUND(1+(1.6*E8+1.2*E9+0.8*E10+0.4*E11)*C9,4))</f>
        <v>#DIV/0!</v>
      </c>
      <c r="D7" s="2733" t="s">
        <v>2830</v>
      </c>
      <c r="E7" s="941"/>
      <c r="F7" s="2734"/>
      <c r="G7" s="2735"/>
      <c r="H7" s="2735"/>
      <c r="I7" s="2735"/>
      <c r="J7" s="2736"/>
      <c r="K7" s="1831"/>
      <c r="L7" s="2713" t="s">
        <v>2831</v>
      </c>
      <c r="M7" s="1077">
        <f>SUMPRODUCT((区片价!B158:B205=I2)*(区片价!C3:F3=E2)*(区片价!C158:F205))</f>
        <v>0</v>
      </c>
      <c r="N7" s="1079">
        <f>SUMPRODUCT((因素修正幅度!B158:B205=I2)*(因素修正幅度!C3:F3=E2)*(因素修正幅度!C158:F205))</f>
        <v>0</v>
      </c>
      <c r="O7" s="1359"/>
      <c r="P7" s="1359"/>
      <c r="Q7" s="1359"/>
      <c r="R7" s="1592">
        <v>6</v>
      </c>
      <c r="S7" s="1592">
        <f>ROUND(IF(G3&gt;1,IF(R7&lt;7,SUMPRODUCT((B93:B98=R7)*(C92:N92=G2)*(C93:N98)),SUMIF(C92:N92,G2,C100:N100)),IF(R7&lt;7,SUMPRODUCT((B102:B107=R7)*(C92:N92=G2)*(C102:N107)),SUMIF(C92:N92,G2,C109:N109))),4)</f>
        <v>0</v>
      </c>
      <c r="T7" s="1592" t="e">
        <f t="shared" si="0"/>
        <v>#DIV/0!</v>
      </c>
      <c r="U7" s="1593"/>
      <c r="V7" s="1592" t="e">
        <f t="shared" si="1"/>
        <v>#DIV/0!</v>
      </c>
      <c r="W7" s="1806" t="s">
        <v>2832</v>
      </c>
      <c r="X7" s="1594">
        <f>G2</f>
        <v>0</v>
      </c>
      <c r="Y7" s="1594" t="s">
        <v>2833</v>
      </c>
      <c r="Z7" s="1595">
        <f>G3</f>
        <v>5.7</v>
      </c>
      <c r="AA7" s="1596"/>
      <c r="AB7" s="1596"/>
      <c r="AC7" s="1597"/>
      <c r="AD7" s="1598"/>
      <c r="AE7" s="1598"/>
      <c r="AF7" s="1598"/>
      <c r="AG7" s="1598"/>
      <c r="AH7" s="1598"/>
      <c r="AI7" s="1598"/>
      <c r="AJ7" s="1599"/>
    </row>
    <row r="8" spans="1:36" ht="15">
      <c r="A8" s="3297"/>
      <c r="B8" s="198" t="s">
        <v>2834</v>
      </c>
      <c r="C8" s="2737"/>
      <c r="D8" s="913" t="s">
        <v>139</v>
      </c>
      <c r="E8" s="914" t="e">
        <f>ROUND(C11/E7,4)</f>
        <v>#DIV/0!</v>
      </c>
      <c r="F8" s="2738" t="s">
        <v>2835</v>
      </c>
      <c r="G8" s="2739"/>
      <c r="H8" s="2739"/>
      <c r="I8" s="2739"/>
      <c r="J8" s="2740"/>
      <c r="K8" s="1359"/>
      <c r="L8" s="2713" t="s">
        <v>2836</v>
      </c>
      <c r="M8" s="1077">
        <f>SUMPRODUCT((区片价!B206:B244=I2)*(区片价!C3:F3=E2)*(区片价!C206:F244))</f>
        <v>0</v>
      </c>
      <c r="N8" s="1079">
        <f>SUMPRODUCT((因素修正幅度!B206:B244=I2)*(因素修正幅度!C3:F3=E2)*(因素修正幅度!C206:F244))</f>
        <v>0</v>
      </c>
      <c r="O8" s="1359"/>
      <c r="P8" s="1359"/>
      <c r="Q8" s="1359"/>
      <c r="R8" s="1592">
        <v>7</v>
      </c>
      <c r="S8" s="1593"/>
      <c r="T8" s="1592" t="e">
        <f t="shared" si="0"/>
        <v>#DIV/0!</v>
      </c>
      <c r="U8" s="1593"/>
      <c r="V8" s="1592" t="e">
        <f t="shared" si="1"/>
        <v>#DIV/0!</v>
      </c>
      <c r="W8" s="3307" t="s">
        <v>2837</v>
      </c>
      <c r="X8" s="3308"/>
      <c r="Y8" s="1600" t="s">
        <v>2838</v>
      </c>
      <c r="Z8" s="1600" t="s">
        <v>2839</v>
      </c>
      <c r="AA8" s="1600" t="s">
        <v>2840</v>
      </c>
      <c r="AB8" s="1600" t="s">
        <v>2841</v>
      </c>
      <c r="AC8" s="1600" t="s">
        <v>2842</v>
      </c>
      <c r="AD8" s="1600" t="s">
        <v>2843</v>
      </c>
      <c r="AE8" s="1600" t="s">
        <v>2844</v>
      </c>
      <c r="AF8" s="1600" t="s">
        <v>2845</v>
      </c>
      <c r="AG8" s="1600" t="s">
        <v>2846</v>
      </c>
      <c r="AH8" s="1600" t="s">
        <v>2847</v>
      </c>
      <c r="AI8" s="1600" t="s">
        <v>2848</v>
      </c>
      <c r="AJ8" s="1600" t="s">
        <v>2849</v>
      </c>
    </row>
    <row r="9" spans="1:36" ht="15">
      <c r="A9" s="3297"/>
      <c r="B9" s="198" t="s">
        <v>2850</v>
      </c>
      <c r="C9" s="915">
        <f>SUMIF(修正!C59:C119,C8,修正!E59:E119)</f>
        <v>0</v>
      </c>
      <c r="D9" s="200" t="s">
        <v>140</v>
      </c>
      <c r="E9" s="200" t="e">
        <f>ROUND(C11/E7,4)</f>
        <v>#DIV/0!</v>
      </c>
      <c r="F9" s="2738" t="s">
        <v>2851</v>
      </c>
      <c r="G9" s="2739"/>
      <c r="H9" s="2739"/>
      <c r="I9" s="2739"/>
      <c r="J9" s="2740"/>
      <c r="K9" s="1359"/>
      <c r="L9" s="2713" t="s">
        <v>2852</v>
      </c>
      <c r="M9" s="1077">
        <f>SUMPRODUCT((区片价!B245:B289=I2)*(区片价!C3:F3=E2)*(区片价!C245:F289))</f>
        <v>0</v>
      </c>
      <c r="N9" s="1079">
        <f>SUMPRODUCT((因素修正幅度!B245:B289=I2)*(因素修正幅度!C3:F3=E2)*(因素修正幅度!C245:F289))</f>
        <v>0</v>
      </c>
      <c r="O9" s="1359"/>
      <c r="P9" s="1359"/>
      <c r="Q9" s="1359"/>
      <c r="R9" s="1592">
        <v>8</v>
      </c>
      <c r="S9" s="1593"/>
      <c r="T9" s="1592" t="e">
        <f t="shared" si="0"/>
        <v>#DIV/0!</v>
      </c>
      <c r="U9" s="1593"/>
      <c r="V9" s="1592" t="e">
        <f t="shared" si="1"/>
        <v>#DIV/0!</v>
      </c>
      <c r="W9" s="3309" t="s">
        <v>2853</v>
      </c>
      <c r="X9" s="1601" t="s">
        <v>2854</v>
      </c>
      <c r="Y9" s="1762"/>
      <c r="Z9" s="1602">
        <f>$Y$9</f>
        <v>0</v>
      </c>
      <c r="AA9" s="1602">
        <f t="shared" ref="AA9:AJ9" si="2">$Y$9</f>
        <v>0</v>
      </c>
      <c r="AB9" s="1602">
        <f t="shared" si="2"/>
        <v>0</v>
      </c>
      <c r="AC9" s="1602">
        <f t="shared" si="2"/>
        <v>0</v>
      </c>
      <c r="AD9" s="1602">
        <f t="shared" si="2"/>
        <v>0</v>
      </c>
      <c r="AE9" s="1602">
        <f t="shared" si="2"/>
        <v>0</v>
      </c>
      <c r="AF9" s="1602">
        <f t="shared" si="2"/>
        <v>0</v>
      </c>
      <c r="AG9" s="1602">
        <f t="shared" si="2"/>
        <v>0</v>
      </c>
      <c r="AH9" s="1602">
        <f t="shared" si="2"/>
        <v>0</v>
      </c>
      <c r="AI9" s="1602">
        <f t="shared" si="2"/>
        <v>0</v>
      </c>
      <c r="AJ9" s="1602">
        <f t="shared" si="2"/>
        <v>0</v>
      </c>
    </row>
    <row r="10" spans="1:36" ht="15">
      <c r="A10" s="3297"/>
      <c r="B10" s="198" t="s">
        <v>2855</v>
      </c>
      <c r="C10" s="200">
        <f>SUMIF(修正!C59:C119,C8,修正!F59:F119)</f>
        <v>0</v>
      </c>
      <c r="D10" s="200" t="s">
        <v>141</v>
      </c>
      <c r="E10" s="200" t="e">
        <f>ROUND(C11/E7,4)</f>
        <v>#DIV/0!</v>
      </c>
      <c r="F10" s="2738" t="s">
        <v>2856</v>
      </c>
      <c r="G10" s="2739"/>
      <c r="H10" s="2739"/>
      <c r="I10" s="2739"/>
      <c r="J10" s="2740"/>
      <c r="K10" s="1359"/>
      <c r="L10" s="2713" t="s">
        <v>2857</v>
      </c>
      <c r="M10" s="1077">
        <f>SUMPRODUCT((区片价!B290:B316=I2)*(区片价!C3:F3=E2)*(区片价!C290:F316))</f>
        <v>0</v>
      </c>
      <c r="N10" s="1079">
        <f>SUMPRODUCT((因素修正幅度!B290:B316=I2)*(因素修正幅度!C3:F3=E2)*(因素修正幅度!C290:F316))</f>
        <v>0</v>
      </c>
      <c r="O10" s="1359"/>
      <c r="P10" s="1359"/>
      <c r="Q10" s="1359"/>
      <c r="R10" s="1592">
        <v>9</v>
      </c>
      <c r="S10" s="1593"/>
      <c r="T10" s="1592" t="e">
        <f t="shared" si="0"/>
        <v>#DIV/0!</v>
      </c>
      <c r="U10" s="1593"/>
      <c r="V10" s="1592" t="e">
        <f t="shared" si="1"/>
        <v>#DIV/0!</v>
      </c>
      <c r="W10" s="3309"/>
      <c r="X10" s="1601">
        <v>7</v>
      </c>
      <c r="Y10" s="1603">
        <f>(-0.163*(Y9^2)-0.59*Y9+7617)*(10^(-4))</f>
        <v>0.76170000000000004</v>
      </c>
      <c r="Z10" s="1603">
        <f>(-0.163*(Z9^2)-0.59*Z9+7617)*(10^(-4))</f>
        <v>0.76170000000000004</v>
      </c>
      <c r="AA10" s="1603">
        <f>(-0.161*(AA9^2)-7.509*AA9+6533)*(10^(-4))</f>
        <v>0.65329999999999999</v>
      </c>
      <c r="AB10" s="1603">
        <f>(-0.161*(AB9^2)-7.509*AB9+6533)*(10^(-4))</f>
        <v>0.65329999999999999</v>
      </c>
      <c r="AC10" s="1603">
        <f>(-0.161*(AC9^2)-7.509*AC9+6533)*(10^(-4))</f>
        <v>0.65329999999999999</v>
      </c>
      <c r="AD10" s="1603">
        <f>(-0.161*(AD9^2)-7.509*AD9+6533)*(10^(-4))</f>
        <v>0.65329999999999999</v>
      </c>
      <c r="AE10" s="1603">
        <f>(-0.161*(AE9^2)-7.509*AE9+6533)*(10^(-4))</f>
        <v>0.65329999999999999</v>
      </c>
      <c r="AF10" s="1603">
        <f>(-0.214*(AF9^2)-21.991*AF9+4665)*(10^(-4))</f>
        <v>0.46650000000000003</v>
      </c>
      <c r="AG10" s="1603">
        <f>(-0.214*(AG9^2)-21.991*AG9+4665)*(10^(-4))</f>
        <v>0.46650000000000003</v>
      </c>
      <c r="AH10" s="1603">
        <f>(-0.214*(AH9^2)-21.991*AH9+4665)*(10^(-4))</f>
        <v>0.46650000000000003</v>
      </c>
      <c r="AI10" s="1603">
        <f>(-0.214*(AI9^2)-21.991*AI9+4665)*(10^(-4))</f>
        <v>0.46650000000000003</v>
      </c>
      <c r="AJ10" s="1603">
        <f>(-0.214*(AJ9^2)-21.991*AJ9+4665)*(10^(-4))</f>
        <v>0.46650000000000003</v>
      </c>
    </row>
    <row r="11" spans="1:36" ht="15.75" thickBot="1">
      <c r="A11" s="3297"/>
      <c r="B11" s="2741" t="s">
        <v>2858</v>
      </c>
      <c r="C11" s="916">
        <f>C10/4</f>
        <v>0</v>
      </c>
      <c r="D11" s="916" t="s">
        <v>142</v>
      </c>
      <c r="E11" s="916" t="e">
        <f>ROUND(C11/E7,4)</f>
        <v>#DIV/0!</v>
      </c>
      <c r="F11" s="2742" t="s">
        <v>2859</v>
      </c>
      <c r="G11" s="2743"/>
      <c r="H11" s="2743"/>
      <c r="I11" s="2743"/>
      <c r="J11" s="2744"/>
      <c r="K11" s="1359"/>
      <c r="L11" s="2713" t="s">
        <v>2860</v>
      </c>
      <c r="M11" s="1077">
        <f>SUMPRODUCT((区片价!B317:B337=I2)*(区片价!C3:F3=E2)*(区片价!C317:F337))</f>
        <v>0</v>
      </c>
      <c r="N11" s="1079">
        <f>SUMPRODUCT((因素修正幅度!B317:B337=I2)*(因素修正幅度!C3:F3=E2)*(因素修正幅度!C317:F337))</f>
        <v>0</v>
      </c>
      <c r="O11" s="1359"/>
      <c r="P11" s="1359"/>
      <c r="Q11" s="1359"/>
      <c r="R11" s="1592">
        <v>10</v>
      </c>
      <c r="S11" s="1593"/>
      <c r="T11" s="1592" t="e">
        <f t="shared" si="0"/>
        <v>#DIV/0!</v>
      </c>
      <c r="U11" s="1593"/>
      <c r="V11" s="1592" t="e">
        <f t="shared" si="1"/>
        <v>#DIV/0!</v>
      </c>
      <c r="W11" s="3309" t="s">
        <v>2861</v>
      </c>
      <c r="X11" s="1604" t="s">
        <v>2862</v>
      </c>
      <c r="Y11" s="1605">
        <f>$G$3</f>
        <v>5.7</v>
      </c>
      <c r="Z11" s="1605">
        <f t="shared" ref="Z11:AJ11" si="3">$G$3</f>
        <v>5.7</v>
      </c>
      <c r="AA11" s="1605">
        <f t="shared" si="3"/>
        <v>5.7</v>
      </c>
      <c r="AB11" s="1605">
        <f t="shared" si="3"/>
        <v>5.7</v>
      </c>
      <c r="AC11" s="1605">
        <f t="shared" si="3"/>
        <v>5.7</v>
      </c>
      <c r="AD11" s="1605">
        <f t="shared" si="3"/>
        <v>5.7</v>
      </c>
      <c r="AE11" s="1605">
        <f t="shared" si="3"/>
        <v>5.7</v>
      </c>
      <c r="AF11" s="1605">
        <f t="shared" si="3"/>
        <v>5.7</v>
      </c>
      <c r="AG11" s="1605">
        <f t="shared" si="3"/>
        <v>5.7</v>
      </c>
      <c r="AH11" s="1605">
        <f t="shared" si="3"/>
        <v>5.7</v>
      </c>
      <c r="AI11" s="1605">
        <f t="shared" si="3"/>
        <v>5.7</v>
      </c>
      <c r="AJ11" s="1605">
        <f t="shared" si="3"/>
        <v>5.7</v>
      </c>
    </row>
    <row r="12" spans="1:36" ht="25.5" thickBot="1">
      <c r="A12" s="3296" t="s">
        <v>2863</v>
      </c>
      <c r="B12" s="2745" t="s">
        <v>2864</v>
      </c>
      <c r="C12" s="912">
        <f>ROUND(C15*D15*E15*F15*G15*H15*I15*J15,4)</f>
        <v>1</v>
      </c>
      <c r="D12" s="2746" t="s">
        <v>2865</v>
      </c>
      <c r="E12" s="2747"/>
      <c r="F12" s="2747"/>
      <c r="G12" s="2748"/>
      <c r="H12" s="2748"/>
      <c r="I12" s="2748"/>
      <c r="J12" s="2749"/>
      <c r="K12" s="1359"/>
      <c r="L12" s="2750" t="s">
        <v>2866</v>
      </c>
      <c r="M12" s="1078">
        <f>SUMPRODUCT((区片价!B338:B344=I2)*(区片价!C3:F3=E2)*(区片价!C338:F344))</f>
        <v>0</v>
      </c>
      <c r="N12" s="1079">
        <f>SUMPRODUCT((因素修正幅度!B338:B344=I2)*(因素修正幅度!C3:F3=E2)*(因素修正幅度!C338:F344))</f>
        <v>0</v>
      </c>
      <c r="O12" s="1359"/>
      <c r="P12" s="1359"/>
      <c r="Q12" s="1359"/>
      <c r="R12" s="1592">
        <v>11</v>
      </c>
      <c r="S12" s="1593"/>
      <c r="T12" s="1592" t="e">
        <f t="shared" si="0"/>
        <v>#DIV/0!</v>
      </c>
      <c r="U12" s="1593"/>
      <c r="V12" s="1592" t="e">
        <f t="shared" si="1"/>
        <v>#DIV/0!</v>
      </c>
      <c r="W12" s="3309"/>
      <c r="X12" s="1606" t="s">
        <v>2867</v>
      </c>
      <c r="Y12" s="1602">
        <f t="shared" ref="Y12:AJ12" si="4">Y9</f>
        <v>0</v>
      </c>
      <c r="Z12" s="1602">
        <f t="shared" si="4"/>
        <v>0</v>
      </c>
      <c r="AA12" s="1602">
        <f t="shared" si="4"/>
        <v>0</v>
      </c>
      <c r="AB12" s="1602">
        <f t="shared" si="4"/>
        <v>0</v>
      </c>
      <c r="AC12" s="1602">
        <f t="shared" si="4"/>
        <v>0</v>
      </c>
      <c r="AD12" s="1602">
        <f t="shared" si="4"/>
        <v>0</v>
      </c>
      <c r="AE12" s="1602">
        <f t="shared" si="4"/>
        <v>0</v>
      </c>
      <c r="AF12" s="1602">
        <f t="shared" si="4"/>
        <v>0</v>
      </c>
      <c r="AG12" s="1602">
        <f t="shared" si="4"/>
        <v>0</v>
      </c>
      <c r="AH12" s="1602">
        <f t="shared" si="4"/>
        <v>0</v>
      </c>
      <c r="AI12" s="1602">
        <f t="shared" si="4"/>
        <v>0</v>
      </c>
      <c r="AJ12" s="1602">
        <f t="shared" si="4"/>
        <v>0</v>
      </c>
    </row>
    <row r="13" spans="1:36" ht="24">
      <c r="A13" s="3314"/>
      <c r="B13" s="2751" t="s">
        <v>2868</v>
      </c>
      <c r="C13" s="2752" t="s">
        <v>2869</v>
      </c>
      <c r="D13" s="1798" t="s">
        <v>2870</v>
      </c>
      <c r="E13" s="1798" t="s">
        <v>2871</v>
      </c>
      <c r="F13" s="30" t="s">
        <v>2872</v>
      </c>
      <c r="G13" s="2753" t="s">
        <v>2873</v>
      </c>
      <c r="H13" s="2753" t="s">
        <v>2873</v>
      </c>
      <c r="I13" s="2753" t="s">
        <v>2873</v>
      </c>
      <c r="J13" s="2754" t="s">
        <v>2873</v>
      </c>
      <c r="K13" s="1359"/>
      <c r="L13" s="1359"/>
      <c r="M13" s="1359"/>
      <c r="N13" s="1359"/>
      <c r="O13" s="1359"/>
      <c r="P13" s="1359"/>
      <c r="Q13" s="1359"/>
      <c r="R13" s="1592">
        <v>12</v>
      </c>
      <c r="S13" s="1593"/>
      <c r="T13" s="1592" t="e">
        <f t="shared" si="0"/>
        <v>#DIV/0!</v>
      </c>
      <c r="U13" s="1593"/>
      <c r="V13" s="1592" t="e">
        <f t="shared" si="1"/>
        <v>#DIV/0!</v>
      </c>
      <c r="W13" s="3309"/>
      <c r="X13" s="1606"/>
      <c r="Y13" s="1603">
        <f>(-0.163*(Y12^2)-0.59*Y12+7617)*(10^(-4))/Y11</f>
        <v>0.13363157894736843</v>
      </c>
      <c r="Z13" s="1603">
        <f t="shared" ref="Z13:AJ13" si="5">(-0.163*(Z12^2)-0.59*Z12+7617)*(10^(-4))/Z11</f>
        <v>0.13363157894736843</v>
      </c>
      <c r="AA13" s="1603">
        <f t="shared" si="5"/>
        <v>0.13363157894736843</v>
      </c>
      <c r="AB13" s="1603">
        <f t="shared" si="5"/>
        <v>0.13363157894736843</v>
      </c>
      <c r="AC13" s="1603">
        <f t="shared" si="5"/>
        <v>0.13363157894736843</v>
      </c>
      <c r="AD13" s="1603">
        <f t="shared" si="5"/>
        <v>0.13363157894736843</v>
      </c>
      <c r="AE13" s="1603">
        <f t="shared" si="5"/>
        <v>0.13363157894736843</v>
      </c>
      <c r="AF13" s="1603">
        <f t="shared" si="5"/>
        <v>0.13363157894736843</v>
      </c>
      <c r="AG13" s="1603">
        <f t="shared" si="5"/>
        <v>0.13363157894736843</v>
      </c>
      <c r="AH13" s="1603">
        <f t="shared" si="5"/>
        <v>0.13363157894736843</v>
      </c>
      <c r="AI13" s="1603">
        <f t="shared" si="5"/>
        <v>0.13363157894736843</v>
      </c>
      <c r="AJ13" s="1603">
        <f t="shared" si="5"/>
        <v>0.13363157894736843</v>
      </c>
    </row>
    <row r="14" spans="1:36" ht="15">
      <c r="A14" s="3314"/>
      <c r="B14" s="2755"/>
      <c r="C14" s="2756"/>
      <c r="D14" s="2757"/>
      <c r="E14" s="2757"/>
      <c r="F14" s="2758"/>
      <c r="G14" s="2759" t="s">
        <v>2874</v>
      </c>
      <c r="H14" s="2760"/>
      <c r="I14" s="2761"/>
      <c r="J14" s="2762"/>
      <c r="K14" s="1359"/>
      <c r="L14" s="1359"/>
      <c r="M14" s="1359"/>
      <c r="N14" s="1359"/>
      <c r="O14" s="1359"/>
      <c r="P14" s="1359"/>
      <c r="Q14" s="1359"/>
      <c r="R14" s="1592">
        <v>13</v>
      </c>
      <c r="S14" s="1593"/>
      <c r="T14" s="1592" t="e">
        <f t="shared" si="0"/>
        <v>#DIV/0!</v>
      </c>
      <c r="U14" s="1593"/>
      <c r="V14" s="1592" t="e">
        <f t="shared" si="1"/>
        <v>#DIV/0!</v>
      </c>
      <c r="W14" s="1596"/>
      <c r="X14" s="1596"/>
      <c r="Y14" s="1596"/>
      <c r="Z14" s="1596"/>
      <c r="AA14" s="1596"/>
      <c r="AB14" s="1596"/>
      <c r="AC14" s="1597"/>
      <c r="AD14" s="1598"/>
      <c r="AE14" s="1598"/>
      <c r="AF14" s="1598"/>
      <c r="AG14" s="1598"/>
      <c r="AH14" s="1598"/>
      <c r="AI14" s="1598"/>
      <c r="AJ14" s="1599"/>
    </row>
    <row r="15" spans="1:36" ht="15.75" thickBot="1">
      <c r="A15" s="3315"/>
      <c r="B15" s="2763" t="s">
        <v>2875</v>
      </c>
      <c r="C15" s="229">
        <f>IF(C14="有",1.1,1)</f>
        <v>1</v>
      </c>
      <c r="D15" s="229">
        <f>IF(D14="有",1.1,1)</f>
        <v>1</v>
      </c>
      <c r="E15" s="229">
        <f>IF(E14="有",1.1,1)</f>
        <v>1</v>
      </c>
      <c r="F15" s="229">
        <f>IF(F14="500米范围内",1.2,IF(F14="500-1000米",1.1,1))</f>
        <v>1</v>
      </c>
      <c r="G15" s="942">
        <v>1</v>
      </c>
      <c r="H15" s="942">
        <v>1</v>
      </c>
      <c r="I15" s="942">
        <v>1</v>
      </c>
      <c r="J15" s="943">
        <v>1</v>
      </c>
      <c r="K15" s="1359"/>
      <c r="L15" s="2764" t="s">
        <v>2811</v>
      </c>
      <c r="M15" s="913" t="s">
        <v>2876</v>
      </c>
      <c r="N15" s="913" t="s">
        <v>2877</v>
      </c>
      <c r="O15" s="913" t="s">
        <v>2878</v>
      </c>
      <c r="P15" s="2765" t="s">
        <v>2879</v>
      </c>
      <c r="Q15" s="1359"/>
      <c r="R15" s="1592">
        <v>14</v>
      </c>
      <c r="S15" s="1593"/>
      <c r="T15" s="1592" t="e">
        <f t="shared" si="0"/>
        <v>#DIV/0!</v>
      </c>
      <c r="U15" s="1593"/>
      <c r="V15" s="1592" t="e">
        <f t="shared" si="1"/>
        <v>#DIV/0!</v>
      </c>
      <c r="W15" s="1596"/>
      <c r="X15" s="1596"/>
      <c r="Y15" s="1596"/>
      <c r="Z15" s="1596"/>
      <c r="AA15" s="1596"/>
      <c r="AB15" s="1596"/>
      <c r="AC15" s="1597"/>
      <c r="AD15" s="1598"/>
      <c r="AE15" s="1598"/>
      <c r="AF15" s="1598"/>
      <c r="AG15" s="1598"/>
      <c r="AH15" s="1598"/>
      <c r="AI15" s="1598"/>
      <c r="AJ15" s="1599"/>
    </row>
    <row r="16" spans="1:36" ht="24">
      <c r="A16" s="3296" t="s">
        <v>2880</v>
      </c>
      <c r="B16" s="2732" t="s">
        <v>2881</v>
      </c>
      <c r="C16" s="1791" t="e">
        <f>ROUND(SUM(G17:J17)/C17,0)</f>
        <v>#DIV/0!</v>
      </c>
      <c r="D16" s="2766" t="s">
        <v>2882</v>
      </c>
      <c r="E16" s="2767"/>
      <c r="F16" s="2768"/>
      <c r="G16" s="2769"/>
      <c r="H16" s="2769"/>
      <c r="I16" s="2769"/>
      <c r="J16" s="2770"/>
      <c r="K16" s="1359"/>
      <c r="L16" s="2771" t="s">
        <v>2883</v>
      </c>
      <c r="M16" s="915">
        <v>0.25</v>
      </c>
      <c r="N16" s="915">
        <v>0.2</v>
      </c>
      <c r="O16" s="915">
        <v>0.15</v>
      </c>
      <c r="P16" s="1358">
        <v>0.1</v>
      </c>
      <c r="Q16" s="1359"/>
      <c r="R16" s="1592">
        <v>15</v>
      </c>
      <c r="S16" s="1593"/>
      <c r="T16" s="1592" t="e">
        <f t="shared" si="0"/>
        <v>#DIV/0!</v>
      </c>
      <c r="U16" s="1593"/>
      <c r="V16" s="1592" t="e">
        <f t="shared" si="1"/>
        <v>#DIV/0!</v>
      </c>
      <c r="W16" s="1596"/>
      <c r="X16" s="1596"/>
      <c r="Y16" s="1596"/>
      <c r="Z16" s="1596"/>
      <c r="AA16" s="1596"/>
      <c r="AB16" s="1596"/>
      <c r="AC16" s="1597"/>
      <c r="AD16" s="1598"/>
      <c r="AE16" s="1598"/>
      <c r="AF16" s="1598"/>
      <c r="AG16" s="1598"/>
      <c r="AH16" s="1598"/>
      <c r="AI16" s="1598"/>
      <c r="AJ16" s="1599"/>
    </row>
    <row r="17" spans="1:37" ht="13.5" thickBot="1">
      <c r="A17" s="3297"/>
      <c r="B17" s="2772" t="s">
        <v>2884</v>
      </c>
      <c r="C17" s="917">
        <f>SUMPRODUCT((修正!A2:A5=E2)*(修正!B1:M1=G2)*(修正!B2:M5))</f>
        <v>0</v>
      </c>
      <c r="D17" s="2773" t="s">
        <v>2885</v>
      </c>
      <c r="E17" s="916" t="str">
        <f>IF(OR(G2="八级",G2="九级",G2="十级",G2="十一级",G2="十二级"),"五通一平","七通一平")</f>
        <v>七通一平</v>
      </c>
      <c r="F17" s="917" t="s">
        <v>2886</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59"/>
      <c r="L17" s="2774" t="s">
        <v>2887</v>
      </c>
      <c r="M17" s="211">
        <f ca="1">ROUND($E$20*(1+M16),3)</f>
        <v>5.3999999999999999E-2</v>
      </c>
      <c r="N17" s="211">
        <f ca="1">ROUND($E$20*(1+N16),3)</f>
        <v>5.1999999999999998E-2</v>
      </c>
      <c r="O17" s="211">
        <f ca="1">ROUND($E$20*(1+O16),3)</f>
        <v>0.05</v>
      </c>
      <c r="P17" s="1362">
        <f ca="1">ROUND($E$20*(1+P16),3)</f>
        <v>4.8000000000000001E-2</v>
      </c>
      <c r="Q17" s="1359"/>
      <c r="R17" s="1359"/>
      <c r="S17" s="1359"/>
      <c r="T17" s="1359"/>
      <c r="U17" s="1359"/>
      <c r="V17" s="1359"/>
      <c r="W17" s="1359"/>
      <c r="X17" s="1359"/>
      <c r="Y17" s="1359"/>
      <c r="Z17" s="1360"/>
      <c r="AE17" s="2775"/>
      <c r="AF17" s="2775"/>
      <c r="AG17" s="2707"/>
      <c r="AH17" s="2707"/>
      <c r="AI17" s="2707"/>
      <c r="AJ17" s="2707"/>
    </row>
    <row r="18" spans="1:37" s="2725" customFormat="1" ht="15.75" thickBot="1">
      <c r="A18" s="2776" t="s">
        <v>808</v>
      </c>
      <c r="B18" s="2777" t="s">
        <v>2888</v>
      </c>
      <c r="C18" s="919">
        <f>SUMIF(修正!C18:C39,E3,修正!E18:E39)</f>
        <v>0</v>
      </c>
      <c r="D18" s="2778"/>
      <c r="E18" s="2779"/>
      <c r="F18" s="2780"/>
      <c r="G18" s="2781"/>
      <c r="H18" s="2781"/>
      <c r="I18" s="2781"/>
      <c r="J18" s="2782"/>
      <c r="K18" s="1366"/>
      <c r="O18" s="1364"/>
      <c r="P18" s="1364"/>
      <c r="Q18" s="1365"/>
      <c r="R18" s="1365"/>
      <c r="S18" s="1365"/>
      <c r="T18" s="1360"/>
      <c r="U18" s="1360"/>
      <c r="V18" s="1360"/>
      <c r="W18" s="1359"/>
      <c r="X18" s="1359"/>
      <c r="Y18" s="1359"/>
      <c r="Z18" s="1366"/>
      <c r="AA18" s="1367"/>
      <c r="AB18" s="1367"/>
      <c r="AC18" s="1367"/>
      <c r="AD18" s="1367"/>
      <c r="AE18" s="1361"/>
      <c r="AF18" s="1361"/>
      <c r="AG18" s="2783"/>
      <c r="AH18" s="2783"/>
      <c r="AI18" s="2783"/>
    </row>
    <row r="19" spans="1:37" s="2725" customFormat="1" ht="27.75" thickBot="1">
      <c r="A19" s="2776" t="s">
        <v>809</v>
      </c>
      <c r="B19" s="2777" t="s">
        <v>2889</v>
      </c>
      <c r="C19" s="920" t="e">
        <f>ROUND(IF(H19="按公示增长率计算",SUMPRODUCT((地价!A3:A20=YEAR(G19)&amp;"-"&amp;ROUNDUP(MONTH(G19)/3,0))*(地价!X2:AB2=E2)*(地价!X3:AB20)),IF(H19="地价指数",M20/M19,(1+I19)^O19)),4)</f>
        <v>#DIV/0!</v>
      </c>
      <c r="D19" s="2784" t="s">
        <v>2890</v>
      </c>
      <c r="E19" s="921">
        <v>41640</v>
      </c>
      <c r="F19" s="2784" t="s">
        <v>2891</v>
      </c>
      <c r="G19" s="922">
        <f>'数据-取费表'!B2</f>
        <v>43028</v>
      </c>
      <c r="H19" s="2785" t="s">
        <v>2892</v>
      </c>
      <c r="I19" s="923" t="str">
        <f>IF(H19="季度增幅（自定义）",SUMIF(N21:N24,E2,O21:O24),"")</f>
        <v/>
      </c>
      <c r="J19" s="2782"/>
      <c r="K19" s="1366"/>
      <c r="L19" s="2786" t="s">
        <v>2893</v>
      </c>
      <c r="M19" s="1724">
        <f>ROUND(SUMIF(地价!B2:F2,E2,地价!B20:F20),0)</f>
        <v>0</v>
      </c>
      <c r="N19" s="2787" t="s">
        <v>2894</v>
      </c>
      <c r="O19" s="924">
        <f>ROUNDDOWN(DATEDIF(E19,G19,"M")/3,0)</f>
        <v>15</v>
      </c>
      <c r="P19" s="1363"/>
      <c r="Q19" s="1365"/>
      <c r="R19" s="1365"/>
      <c r="S19" s="1365"/>
      <c r="T19" s="1360"/>
      <c r="U19" s="1360"/>
      <c r="V19" s="1360"/>
      <c r="W19" s="1359"/>
      <c r="X19" s="1359"/>
      <c r="Y19" s="1359"/>
      <c r="Z19" s="1366"/>
      <c r="AA19" s="1367"/>
      <c r="AB19" s="1367"/>
      <c r="AC19" s="1367"/>
      <c r="AD19" s="1367"/>
      <c r="AE19" s="1367"/>
      <c r="AF19" s="2788"/>
      <c r="AG19" s="2789"/>
      <c r="AH19" s="2783"/>
      <c r="AI19" s="2790"/>
      <c r="AJ19" s="2790"/>
      <c r="AK19" s="2790"/>
    </row>
    <row r="20" spans="1:37" s="2725" customFormat="1" ht="27.75" thickBot="1">
      <c r="A20" s="2791" t="s">
        <v>810</v>
      </c>
      <c r="B20" s="2792" t="s">
        <v>2895</v>
      </c>
      <c r="C20" s="925" t="e">
        <f>ROUND(POWER(1+G20,J20-I20)*(POWER(1+G20,I20)-1)/(POWER(1+G20,J20)-1),4)</f>
        <v>#DIV/0!</v>
      </c>
      <c r="D20" s="2793" t="s">
        <v>2896</v>
      </c>
      <c r="E20" s="1758">
        <f ca="1">存贷款利率!D4/100</f>
        <v>4.3499999999999997E-2</v>
      </c>
      <c r="F20" s="2793" t="s">
        <v>2887</v>
      </c>
      <c r="G20" s="930">
        <f>SUMIF(M15:P15,E2,M17:P17)</f>
        <v>0</v>
      </c>
      <c r="H20" s="2793" t="s">
        <v>2897</v>
      </c>
      <c r="I20" s="931" t="e">
        <f>SUMIF('数据-取费表'!C6:C15,E2,'数据-取费表'!F6:F15)/COUNTIF('数据-取费表'!C6:C15,E2)</f>
        <v>#DIV/0!</v>
      </c>
      <c r="J20" s="932">
        <f>IF(E2="住宅",70,IF(E2="商业",40,50))</f>
        <v>50</v>
      </c>
      <c r="K20" s="1366"/>
      <c r="L20" s="2794" t="s">
        <v>2898</v>
      </c>
      <c r="M20" s="1725">
        <f>ROUND(SUMPRODUCT((地价!A5:A20=YEAR(G19)&amp;"-"&amp;ROUNDUP(MONTH(G19)/3,0))*(地价!B2:F2=E2)*(地价!B5:F20)),0)</f>
        <v>0</v>
      </c>
      <c r="N20" s="2795" t="s">
        <v>2899</v>
      </c>
      <c r="O20" s="2796" t="s">
        <v>2900</v>
      </c>
      <c r="P20" s="2797" t="s">
        <v>2901</v>
      </c>
      <c r="R20" s="1365"/>
      <c r="S20" s="1365"/>
      <c r="T20" s="1360"/>
      <c r="U20" s="1360"/>
      <c r="V20" s="1360"/>
      <c r="W20" s="1359"/>
      <c r="X20" s="1359"/>
      <c r="Y20" s="1359"/>
      <c r="Z20" s="1366"/>
      <c r="AA20" s="1367"/>
      <c r="AB20" s="1367"/>
      <c r="AC20" s="1367"/>
      <c r="AD20" s="1367"/>
      <c r="AE20" s="1367"/>
      <c r="AF20" s="1367"/>
    </row>
    <row r="21" spans="1:37" s="2725" customFormat="1" ht="15">
      <c r="A21" s="2798" t="s">
        <v>811</v>
      </c>
      <c r="B21" s="2799" t="s">
        <v>2902</v>
      </c>
      <c r="C21" s="933">
        <f>IF(B21="容积率修正",IF(G3&lt;=10,D22,J22),C23)</f>
        <v>0</v>
      </c>
      <c r="D21" s="2800"/>
      <c r="E21" s="2800"/>
      <c r="F21" s="2800"/>
      <c r="G21" s="2800"/>
      <c r="H21" s="2800"/>
      <c r="I21" s="2800"/>
      <c r="J21" s="2801"/>
      <c r="K21" s="1366"/>
      <c r="N21" s="2802" t="s">
        <v>2903</v>
      </c>
      <c r="O21" s="1551"/>
      <c r="P21" s="1552">
        <f>SUMPRODUCT((地价!A3:A20=YEAR(G19)&amp;"-"&amp;ROUNDUP(MONTH(G19)/3,0))*(地价!AD2:AH2=N21)*(地价!AD3:AH20))</f>
        <v>1.6400000000000001E-2</v>
      </c>
      <c r="R21" s="1365"/>
      <c r="S21" s="1365"/>
      <c r="T21" s="1360"/>
      <c r="U21" s="1360"/>
      <c r="V21" s="1360"/>
      <c r="W21" s="1359"/>
      <c r="X21" s="1359"/>
      <c r="Y21" s="1359"/>
      <c r="Z21" s="1366"/>
      <c r="AA21" s="1367"/>
      <c r="AB21" s="1367"/>
      <c r="AC21" s="1367"/>
      <c r="AD21" s="1367"/>
      <c r="AE21" s="1367"/>
      <c r="AF21" s="1367"/>
    </row>
    <row r="22" spans="1:37" s="2725" customFormat="1" ht="14.25">
      <c r="A22" s="2651" t="s">
        <v>2904</v>
      </c>
      <c r="B22" s="2803" t="s">
        <v>2905</v>
      </c>
      <c r="C22" s="1800" t="s">
        <v>2906</v>
      </c>
      <c r="D22" s="1800" t="b">
        <f>IF(E22=G22,F22,IF(G3&lt;=10,ROUND(F22+(H22-F22)*(G3-E22)/(G22-E22),4),"——"))</f>
        <v>0</v>
      </c>
      <c r="E22" s="909">
        <f>ROUNDDOWN(G3,1)</f>
        <v>5.7</v>
      </c>
      <c r="F22" s="18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5.7</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0" t="s">
        <v>155</v>
      </c>
      <c r="J22" s="934" t="str">
        <f>IF(G3&gt;10,D113,"——")</f>
        <v>——</v>
      </c>
      <c r="K22" s="1366"/>
      <c r="N22" s="2802" t="s">
        <v>2907</v>
      </c>
      <c r="O22" s="1551"/>
      <c r="P22" s="1552">
        <f>SUMPRODUCT((地价!A3:A20=YEAR(G19)&amp;"-"&amp;ROUNDUP(MONTH(G19)/3,0))*(地价!AD2:AH2=N22)*(地价!AD3:AH20))</f>
        <v>1.6400000000000001E-2</v>
      </c>
      <c r="R22" s="1365"/>
      <c r="S22" s="1365"/>
      <c r="T22" s="1360"/>
      <c r="U22" s="1360"/>
      <c r="V22" s="1360"/>
      <c r="W22" s="1359"/>
      <c r="X22" s="1359"/>
      <c r="Y22" s="1359"/>
      <c r="Z22" s="1366"/>
      <c r="AA22" s="1367"/>
      <c r="AB22" s="1367"/>
      <c r="AC22" s="1367"/>
      <c r="AD22" s="1367"/>
      <c r="AE22" s="1367"/>
      <c r="AF22" s="1367"/>
    </row>
    <row r="23" spans="1:37" ht="27.75" thickBot="1">
      <c r="A23" s="2651" t="s">
        <v>2908</v>
      </c>
      <c r="B23" s="2804" t="s">
        <v>2909</v>
      </c>
      <c r="C23" s="1009">
        <f>ROUND(IF(G3&gt;1,IF(I3&lt;7,SUMPRODUCT((B93:B98=I3)*(C92:N92=G2)*(C93:N98)),SUMIF(C92:N92,G2,C100:N100)),IF(I3&lt;7,SUMPRODUCT((B102:B107=I3)*(C92:N92=G2)*(C102:N107)),SUMIF(C92:N92,G2,C109:N109))),4)</f>
        <v>0</v>
      </c>
      <c r="D23" s="2760"/>
      <c r="E23" s="2760"/>
      <c r="F23" s="2805"/>
      <c r="G23" s="2806"/>
      <c r="H23" s="2807"/>
      <c r="I23" s="2808"/>
      <c r="J23" s="2809"/>
      <c r="K23" s="1359"/>
      <c r="N23" s="2802" t="s">
        <v>2910</v>
      </c>
      <c r="O23" s="1551"/>
      <c r="P23" s="1552">
        <f>SUMPRODUCT((地价!A3:A20=YEAR(G19)&amp;"-"&amp;ROUNDUP(MONTH(G19)/3,0))*(地价!AD2:AH2=N23)*(地价!AD3:AH20))</f>
        <v>2.7799999999999998E-2</v>
      </c>
      <c r="R23" s="1365"/>
      <c r="S23" s="1365"/>
      <c r="T23" s="1360"/>
      <c r="U23" s="1360"/>
      <c r="V23" s="1360"/>
      <c r="W23" s="1359"/>
      <c r="X23" s="1359"/>
      <c r="Y23" s="1359"/>
      <c r="Z23" s="1366"/>
      <c r="AA23" s="1367"/>
      <c r="AB23" s="1367"/>
      <c r="AC23" s="1367"/>
      <c r="AD23" s="1367"/>
      <c r="AK23" s="2783"/>
    </row>
    <row r="24" spans="1:37" s="2725" customFormat="1" ht="15.75" thickBot="1">
      <c r="A24" s="2791" t="s">
        <v>812</v>
      </c>
      <c r="B24" s="2777" t="s">
        <v>2911</v>
      </c>
      <c r="C24" s="920">
        <f>SUMIF(A45:A88,E2,B45:B88)</f>
        <v>0</v>
      </c>
      <c r="D24" s="2780"/>
      <c r="E24" s="2810"/>
      <c r="F24" s="2810"/>
      <c r="G24" s="2810"/>
      <c r="H24" s="2810"/>
      <c r="I24" s="2810"/>
      <c r="J24" s="2811"/>
      <c r="K24" s="1366"/>
      <c r="N24" s="2812" t="s">
        <v>2912</v>
      </c>
      <c r="O24" s="1553"/>
      <c r="P24" s="1554">
        <f>SUMPRODUCT((地价!A3:A20=YEAR(G19)&amp;"-"&amp;ROUNDUP(MONTH(G19)/3,0))*(地价!AD2:AH2=N24)*(地价!AD3:AH20))</f>
        <v>1.3899999999999999E-2</v>
      </c>
      <c r="R24" s="1365"/>
      <c r="S24" s="1365"/>
      <c r="T24" s="1360"/>
      <c r="U24" s="1360"/>
      <c r="V24" s="1360"/>
      <c r="W24" s="1359"/>
      <c r="X24" s="1359"/>
      <c r="Y24" s="1359"/>
      <c r="Z24" s="1366"/>
      <c r="AA24" s="1367"/>
      <c r="AB24" s="1367"/>
      <c r="AC24" s="1367"/>
      <c r="AD24" s="1367"/>
      <c r="AE24" s="1367"/>
      <c r="AF24" s="1367"/>
    </row>
    <row r="25" spans="1:37" ht="15.75" thickBot="1">
      <c r="A25" s="2791" t="s">
        <v>813</v>
      </c>
      <c r="B25" s="2813" t="s">
        <v>2913</v>
      </c>
      <c r="C25" s="926"/>
      <c r="D25" s="2735"/>
      <c r="E25" s="2735"/>
      <c r="F25" s="2814"/>
      <c r="G25" s="2735"/>
      <c r="H25" s="2735"/>
      <c r="I25" s="2735"/>
      <c r="J25" s="2736"/>
      <c r="K25" s="1359"/>
      <c r="N25" s="2815" t="s">
        <v>2914</v>
      </c>
      <c r="O25" s="1555"/>
      <c r="P25" s="1554">
        <f>SUMPRODUCT((地价!A3:A20=YEAR(G19)&amp;"-"&amp;ROUNDUP(MONTH(G19)/3,0))*(地价!AD2:AH2=N25)*(地价!AD3:AH20))</f>
        <v>2.4899999999999999E-2</v>
      </c>
      <c r="R25" s="1365"/>
      <c r="S25" s="1365"/>
      <c r="T25" s="1360"/>
      <c r="U25" s="1360"/>
      <c r="V25" s="1360"/>
      <c r="W25" s="1359"/>
      <c r="X25" s="1359"/>
      <c r="Y25" s="1359"/>
      <c r="Z25" s="1366"/>
      <c r="AA25" s="1367"/>
      <c r="AB25" s="1367"/>
      <c r="AC25" s="1367"/>
      <c r="AD25" s="1367"/>
    </row>
    <row r="26" spans="1:37" ht="15">
      <c r="A26" s="2816"/>
      <c r="B26" s="2803" t="s">
        <v>2915</v>
      </c>
      <c r="C26" s="206" t="e">
        <f>E29+SUM(E33:E39)</f>
        <v>#DIV/0!</v>
      </c>
      <c r="D26" s="2817"/>
      <c r="E26" s="2760"/>
      <c r="F26" s="2818"/>
      <c r="G26" s="2760"/>
      <c r="H26" s="2760"/>
      <c r="I26" s="2760"/>
      <c r="J26" s="2819"/>
      <c r="K26" s="1359"/>
      <c r="R26" s="1365"/>
      <c r="S26" s="1365"/>
      <c r="T26" s="1360"/>
      <c r="U26" s="1360"/>
      <c r="V26" s="1360"/>
      <c r="W26" s="1359"/>
      <c r="X26" s="1359"/>
      <c r="Y26" s="1359"/>
      <c r="Z26" s="1366"/>
      <c r="AA26" s="1367"/>
      <c r="AB26" s="1367"/>
      <c r="AC26" s="1367"/>
      <c r="AD26" s="1367"/>
    </row>
    <row r="27" spans="1:37" ht="15.75" thickBot="1">
      <c r="A27" s="2816"/>
      <c r="B27" s="2820" t="s">
        <v>2916</v>
      </c>
      <c r="C27" s="927" t="e">
        <f>E30+SUM(I33:I39)</f>
        <v>#DIV/0!</v>
      </c>
      <c r="D27" s="2821"/>
      <c r="E27" s="2822"/>
      <c r="F27" s="2823"/>
      <c r="G27" s="2822"/>
      <c r="H27" s="2822"/>
      <c r="I27" s="2822"/>
      <c r="J27" s="2824"/>
      <c r="K27" s="1359"/>
      <c r="L27" s="1359"/>
      <c r="M27" s="1359"/>
      <c r="N27" s="1359"/>
      <c r="O27" s="1364"/>
      <c r="P27" s="1364"/>
      <c r="Q27" s="1365"/>
      <c r="R27" s="1365"/>
      <c r="S27" s="1365"/>
      <c r="T27" s="1360"/>
      <c r="U27" s="1360"/>
      <c r="V27" s="1360"/>
      <c r="W27" s="1359"/>
      <c r="X27" s="1359"/>
      <c r="Y27" s="1359"/>
      <c r="Z27" s="1366"/>
      <c r="AA27" s="1367"/>
      <c r="AB27" s="1367"/>
      <c r="AC27" s="1367"/>
      <c r="AD27" s="1367"/>
    </row>
    <row r="28" spans="1:37" ht="15">
      <c r="A28" s="2825"/>
      <c r="B28" s="2826" t="s">
        <v>2917</v>
      </c>
      <c r="C28" s="2827" t="s">
        <v>2918</v>
      </c>
      <c r="D28" s="2827" t="s">
        <v>2919</v>
      </c>
      <c r="E28" s="2828" t="s">
        <v>2920</v>
      </c>
      <c r="F28" s="2829"/>
      <c r="G28" s="2748"/>
      <c r="H28" s="2748"/>
      <c r="I28" s="2748"/>
      <c r="J28" s="2749"/>
      <c r="K28" s="1359"/>
      <c r="L28" s="1359"/>
      <c r="M28" s="1359"/>
      <c r="N28" s="1359"/>
      <c r="O28" s="1364"/>
      <c r="P28" s="1364"/>
      <c r="Q28" s="1365"/>
      <c r="R28" s="1365"/>
      <c r="S28" s="1365"/>
      <c r="T28" s="1360"/>
      <c r="U28" s="1360"/>
      <c r="V28" s="1360"/>
      <c r="W28" s="1359"/>
      <c r="X28" s="1359"/>
      <c r="Y28" s="1359"/>
      <c r="Z28" s="1366"/>
      <c r="AA28" s="1367"/>
      <c r="AB28" s="1367"/>
      <c r="AC28" s="1367"/>
      <c r="AD28" s="1367"/>
    </row>
    <row r="29" spans="1:37" ht="22.5" customHeight="1">
      <c r="A29" s="2830"/>
      <c r="B29" s="2831" t="s">
        <v>2921</v>
      </c>
      <c r="C29" s="206" t="e">
        <f>ROUND(C5*C18*C19*C20*C21*C24,0)</f>
        <v>#DIV/0!</v>
      </c>
      <c r="D29" s="2832"/>
      <c r="E29" s="938" t="e">
        <f>ROUND(C29*D29/10000,0)</f>
        <v>#DIV/0!</v>
      </c>
      <c r="F29" s="2833" t="s">
        <v>2922</v>
      </c>
      <c r="G29" s="2834"/>
      <c r="H29" s="2834"/>
      <c r="I29" s="2834"/>
      <c r="J29" s="2835"/>
      <c r="K29" s="1359"/>
      <c r="L29" s="1359"/>
      <c r="M29" s="1359"/>
      <c r="N29" s="1359"/>
      <c r="O29" s="1364"/>
      <c r="P29" s="1364"/>
      <c r="Q29" s="1365"/>
      <c r="R29" s="1365"/>
      <c r="S29" s="1365"/>
      <c r="T29" s="1360"/>
      <c r="U29" s="1360"/>
      <c r="V29" s="1360"/>
      <c r="W29" s="1359"/>
      <c r="X29" s="1359"/>
      <c r="Y29" s="1359"/>
      <c r="Z29" s="1366"/>
      <c r="AA29" s="1367"/>
      <c r="AB29" s="1367"/>
      <c r="AC29" s="1367"/>
      <c r="AD29" s="1367"/>
      <c r="AE29" s="2775"/>
      <c r="AF29" s="2775"/>
      <c r="AG29" s="2707"/>
      <c r="AH29" s="2707"/>
      <c r="AI29" s="2707"/>
      <c r="AJ29" s="2707"/>
    </row>
    <row r="30" spans="1:37" ht="25.5" thickBot="1">
      <c r="A30" s="2836"/>
      <c r="B30" s="2837" t="s">
        <v>2923</v>
      </c>
      <c r="C30" s="229" t="e">
        <f>ROUND(IF(E2="工业",C29*M39,C29*M38),0)</f>
        <v>#DIV/0!</v>
      </c>
      <c r="D30" s="2838"/>
      <c r="E30" s="938" t="e">
        <f>ROUND(C30*D30/10000,0)</f>
        <v>#DIV/0!</v>
      </c>
      <c r="F30" s="2839" t="s">
        <v>2924</v>
      </c>
      <c r="G30" s="2840"/>
      <c r="H30" s="2840"/>
      <c r="I30" s="2840"/>
      <c r="J30" s="2841"/>
      <c r="K30" s="1359"/>
      <c r="L30" s="1359"/>
      <c r="M30" s="1359"/>
      <c r="N30" s="1359"/>
      <c r="O30" s="1364"/>
      <c r="P30" s="1364"/>
      <c r="Q30" s="1365"/>
      <c r="R30" s="1365"/>
      <c r="S30" s="1365"/>
      <c r="T30" s="1360"/>
      <c r="U30" s="1360"/>
      <c r="V30" s="1360"/>
      <c r="W30" s="1359"/>
      <c r="X30" s="1359"/>
      <c r="Y30" s="1359"/>
      <c r="Z30" s="1366"/>
      <c r="AA30" s="1367"/>
      <c r="AB30" s="1367"/>
      <c r="AC30" s="1367"/>
      <c r="AD30" s="1367"/>
      <c r="AE30" s="2775"/>
      <c r="AF30" s="2775"/>
      <c r="AG30" s="2707"/>
      <c r="AH30" s="2707"/>
      <c r="AI30" s="2707"/>
      <c r="AJ30" s="2707"/>
    </row>
    <row r="31" spans="1:37" ht="14.25">
      <c r="A31" s="2842"/>
      <c r="B31" s="2843" t="s">
        <v>2925</v>
      </c>
      <c r="C31" s="2844" t="s">
        <v>2926</v>
      </c>
      <c r="D31" s="2748"/>
      <c r="E31" s="2844"/>
      <c r="F31" s="2844"/>
      <c r="G31" s="2746" t="s">
        <v>2927</v>
      </c>
      <c r="H31" s="2748"/>
      <c r="I31" s="2845"/>
      <c r="J31" s="2749"/>
      <c r="K31" s="1359"/>
      <c r="L31" s="1359"/>
      <c r="M31" s="1359"/>
      <c r="N31" s="1359"/>
      <c r="O31" s="1364"/>
      <c r="P31" s="1364"/>
      <c r="Q31" s="1365"/>
      <c r="R31" s="1365"/>
      <c r="S31" s="1365"/>
      <c r="T31" s="1360"/>
      <c r="U31" s="1360"/>
      <c r="V31" s="1360"/>
      <c r="W31" s="1359"/>
      <c r="X31" s="1359"/>
      <c r="Y31" s="1359"/>
      <c r="Z31" s="1366"/>
      <c r="AA31" s="1367"/>
      <c r="AB31" s="1367"/>
      <c r="AC31" s="1367"/>
      <c r="AD31" s="1367"/>
      <c r="AE31" s="2775"/>
      <c r="AF31" s="2775"/>
      <c r="AG31" s="2707"/>
      <c r="AH31" s="2707"/>
      <c r="AI31" s="2707"/>
      <c r="AJ31" s="2707"/>
    </row>
    <row r="32" spans="1:37" ht="24">
      <c r="A32" s="2830"/>
      <c r="B32" s="2846"/>
      <c r="C32" s="497" t="s">
        <v>2918</v>
      </c>
      <c r="D32" s="494" t="s">
        <v>2919</v>
      </c>
      <c r="E32" s="494" t="s">
        <v>2920</v>
      </c>
      <c r="F32" s="384" t="s">
        <v>2928</v>
      </c>
      <c r="G32" s="2847" t="s">
        <v>2918</v>
      </c>
      <c r="H32" s="2847" t="s">
        <v>2919</v>
      </c>
      <c r="I32" s="2847" t="s">
        <v>2920</v>
      </c>
      <c r="J32" s="287"/>
      <c r="K32" s="1359"/>
      <c r="L32" s="1359"/>
      <c r="M32" s="1359"/>
      <c r="N32" s="1359"/>
      <c r="O32" s="1364"/>
      <c r="P32" s="1364"/>
      <c r="Q32" s="1365"/>
      <c r="R32" s="1365"/>
      <c r="S32" s="1365"/>
      <c r="T32" s="1360"/>
      <c r="U32" s="1360"/>
      <c r="V32" s="1360"/>
      <c r="W32" s="1359"/>
      <c r="X32" s="1359"/>
      <c r="Y32" s="1359"/>
      <c r="Z32" s="1366"/>
      <c r="AA32" s="1367"/>
      <c r="AB32" s="1367"/>
      <c r="AC32" s="1367"/>
      <c r="AD32" s="1367"/>
      <c r="AE32" s="2775"/>
      <c r="AF32" s="2775"/>
      <c r="AG32" s="2707"/>
      <c r="AH32" s="2707"/>
      <c r="AI32" s="2707"/>
      <c r="AJ32" s="2707"/>
    </row>
    <row r="33" spans="1:37" ht="36" customHeight="1">
      <c r="A33" s="3304" t="s">
        <v>2929</v>
      </c>
      <c r="B33" s="2848" t="s">
        <v>2930</v>
      </c>
      <c r="C33" s="206" t="e">
        <f>ROUND(D5*C19*C20*C24*F33,0)</f>
        <v>#DIV/0!</v>
      </c>
      <c r="D33" s="2832"/>
      <c r="E33" s="200" t="e">
        <f>ROUND(C33*D33/10000,0)</f>
        <v>#DIV/0!</v>
      </c>
      <c r="F33" s="200">
        <f>SUMIF(修正!A45:A56,G2,修正!B45:B56)</f>
        <v>0</v>
      </c>
      <c r="G33" s="200" t="e">
        <f t="shared" ref="G33:G39" si="6">ROUND(IF(E2="工业",C33*$M$39,C33*$M$38),0)</f>
        <v>#DIV/0!</v>
      </c>
      <c r="H33" s="200">
        <f>D33</f>
        <v>0</v>
      </c>
      <c r="I33" s="200" t="e">
        <f>ROUND(G33*H33/10000,0)</f>
        <v>#DIV/0!</v>
      </c>
      <c r="J33" s="2849"/>
      <c r="K33" s="1359"/>
      <c r="L33" s="1359"/>
      <c r="M33" s="1359"/>
      <c r="N33" s="1359"/>
      <c r="O33" s="1364"/>
      <c r="P33" s="1364"/>
      <c r="Q33" s="1365"/>
      <c r="R33" s="1365"/>
      <c r="S33" s="1365"/>
      <c r="T33" s="1360"/>
      <c r="U33" s="1360"/>
      <c r="V33" s="1360"/>
      <c r="W33" s="1359"/>
      <c r="X33" s="1359"/>
      <c r="Y33" s="1359"/>
      <c r="Z33" s="1366"/>
      <c r="AA33" s="1367"/>
      <c r="AB33" s="1367"/>
      <c r="AC33" s="1367"/>
      <c r="AD33" s="1367"/>
    </row>
    <row r="34" spans="1:37" ht="14.25">
      <c r="A34" s="3305"/>
      <c r="B34" s="2752" t="s">
        <v>2931</v>
      </c>
      <c r="C34" s="206" t="e">
        <f>ROUND(D5*C19*C20*C24*F34,0)</f>
        <v>#DIV/0!</v>
      </c>
      <c r="D34" s="283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49"/>
      <c r="K34" s="1359"/>
      <c r="L34" s="1359"/>
      <c r="M34" s="1359"/>
      <c r="N34" s="1359"/>
      <c r="O34" s="1364"/>
      <c r="P34" s="1364"/>
      <c r="Q34" s="1365"/>
      <c r="R34" s="1365"/>
      <c r="S34" s="1365"/>
      <c r="T34" s="1360"/>
      <c r="U34" s="1360"/>
      <c r="V34" s="1360"/>
      <c r="W34" s="1359"/>
      <c r="X34" s="1359"/>
      <c r="Y34" s="1359"/>
      <c r="Z34" s="1366"/>
      <c r="AA34" s="1367"/>
      <c r="AB34" s="1367"/>
      <c r="AC34" s="1367"/>
      <c r="AD34" s="1367"/>
    </row>
    <row r="35" spans="1:37">
      <c r="A35" s="3305"/>
      <c r="B35" s="2752" t="s">
        <v>2932</v>
      </c>
      <c r="C35" s="206" t="e">
        <f>ROUND(D5*C19*C20*C24*F35,0)</f>
        <v>#DIV/0!</v>
      </c>
      <c r="D35" s="2832"/>
      <c r="E35" s="200" t="e">
        <f t="shared" si="7"/>
        <v>#DIV/0!</v>
      </c>
      <c r="F35" s="200">
        <f>SUMIF(修正!A45:A56,G2,修正!D45:D56)</f>
        <v>0</v>
      </c>
      <c r="G35" s="200" t="e">
        <f t="shared" si="6"/>
        <v>#DIV/0!</v>
      </c>
      <c r="H35" s="200">
        <f t="shared" si="8"/>
        <v>0</v>
      </c>
      <c r="I35" s="200" t="e">
        <f t="shared" si="9"/>
        <v>#DIV/0!</v>
      </c>
      <c r="J35" s="2849"/>
      <c r="K35" s="1359"/>
      <c r="L35" s="1359"/>
      <c r="M35" s="1359"/>
      <c r="N35" s="1359"/>
      <c r="O35" s="1359"/>
      <c r="P35" s="1359"/>
      <c r="Q35" s="1359"/>
      <c r="R35" s="1359"/>
      <c r="S35" s="1359"/>
      <c r="T35" s="1359"/>
      <c r="U35" s="1359"/>
      <c r="V35" s="1359"/>
      <c r="W35" s="1359"/>
      <c r="X35" s="1359"/>
      <c r="Y35" s="1359"/>
      <c r="Z35" s="1360"/>
    </row>
    <row r="36" spans="1:37" ht="13.5" thickBot="1">
      <c r="A36" s="3306"/>
      <c r="B36" s="2752" t="s">
        <v>2933</v>
      </c>
      <c r="C36" s="206" t="e">
        <f>ROUND(D5*C19*C20*C24*F36,0)</f>
        <v>#DIV/0!</v>
      </c>
      <c r="D36" s="2832"/>
      <c r="E36" s="200" t="e">
        <f t="shared" si="7"/>
        <v>#DIV/0!</v>
      </c>
      <c r="F36" s="200">
        <f>SUMIF(修正!A45:A56,G2,修正!E45:E56)</f>
        <v>0</v>
      </c>
      <c r="G36" s="200" t="e">
        <f t="shared" si="6"/>
        <v>#DIV/0!</v>
      </c>
      <c r="H36" s="200">
        <f t="shared" si="8"/>
        <v>0</v>
      </c>
      <c r="I36" s="200" t="e">
        <f t="shared" si="9"/>
        <v>#DIV/0!</v>
      </c>
      <c r="J36" s="2849"/>
      <c r="K36" s="1359"/>
      <c r="L36" s="2706"/>
      <c r="M36" s="2706"/>
      <c r="N36" s="1359"/>
      <c r="O36" s="1359"/>
      <c r="P36" s="1359"/>
      <c r="Q36" s="1359"/>
      <c r="R36" s="1359"/>
      <c r="S36" s="1359"/>
      <c r="T36" s="1359"/>
      <c r="U36" s="1359"/>
      <c r="V36" s="1359"/>
      <c r="W36" s="1359"/>
      <c r="X36" s="1359"/>
      <c r="Y36" s="1359"/>
      <c r="Z36" s="1360"/>
    </row>
    <row r="37" spans="1:37">
      <c r="A37" s="2850"/>
      <c r="B37" s="2752" t="s">
        <v>2934</v>
      </c>
      <c r="C37" s="200" t="e">
        <f>ROUND(C5*C19*C20*C24*F37,0)</f>
        <v>#DIV/0!</v>
      </c>
      <c r="D37" s="2832"/>
      <c r="E37" s="200" t="e">
        <f t="shared" si="7"/>
        <v>#DIV/0!</v>
      </c>
      <c r="F37" s="206">
        <f>SUMIF(修正!A45:A56,G2,修正!F45:F56)</f>
        <v>0</v>
      </c>
      <c r="G37" s="200" t="e">
        <f t="shared" si="6"/>
        <v>#DIV/0!</v>
      </c>
      <c r="H37" s="200">
        <f t="shared" si="8"/>
        <v>0</v>
      </c>
      <c r="I37" s="200" t="e">
        <f t="shared" si="9"/>
        <v>#DIV/0!</v>
      </c>
      <c r="J37" s="2849"/>
      <c r="K37" s="1359"/>
      <c r="L37" s="2851" t="s">
        <v>2935</v>
      </c>
      <c r="M37" s="2852"/>
      <c r="N37" s="1359"/>
      <c r="O37" s="1359"/>
      <c r="P37" s="1359"/>
      <c r="Q37" s="1359"/>
      <c r="R37" s="1359"/>
      <c r="S37" s="1359"/>
      <c r="T37" s="1359"/>
      <c r="U37" s="1359"/>
      <c r="V37" s="1359"/>
      <c r="W37" s="1359"/>
      <c r="X37" s="1359"/>
      <c r="Y37" s="1359"/>
      <c r="Z37" s="1360"/>
    </row>
    <row r="38" spans="1:37">
      <c r="A38" s="2850"/>
      <c r="B38" s="2752" t="s">
        <v>2936</v>
      </c>
      <c r="C38" s="200" t="e">
        <f>ROUND(C5*C19*C20*C24*F38,0)</f>
        <v>#DIV/0!</v>
      </c>
      <c r="D38" s="2832"/>
      <c r="E38" s="200" t="e">
        <f t="shared" si="7"/>
        <v>#DIV/0!</v>
      </c>
      <c r="F38" s="206">
        <f>SUMIF(修正!A45:A56,G2,修正!G45:G56)</f>
        <v>0</v>
      </c>
      <c r="G38" s="200" t="e">
        <f t="shared" si="6"/>
        <v>#DIV/0!</v>
      </c>
      <c r="H38" s="200">
        <f t="shared" si="8"/>
        <v>0</v>
      </c>
      <c r="I38" s="200" t="e">
        <f t="shared" si="9"/>
        <v>#DIV/0!</v>
      </c>
      <c r="J38" s="2849"/>
      <c r="K38" s="1359"/>
      <c r="L38" s="1876" t="s">
        <v>2937</v>
      </c>
      <c r="M38" s="2853">
        <v>0.25</v>
      </c>
      <c r="N38" s="1359"/>
      <c r="O38" s="1359"/>
      <c r="P38" s="1359"/>
      <c r="Q38" s="1359"/>
      <c r="R38" s="1359"/>
      <c r="S38" s="1359"/>
      <c r="T38" s="1359"/>
      <c r="U38" s="1359"/>
      <c r="V38" s="1359"/>
      <c r="W38" s="1359"/>
      <c r="X38" s="1359"/>
      <c r="Y38" s="1359"/>
      <c r="Z38" s="1360"/>
    </row>
    <row r="39" spans="1:37" ht="13.5" thickBot="1">
      <c r="A39" s="2836"/>
      <c r="B39" s="2854" t="s">
        <v>2938</v>
      </c>
      <c r="C39" s="229" t="e">
        <f>ROUND(C5*C19*C20*C24*F39,0)</f>
        <v>#DIV/0!</v>
      </c>
      <c r="D39" s="2838"/>
      <c r="E39" s="229" t="e">
        <f t="shared" si="7"/>
        <v>#DIV/0!</v>
      </c>
      <c r="F39" s="928">
        <f>SUMIF(修正!A45:A56,G2,修正!H45:H56)</f>
        <v>0</v>
      </c>
      <c r="G39" s="229" t="e">
        <f t="shared" si="6"/>
        <v>#DIV/0!</v>
      </c>
      <c r="H39" s="229">
        <f t="shared" si="8"/>
        <v>0</v>
      </c>
      <c r="I39" s="229" t="e">
        <f t="shared" si="9"/>
        <v>#DIV/0!</v>
      </c>
      <c r="J39" s="2855"/>
      <c r="K39" s="1359"/>
      <c r="L39" s="2856" t="s">
        <v>2879</v>
      </c>
      <c r="M39" s="2857">
        <v>0.15</v>
      </c>
      <c r="N39" s="1359"/>
      <c r="O39" s="1359"/>
      <c r="P39" s="1359"/>
      <c r="Q39" s="1359"/>
      <c r="R39" s="1359"/>
      <c r="S39" s="1359"/>
      <c r="T39" s="1359"/>
      <c r="U39" s="1359"/>
      <c r="V39" s="1359"/>
      <c r="W39" s="1359"/>
      <c r="X39" s="1359"/>
      <c r="Y39" s="1359"/>
      <c r="Z39" s="1360"/>
    </row>
    <row r="40" spans="1:37" s="1359" customFormat="1">
      <c r="Z40" s="1360"/>
      <c r="AA40" s="1360"/>
      <c r="AB40" s="1360"/>
      <c r="AC40" s="1360"/>
      <c r="AD40" s="1360"/>
      <c r="AE40" s="1360"/>
      <c r="AF40" s="1360"/>
      <c r="AG40" s="1360"/>
      <c r="AH40" s="1360"/>
      <c r="AI40" s="1360"/>
      <c r="AJ40" s="1360"/>
    </row>
    <row r="41" spans="1:37" s="1359" customFormat="1">
      <c r="A41" s="1360"/>
      <c r="B41" s="2858"/>
      <c r="Z41" s="1360"/>
      <c r="AA41" s="1360"/>
      <c r="AB41" s="1360"/>
      <c r="AC41" s="1360"/>
      <c r="AD41" s="1360"/>
      <c r="AE41" s="1360"/>
      <c r="AF41" s="1360"/>
      <c r="AG41" s="1360"/>
      <c r="AH41" s="1360"/>
      <c r="AI41" s="1360"/>
      <c r="AJ41" s="1360"/>
    </row>
    <row r="42" spans="1:37" s="1359" customFormat="1">
      <c r="A42" s="1360"/>
      <c r="B42" s="2858"/>
      <c r="Z42" s="1360"/>
      <c r="AA42" s="1360"/>
      <c r="AB42" s="1360"/>
      <c r="AC42" s="1360"/>
      <c r="AD42" s="1360"/>
      <c r="AE42" s="1360"/>
      <c r="AF42" s="1360"/>
      <c r="AG42" s="1360"/>
      <c r="AH42" s="1360"/>
      <c r="AI42" s="1360"/>
      <c r="AJ42" s="1360"/>
    </row>
    <row r="43" spans="1:37" s="1359" customFormat="1">
      <c r="A43" s="1360"/>
      <c r="B43" s="2858"/>
      <c r="Z43" s="1360"/>
      <c r="AA43" s="1360"/>
      <c r="AB43" s="1360"/>
      <c r="AC43" s="1360"/>
      <c r="AD43" s="1360"/>
      <c r="AE43" s="1360"/>
      <c r="AF43" s="1360"/>
      <c r="AG43" s="1360"/>
      <c r="AH43" s="1360"/>
      <c r="AI43" s="1360"/>
      <c r="AJ43" s="1360"/>
    </row>
    <row r="44" spans="1:37" s="1359" customFormat="1">
      <c r="A44" s="1360"/>
      <c r="B44" s="2858"/>
      <c r="Z44" s="1360"/>
      <c r="AA44" s="1360"/>
      <c r="AB44" s="1360"/>
      <c r="AC44" s="1360"/>
      <c r="AD44" s="1360"/>
      <c r="AE44" s="1360"/>
      <c r="AF44" s="1360"/>
      <c r="AG44" s="1360"/>
      <c r="AH44" s="1360"/>
      <c r="AI44" s="1360"/>
      <c r="AJ44" s="1360"/>
    </row>
    <row r="45" spans="1:37" s="1359" customFormat="1" ht="15.75" thickBot="1">
      <c r="A45" s="2859" t="s">
        <v>2939</v>
      </c>
      <c r="B45" s="2860"/>
      <c r="C45" s="7"/>
      <c r="D45" s="7"/>
      <c r="E45" s="7"/>
      <c r="F45" s="6"/>
      <c r="G45" s="6"/>
      <c r="H45" s="6"/>
      <c r="I45" s="7"/>
      <c r="J45" s="7"/>
      <c r="K45" s="7"/>
      <c r="L45" s="7"/>
      <c r="M45" s="7"/>
      <c r="N45" s="2775"/>
      <c r="Z45" s="1360"/>
      <c r="AA45" s="1360"/>
      <c r="AB45" s="1360"/>
      <c r="AC45" s="1360"/>
      <c r="AD45" s="1360"/>
      <c r="AE45" s="1360"/>
      <c r="AF45" s="1360"/>
      <c r="AG45" s="1360"/>
      <c r="AH45" s="1360"/>
      <c r="AI45" s="1360"/>
      <c r="AJ45" s="1360"/>
    </row>
    <row r="46" spans="1:37" s="1359" customFormat="1" ht="15">
      <c r="A46" s="2861" t="s">
        <v>2940</v>
      </c>
      <c r="B46" s="2862">
        <f>1+E48</f>
        <v>1</v>
      </c>
      <c r="C46" s="2863"/>
      <c r="D46" s="807"/>
      <c r="E46" s="808"/>
      <c r="F46" s="2864"/>
      <c r="G46" s="6"/>
      <c r="H46" s="7"/>
      <c r="I46" s="7"/>
      <c r="J46" s="7"/>
      <c r="K46" s="7"/>
      <c r="L46" s="7"/>
      <c r="M46" s="7"/>
      <c r="N46" s="2775"/>
      <c r="Z46" s="1360"/>
      <c r="AA46" s="1360"/>
      <c r="AB46" s="1360"/>
      <c r="AC46" s="1360"/>
      <c r="AD46" s="1360"/>
      <c r="AE46" s="1360"/>
      <c r="AF46" s="1360"/>
      <c r="AG46" s="1360"/>
      <c r="AH46" s="1360"/>
      <c r="AI46" s="1360"/>
      <c r="AJ46" s="1360"/>
    </row>
    <row r="47" spans="1:37" s="1359" customFormat="1" ht="24.75">
      <c r="A47" s="2865" t="s">
        <v>2941</v>
      </c>
      <c r="B47" s="1799" t="s">
        <v>2942</v>
      </c>
      <c r="C47" s="1799" t="s">
        <v>2943</v>
      </c>
      <c r="D47" s="1799" t="s">
        <v>2944</v>
      </c>
      <c r="E47" s="812" t="s">
        <v>2945</v>
      </c>
      <c r="F47" s="2866" t="s">
        <v>2946</v>
      </c>
      <c r="G47" s="1799" t="s">
        <v>754</v>
      </c>
      <c r="H47" s="2867" t="s">
        <v>2947</v>
      </c>
      <c r="I47" s="1799" t="s">
        <v>2948</v>
      </c>
      <c r="J47" s="599" t="s">
        <v>2594</v>
      </c>
      <c r="K47" s="599" t="s">
        <v>2595</v>
      </c>
      <c r="L47" s="599" t="s">
        <v>2596</v>
      </c>
      <c r="M47" s="599" t="s">
        <v>2597</v>
      </c>
      <c r="N47" s="599" t="s">
        <v>2598</v>
      </c>
      <c r="AA47" s="1360"/>
      <c r="AB47" s="1360"/>
      <c r="AC47" s="1360"/>
      <c r="AD47" s="1360"/>
      <c r="AE47" s="1360"/>
      <c r="AF47" s="1360"/>
      <c r="AG47" s="1360"/>
      <c r="AH47" s="1360"/>
      <c r="AI47" s="1360"/>
      <c r="AJ47" s="1360"/>
      <c r="AK47" s="1360"/>
    </row>
    <row r="48" spans="1:37" s="1359" customFormat="1" ht="38.25">
      <c r="A48" s="2865" t="s">
        <v>2949</v>
      </c>
      <c r="B48" s="2868" t="str">
        <f>估价对象房地状况!C4</f>
        <v>估价对象位于XX商圈，周边商业氛围成熟，人流量大，商业繁华度好</v>
      </c>
      <c r="C48" s="2757"/>
      <c r="D48" s="1282">
        <f t="shared" ref="D48:D56" si="10">SUMIF($J$47:$N$47,C48,J48:N48)</f>
        <v>0</v>
      </c>
      <c r="E48" s="814">
        <f>ROUND(SUM(D48:D56),4)</f>
        <v>0</v>
      </c>
      <c r="F48" s="2488"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0"/>
      <c r="AB48" s="1360"/>
      <c r="AC48" s="1360"/>
      <c r="AD48" s="1360"/>
      <c r="AE48" s="1360"/>
      <c r="AF48" s="1360"/>
      <c r="AG48" s="1360"/>
      <c r="AH48" s="1360"/>
      <c r="AI48" s="1360"/>
      <c r="AJ48" s="1360"/>
      <c r="AK48" s="1360"/>
    </row>
    <row r="49" spans="1:37" s="1359" customFormat="1" ht="51">
      <c r="A49" s="2865" t="s">
        <v>2950</v>
      </c>
      <c r="B49" s="2869" t="str">
        <f>估价对象房地状况!C18</f>
        <v>估价对象周边道路状况、公共交通通达情况、停车便捷程度，综合评价交通便捷度较好</v>
      </c>
      <c r="C49" s="2757"/>
      <c r="D49" s="1282">
        <f t="shared" si="10"/>
        <v>0</v>
      </c>
      <c r="E49" s="815"/>
      <c r="F49" s="2488"/>
      <c r="G49" s="1280"/>
      <c r="H49" s="1284" t="str">
        <f t="shared" si="11"/>
        <v>——</v>
      </c>
      <c r="I49" s="813">
        <v>0.25</v>
      </c>
      <c r="J49" s="1281">
        <f t="shared" si="12"/>
        <v>0</v>
      </c>
      <c r="K49" s="1281">
        <f t="shared" si="13"/>
        <v>0</v>
      </c>
      <c r="L49" s="1281">
        <v>0</v>
      </c>
      <c r="M49" s="1281">
        <f t="shared" si="14"/>
        <v>0</v>
      </c>
      <c r="N49" s="1281">
        <f t="shared" si="14"/>
        <v>0</v>
      </c>
      <c r="AA49" s="1360"/>
      <c r="AB49" s="1360"/>
      <c r="AC49" s="1360"/>
      <c r="AD49" s="1360"/>
      <c r="AE49" s="1360"/>
      <c r="AF49" s="1360"/>
      <c r="AG49" s="1360"/>
      <c r="AH49" s="1360"/>
      <c r="AI49" s="1360"/>
      <c r="AJ49" s="1360"/>
      <c r="AK49" s="1360"/>
    </row>
    <row r="50" spans="1:37" s="1359" customFormat="1" ht="24">
      <c r="A50" s="2865" t="s">
        <v>2951</v>
      </c>
      <c r="B50" s="2869">
        <f>估价对象房地状况!C19</f>
        <v>0</v>
      </c>
      <c r="C50" s="2757"/>
      <c r="D50" s="1282">
        <f t="shared" si="10"/>
        <v>0</v>
      </c>
      <c r="E50" s="815"/>
      <c r="F50" s="2488"/>
      <c r="G50" s="1280"/>
      <c r="H50" s="1284" t="str">
        <f t="shared" si="11"/>
        <v>——</v>
      </c>
      <c r="I50" s="813">
        <v>0.05</v>
      </c>
      <c r="J50" s="1281">
        <f t="shared" si="12"/>
        <v>0</v>
      </c>
      <c r="K50" s="1281">
        <f t="shared" si="13"/>
        <v>0</v>
      </c>
      <c r="L50" s="1281">
        <v>0</v>
      </c>
      <c r="M50" s="1281">
        <f t="shared" si="14"/>
        <v>0</v>
      </c>
      <c r="N50" s="1281">
        <f t="shared" si="14"/>
        <v>0</v>
      </c>
      <c r="AA50" s="1360"/>
      <c r="AB50" s="1360"/>
      <c r="AC50" s="1360"/>
      <c r="AD50" s="1360"/>
      <c r="AE50" s="1360"/>
      <c r="AF50" s="1360"/>
      <c r="AG50" s="1360"/>
      <c r="AH50" s="1360"/>
      <c r="AI50" s="1360"/>
      <c r="AJ50" s="1360"/>
      <c r="AK50" s="1360"/>
    </row>
    <row r="51" spans="1:37" s="1359" customFormat="1" ht="36.75">
      <c r="A51" s="2865" t="s">
        <v>2952</v>
      </c>
      <c r="B51" s="2870" t="s">
        <v>2953</v>
      </c>
      <c r="C51" s="2757"/>
      <c r="D51" s="1282">
        <f t="shared" si="10"/>
        <v>0</v>
      </c>
      <c r="E51" s="815"/>
      <c r="F51" s="2488"/>
      <c r="G51" s="1280"/>
      <c r="H51" s="1284" t="str">
        <f t="shared" si="11"/>
        <v>——</v>
      </c>
      <c r="I51" s="813">
        <v>0.05</v>
      </c>
      <c r="J51" s="1281">
        <f t="shared" si="12"/>
        <v>0</v>
      </c>
      <c r="K51" s="1281">
        <f t="shared" si="13"/>
        <v>0</v>
      </c>
      <c r="L51" s="1281">
        <v>0</v>
      </c>
      <c r="M51" s="1281">
        <f t="shared" si="14"/>
        <v>0</v>
      </c>
      <c r="N51" s="1281">
        <f t="shared" si="14"/>
        <v>0</v>
      </c>
      <c r="AA51" s="1360"/>
      <c r="AB51" s="1360"/>
      <c r="AC51" s="1360"/>
      <c r="AD51" s="1360"/>
      <c r="AE51" s="1360"/>
      <c r="AF51" s="1360"/>
      <c r="AG51" s="1360"/>
      <c r="AH51" s="1360"/>
      <c r="AI51" s="1360"/>
      <c r="AJ51" s="1360"/>
      <c r="AK51" s="1360"/>
    </row>
    <row r="52" spans="1:37" s="1359" customFormat="1" ht="24">
      <c r="A52" s="2865" t="s">
        <v>2954</v>
      </c>
      <c r="B52" s="2869">
        <f>估价对象房地状况!C24</f>
        <v>0</v>
      </c>
      <c r="C52" s="2757"/>
      <c r="D52" s="1282">
        <f t="shared" si="10"/>
        <v>0</v>
      </c>
      <c r="E52" s="815"/>
      <c r="F52" s="2488"/>
      <c r="G52" s="1280"/>
      <c r="H52" s="1284" t="str">
        <f t="shared" si="11"/>
        <v>——</v>
      </c>
      <c r="I52" s="813">
        <v>0.08</v>
      </c>
      <c r="J52" s="1281">
        <f t="shared" si="12"/>
        <v>0</v>
      </c>
      <c r="K52" s="1281">
        <f t="shared" si="13"/>
        <v>0</v>
      </c>
      <c r="L52" s="1281">
        <v>0</v>
      </c>
      <c r="M52" s="1281">
        <f t="shared" si="14"/>
        <v>0</v>
      </c>
      <c r="N52" s="1281">
        <f t="shared" si="14"/>
        <v>0</v>
      </c>
      <c r="AA52" s="1360"/>
      <c r="AB52" s="1360"/>
      <c r="AC52" s="1360"/>
      <c r="AD52" s="1360"/>
      <c r="AE52" s="1360"/>
      <c r="AF52" s="1360"/>
      <c r="AG52" s="1360"/>
      <c r="AH52" s="1360"/>
      <c r="AI52" s="1360"/>
      <c r="AJ52" s="1360"/>
      <c r="AK52" s="1360"/>
    </row>
    <row r="53" spans="1:37" s="1359" customFormat="1" ht="24">
      <c r="A53" s="2865" t="s">
        <v>2955</v>
      </c>
      <c r="B53" s="2871" t="s">
        <v>2956</v>
      </c>
      <c r="C53" s="2757"/>
      <c r="D53" s="1282">
        <f t="shared" si="10"/>
        <v>0</v>
      </c>
      <c r="E53" s="815"/>
      <c r="F53" s="2488"/>
      <c r="G53" s="1280"/>
      <c r="H53" s="1284" t="str">
        <f t="shared" si="11"/>
        <v>——</v>
      </c>
      <c r="I53" s="813">
        <v>0.03</v>
      </c>
      <c r="J53" s="1281">
        <f t="shared" si="12"/>
        <v>0</v>
      </c>
      <c r="K53" s="1281">
        <f t="shared" si="13"/>
        <v>0</v>
      </c>
      <c r="L53" s="1281">
        <v>0</v>
      </c>
      <c r="M53" s="1281">
        <f t="shared" si="14"/>
        <v>0</v>
      </c>
      <c r="N53" s="1281">
        <f t="shared" si="14"/>
        <v>0</v>
      </c>
      <c r="AA53" s="1360"/>
      <c r="AB53" s="1360"/>
      <c r="AC53" s="1360"/>
      <c r="AD53" s="1360"/>
      <c r="AE53" s="1360"/>
      <c r="AF53" s="1360"/>
      <c r="AG53" s="1360"/>
      <c r="AH53" s="1360"/>
      <c r="AI53" s="1360"/>
      <c r="AJ53" s="1360"/>
      <c r="AK53" s="1360"/>
    </row>
    <row r="54" spans="1:37" s="1359" customFormat="1" ht="25.5">
      <c r="A54" s="2872" t="s">
        <v>2957</v>
      </c>
      <c r="B54" s="1715" t="str">
        <f>估价对象房地状况!C21</f>
        <v>估价对象所在区域公共配套设施齐备情况</v>
      </c>
      <c r="C54" s="2757"/>
      <c r="D54" s="1282">
        <f t="shared" si="10"/>
        <v>0</v>
      </c>
      <c r="E54" s="815"/>
      <c r="F54" s="2488"/>
      <c r="G54" s="1280"/>
      <c r="H54" s="1284" t="str">
        <f t="shared" si="11"/>
        <v>——</v>
      </c>
      <c r="I54" s="813">
        <v>0.05</v>
      </c>
      <c r="J54" s="1281">
        <f t="shared" si="12"/>
        <v>0</v>
      </c>
      <c r="K54" s="1281">
        <f t="shared" si="13"/>
        <v>0</v>
      </c>
      <c r="L54" s="1281">
        <v>0</v>
      </c>
      <c r="M54" s="1281">
        <f t="shared" si="14"/>
        <v>0</v>
      </c>
      <c r="N54" s="1281">
        <f t="shared" si="14"/>
        <v>0</v>
      </c>
      <c r="AA54" s="1360"/>
      <c r="AB54" s="1360"/>
      <c r="AC54" s="1360"/>
      <c r="AD54" s="1360"/>
      <c r="AE54" s="1360"/>
      <c r="AF54" s="1360"/>
      <c r="AG54" s="1360"/>
      <c r="AH54" s="1360"/>
      <c r="AI54" s="1360"/>
      <c r="AJ54" s="1360"/>
      <c r="AK54" s="1360"/>
    </row>
    <row r="55" spans="1:37" s="1359" customFormat="1" ht="25.5">
      <c r="A55" s="2872" t="s">
        <v>2958</v>
      </c>
      <c r="B55" s="2869" t="str">
        <f>估价对象房地状况!C22</f>
        <v>估价对象所在区域基础设施水平</v>
      </c>
      <c r="C55" s="2757"/>
      <c r="D55" s="1282">
        <f t="shared" si="10"/>
        <v>0</v>
      </c>
      <c r="E55" s="815"/>
      <c r="F55" s="2488"/>
      <c r="G55" s="1280"/>
      <c r="H55" s="1284" t="str">
        <f t="shared" si="11"/>
        <v>——</v>
      </c>
      <c r="I55" s="813">
        <v>0.1</v>
      </c>
      <c r="J55" s="1281">
        <f t="shared" si="12"/>
        <v>0</v>
      </c>
      <c r="K55" s="1281">
        <f t="shared" si="13"/>
        <v>0</v>
      </c>
      <c r="L55" s="1281">
        <v>0</v>
      </c>
      <c r="M55" s="1281">
        <f t="shared" si="14"/>
        <v>0</v>
      </c>
      <c r="N55" s="1281">
        <f t="shared" si="14"/>
        <v>0</v>
      </c>
      <c r="AA55" s="1360"/>
      <c r="AB55" s="1360"/>
      <c r="AC55" s="1360"/>
      <c r="AD55" s="1360"/>
      <c r="AE55" s="1360"/>
      <c r="AF55" s="1360"/>
      <c r="AG55" s="1360"/>
      <c r="AH55" s="1360"/>
      <c r="AI55" s="1360"/>
      <c r="AJ55" s="1360"/>
      <c r="AK55" s="1360"/>
    </row>
    <row r="56" spans="1:37" s="1359" customFormat="1" ht="39" thickBot="1">
      <c r="A56" s="2873" t="s">
        <v>2959</v>
      </c>
      <c r="B56" s="2874" t="str">
        <f>估价对象房地状况!C20</f>
        <v>区域自然环境：；人文环境；综合评价环境状况一般</v>
      </c>
      <c r="C56" s="2757"/>
      <c r="D56" s="1282">
        <f t="shared" si="10"/>
        <v>0</v>
      </c>
      <c r="E56" s="818"/>
      <c r="F56" s="2488"/>
      <c r="G56" s="1280"/>
      <c r="H56" s="1284" t="str">
        <f t="shared" si="11"/>
        <v>——</v>
      </c>
      <c r="I56" s="817">
        <v>0.06</v>
      </c>
      <c r="J56" s="1281">
        <f t="shared" si="12"/>
        <v>0</v>
      </c>
      <c r="K56" s="1281">
        <f t="shared" si="13"/>
        <v>0</v>
      </c>
      <c r="L56" s="1281">
        <v>0</v>
      </c>
      <c r="M56" s="1281">
        <f t="shared" si="14"/>
        <v>0</v>
      </c>
      <c r="N56" s="1281">
        <f t="shared" si="14"/>
        <v>0</v>
      </c>
      <c r="AA56" s="1360"/>
      <c r="AB56" s="1360"/>
      <c r="AC56" s="1360"/>
      <c r="AD56" s="1360"/>
      <c r="AE56" s="1360"/>
      <c r="AF56" s="1360"/>
      <c r="AG56" s="1360"/>
      <c r="AH56" s="1360"/>
      <c r="AI56" s="1360"/>
      <c r="AJ56" s="1360"/>
      <c r="AK56" s="1360"/>
    </row>
    <row r="57" spans="1:37" s="1359" customFormat="1" ht="15">
      <c r="A57" s="2861" t="s">
        <v>2960</v>
      </c>
      <c r="B57" s="2862">
        <f>1+E59</f>
        <v>1</v>
      </c>
      <c r="C57" s="807"/>
      <c r="D57" s="807"/>
      <c r="E57" s="808"/>
      <c r="F57" s="2864"/>
      <c r="G57" s="6"/>
      <c r="H57" s="6"/>
      <c r="I57" s="6"/>
      <c r="J57" s="7"/>
      <c r="K57" s="7"/>
      <c r="L57" s="7"/>
      <c r="M57" s="7"/>
      <c r="N57" s="7"/>
      <c r="AA57" s="1360"/>
      <c r="AB57" s="1360"/>
      <c r="AC57" s="1360"/>
      <c r="AD57" s="1360"/>
      <c r="AE57" s="1360"/>
      <c r="AF57" s="1360"/>
      <c r="AG57" s="1360"/>
      <c r="AH57" s="1360"/>
      <c r="AI57" s="1360"/>
      <c r="AJ57" s="1360"/>
      <c r="AK57" s="1360"/>
    </row>
    <row r="58" spans="1:37" s="1359" customFormat="1" ht="24.75">
      <c r="A58" s="2865" t="s">
        <v>2941</v>
      </c>
      <c r="B58" s="1799"/>
      <c r="C58" s="1799" t="s">
        <v>2943</v>
      </c>
      <c r="D58" s="1799" t="s">
        <v>2944</v>
      </c>
      <c r="E58" s="812" t="s">
        <v>2945</v>
      </c>
      <c r="F58" s="2866" t="s">
        <v>2961</v>
      </c>
      <c r="G58" s="1799" t="s">
        <v>754</v>
      </c>
      <c r="H58" s="2867" t="s">
        <v>2947</v>
      </c>
      <c r="I58" s="1799" t="s">
        <v>2948</v>
      </c>
      <c r="J58" s="599" t="s">
        <v>2594</v>
      </c>
      <c r="K58" s="599" t="s">
        <v>2595</v>
      </c>
      <c r="L58" s="599" t="s">
        <v>2596</v>
      </c>
      <c r="M58" s="599" t="s">
        <v>2597</v>
      </c>
      <c r="N58" s="599" t="s">
        <v>2598</v>
      </c>
      <c r="AA58" s="1360"/>
      <c r="AB58" s="1360"/>
      <c r="AC58" s="1360"/>
      <c r="AD58" s="1360"/>
      <c r="AE58" s="1360"/>
      <c r="AF58" s="1360"/>
      <c r="AG58" s="1360"/>
      <c r="AH58" s="1360"/>
      <c r="AI58" s="1360"/>
      <c r="AJ58" s="1360"/>
      <c r="AK58" s="1360"/>
    </row>
    <row r="59" spans="1:37" s="1359" customFormat="1" ht="38.25">
      <c r="A59" s="2865" t="s">
        <v>2962</v>
      </c>
      <c r="B59" s="2868" t="str">
        <f>估价对象房地状况!C17</f>
        <v>估价对象位于XX商圈，周边办公楼项目较多，入驻率高，办公集聚程度较好</v>
      </c>
      <c r="C59" s="2757"/>
      <c r="D59" s="1282">
        <f t="shared" ref="D59:D67" si="15">SUMIF($J$58:$N$58,C59,J59:N59)</f>
        <v>0</v>
      </c>
      <c r="E59" s="814">
        <f>ROUND(SUM(D59:D67),4)</f>
        <v>0</v>
      </c>
      <c r="F59" s="2488"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0"/>
      <c r="AB59" s="1360"/>
      <c r="AC59" s="1360"/>
      <c r="AD59" s="1360"/>
      <c r="AE59" s="1360"/>
      <c r="AF59" s="1360"/>
      <c r="AG59" s="1360"/>
      <c r="AH59" s="1360"/>
      <c r="AI59" s="1360"/>
      <c r="AJ59" s="1360"/>
      <c r="AK59" s="1360"/>
    </row>
    <row r="60" spans="1:37" s="1359" customFormat="1" ht="51">
      <c r="A60" s="2865" t="s">
        <v>2950</v>
      </c>
      <c r="B60" s="2869" t="str">
        <f>估价对象房地状况!C18</f>
        <v>估价对象周边道路状况、公共交通通达情况、停车便捷程度，综合评价交通便捷度较好</v>
      </c>
      <c r="C60" s="2757"/>
      <c r="D60" s="1282">
        <f t="shared" si="15"/>
        <v>0</v>
      </c>
      <c r="E60" s="815"/>
      <c r="F60" s="2488"/>
      <c r="G60" s="1280"/>
      <c r="H60" s="1284" t="str">
        <f t="shared" si="16"/>
        <v>——</v>
      </c>
      <c r="I60" s="813">
        <v>0.3</v>
      </c>
      <c r="J60" s="1281">
        <f t="shared" si="17"/>
        <v>0</v>
      </c>
      <c r="K60" s="1281">
        <f t="shared" si="18"/>
        <v>0</v>
      </c>
      <c r="L60" s="1281">
        <v>0</v>
      </c>
      <c r="M60" s="1281">
        <f t="shared" si="19"/>
        <v>0</v>
      </c>
      <c r="N60" s="1281">
        <f t="shared" si="19"/>
        <v>0</v>
      </c>
      <c r="AA60" s="1360"/>
      <c r="AB60" s="1360"/>
      <c r="AC60" s="1360"/>
      <c r="AD60" s="1360"/>
      <c r="AE60" s="1360"/>
      <c r="AF60" s="1360"/>
      <c r="AG60" s="1360"/>
      <c r="AH60" s="1360"/>
      <c r="AI60" s="1360"/>
      <c r="AJ60" s="1360"/>
      <c r="AK60" s="1360"/>
    </row>
    <row r="61" spans="1:37" s="1359" customFormat="1" ht="24">
      <c r="A61" s="2865" t="s">
        <v>2951</v>
      </c>
      <c r="B61" s="2869">
        <f>估价对象房地状况!C19</f>
        <v>0</v>
      </c>
      <c r="C61" s="2757"/>
      <c r="D61" s="1282">
        <f t="shared" si="15"/>
        <v>0</v>
      </c>
      <c r="E61" s="815"/>
      <c r="F61" s="2488"/>
      <c r="G61" s="1280"/>
      <c r="H61" s="1284" t="str">
        <f t="shared" si="16"/>
        <v>——</v>
      </c>
      <c r="I61" s="813">
        <v>0.08</v>
      </c>
      <c r="J61" s="1281">
        <f t="shared" si="17"/>
        <v>0</v>
      </c>
      <c r="K61" s="1281">
        <f t="shared" si="18"/>
        <v>0</v>
      </c>
      <c r="L61" s="1281">
        <v>0</v>
      </c>
      <c r="M61" s="1281">
        <f t="shared" si="19"/>
        <v>0</v>
      </c>
      <c r="N61" s="1281">
        <f t="shared" si="19"/>
        <v>0</v>
      </c>
      <c r="AA61" s="1360"/>
      <c r="AB61" s="1360"/>
      <c r="AC61" s="1360"/>
      <c r="AD61" s="1360"/>
      <c r="AE61" s="1360"/>
      <c r="AF61" s="1360"/>
      <c r="AG61" s="1360"/>
      <c r="AH61" s="1360"/>
      <c r="AI61" s="1360"/>
      <c r="AJ61" s="1360"/>
      <c r="AK61" s="1360"/>
    </row>
    <row r="62" spans="1:37" s="1359" customFormat="1" ht="36.75">
      <c r="A62" s="2865" t="s">
        <v>2952</v>
      </c>
      <c r="B62" s="2870" t="s">
        <v>2953</v>
      </c>
      <c r="C62" s="2757"/>
      <c r="D62" s="1282">
        <f t="shared" si="15"/>
        <v>0</v>
      </c>
      <c r="E62" s="815"/>
      <c r="F62" s="2488"/>
      <c r="G62" s="1280"/>
      <c r="H62" s="1284" t="str">
        <f t="shared" si="16"/>
        <v>——</v>
      </c>
      <c r="I62" s="813">
        <v>0.04</v>
      </c>
      <c r="J62" s="1281">
        <f t="shared" si="17"/>
        <v>0</v>
      </c>
      <c r="K62" s="1281">
        <f t="shared" si="18"/>
        <v>0</v>
      </c>
      <c r="L62" s="1281">
        <v>0</v>
      </c>
      <c r="M62" s="1281">
        <f t="shared" si="19"/>
        <v>0</v>
      </c>
      <c r="N62" s="1281">
        <f t="shared" si="19"/>
        <v>0</v>
      </c>
      <c r="AA62" s="1360"/>
      <c r="AB62" s="1360"/>
      <c r="AC62" s="1360"/>
      <c r="AD62" s="1360"/>
      <c r="AE62" s="1360"/>
      <c r="AF62" s="1360"/>
      <c r="AG62" s="1360"/>
      <c r="AH62" s="1360"/>
      <c r="AI62" s="1360"/>
      <c r="AJ62" s="1360"/>
      <c r="AK62" s="1360"/>
    </row>
    <row r="63" spans="1:37" s="1359" customFormat="1" ht="24">
      <c r="A63" s="2865" t="s">
        <v>2954</v>
      </c>
      <c r="B63" s="2869">
        <f>估价对象房地状况!C24</f>
        <v>0</v>
      </c>
      <c r="C63" s="2757"/>
      <c r="D63" s="1282">
        <f t="shared" si="15"/>
        <v>0</v>
      </c>
      <c r="E63" s="815"/>
      <c r="F63" s="2488"/>
      <c r="G63" s="1280"/>
      <c r="H63" s="1284" t="str">
        <f t="shared" si="16"/>
        <v>——</v>
      </c>
      <c r="I63" s="813">
        <v>0.05</v>
      </c>
      <c r="J63" s="1281">
        <f t="shared" si="17"/>
        <v>0</v>
      </c>
      <c r="K63" s="1281">
        <f t="shared" si="18"/>
        <v>0</v>
      </c>
      <c r="L63" s="1281">
        <v>0</v>
      </c>
      <c r="M63" s="1281">
        <f t="shared" si="19"/>
        <v>0</v>
      </c>
      <c r="N63" s="1281">
        <f t="shared" si="19"/>
        <v>0</v>
      </c>
      <c r="AA63" s="1360"/>
      <c r="AB63" s="1360"/>
      <c r="AC63" s="1360"/>
      <c r="AD63" s="1360"/>
      <c r="AE63" s="1360"/>
      <c r="AF63" s="1360"/>
      <c r="AG63" s="1360"/>
      <c r="AH63" s="1360"/>
      <c r="AI63" s="1360"/>
      <c r="AJ63" s="1360"/>
      <c r="AK63" s="1360"/>
    </row>
    <row r="64" spans="1:37" s="1359" customFormat="1" ht="24">
      <c r="A64" s="2865" t="s">
        <v>2955</v>
      </c>
      <c r="B64" s="2871" t="s">
        <v>2956</v>
      </c>
      <c r="C64" s="2757"/>
      <c r="D64" s="1282">
        <f t="shared" si="15"/>
        <v>0</v>
      </c>
      <c r="E64" s="815"/>
      <c r="F64" s="2488"/>
      <c r="G64" s="1280"/>
      <c r="H64" s="1284" t="str">
        <f t="shared" si="16"/>
        <v>——</v>
      </c>
      <c r="I64" s="813">
        <v>0.05</v>
      </c>
      <c r="J64" s="1281">
        <f t="shared" si="17"/>
        <v>0</v>
      </c>
      <c r="K64" s="1281">
        <f t="shared" si="18"/>
        <v>0</v>
      </c>
      <c r="L64" s="1281">
        <v>0</v>
      </c>
      <c r="M64" s="1281">
        <f t="shared" si="19"/>
        <v>0</v>
      </c>
      <c r="N64" s="1281">
        <f t="shared" si="19"/>
        <v>0</v>
      </c>
      <c r="AA64" s="1360"/>
      <c r="AB64" s="1360"/>
      <c r="AC64" s="1360"/>
      <c r="AD64" s="1360"/>
      <c r="AE64" s="1360"/>
      <c r="AF64" s="1360"/>
      <c r="AG64" s="1360"/>
      <c r="AH64" s="1360"/>
      <c r="AI64" s="1360"/>
      <c r="AJ64" s="1360"/>
      <c r="AK64" s="1360"/>
    </row>
    <row r="65" spans="1:37" s="1359" customFormat="1" ht="25.5">
      <c r="A65" s="2865" t="s">
        <v>2957</v>
      </c>
      <c r="B65" s="1715" t="str">
        <f>估价对象房地状况!C21</f>
        <v>估价对象所在区域公共配套设施齐备情况</v>
      </c>
      <c r="C65" s="2757"/>
      <c r="D65" s="1282">
        <f t="shared" si="15"/>
        <v>0</v>
      </c>
      <c r="E65" s="815"/>
      <c r="F65" s="2488"/>
      <c r="G65" s="1280"/>
      <c r="H65" s="1284" t="str">
        <f t="shared" si="16"/>
        <v>——</v>
      </c>
      <c r="I65" s="813">
        <v>0.06</v>
      </c>
      <c r="J65" s="1281">
        <f t="shared" si="17"/>
        <v>0</v>
      </c>
      <c r="K65" s="1281">
        <f t="shared" si="18"/>
        <v>0</v>
      </c>
      <c r="L65" s="1281">
        <v>0</v>
      </c>
      <c r="M65" s="1281">
        <f t="shared" si="19"/>
        <v>0</v>
      </c>
      <c r="N65" s="1281">
        <f t="shared" si="19"/>
        <v>0</v>
      </c>
      <c r="AA65" s="1360"/>
      <c r="AB65" s="1360"/>
      <c r="AC65" s="1360"/>
      <c r="AD65" s="1360"/>
      <c r="AE65" s="1360"/>
      <c r="AF65" s="1360"/>
      <c r="AG65" s="1360"/>
      <c r="AH65" s="1360"/>
      <c r="AI65" s="1360"/>
      <c r="AJ65" s="1360"/>
      <c r="AK65" s="1360"/>
    </row>
    <row r="66" spans="1:37" s="1359" customFormat="1" ht="25.5">
      <c r="A66" s="2865" t="s">
        <v>2958</v>
      </c>
      <c r="B66" s="1715" t="str">
        <f>估价对象房地状况!C22</f>
        <v>估价对象所在区域基础设施水平</v>
      </c>
      <c r="C66" s="2757"/>
      <c r="D66" s="1282">
        <f t="shared" si="15"/>
        <v>0</v>
      </c>
      <c r="E66" s="815"/>
      <c r="F66" s="2488"/>
      <c r="G66" s="1280"/>
      <c r="H66" s="1284" t="str">
        <f t="shared" si="16"/>
        <v>——</v>
      </c>
      <c r="I66" s="813">
        <v>0.12</v>
      </c>
      <c r="J66" s="1281">
        <f t="shared" si="17"/>
        <v>0</v>
      </c>
      <c r="K66" s="1281">
        <f t="shared" si="18"/>
        <v>0</v>
      </c>
      <c r="L66" s="1281">
        <v>0</v>
      </c>
      <c r="M66" s="1281">
        <f t="shared" si="19"/>
        <v>0</v>
      </c>
      <c r="N66" s="1281">
        <f t="shared" si="19"/>
        <v>0</v>
      </c>
      <c r="AA66" s="1360"/>
      <c r="AB66" s="1360"/>
      <c r="AC66" s="1360"/>
      <c r="AD66" s="1360"/>
      <c r="AE66" s="1360"/>
      <c r="AF66" s="1360"/>
      <c r="AG66" s="1360"/>
      <c r="AH66" s="1360"/>
      <c r="AI66" s="1360"/>
      <c r="AJ66" s="1360"/>
      <c r="AK66" s="1360"/>
    </row>
    <row r="67" spans="1:37" s="1359" customFormat="1" ht="39" thickBot="1">
      <c r="A67" s="2873" t="s">
        <v>2959</v>
      </c>
      <c r="B67" s="2875" t="str">
        <f>估价对象房地状况!C20</f>
        <v>区域自然环境：；人文环境；综合评价环境状况一般</v>
      </c>
      <c r="C67" s="2757"/>
      <c r="D67" s="1282">
        <f t="shared" si="15"/>
        <v>0</v>
      </c>
      <c r="E67" s="818"/>
      <c r="F67" s="2488"/>
      <c r="G67" s="1280"/>
      <c r="H67" s="1284" t="str">
        <f t="shared" si="16"/>
        <v>——</v>
      </c>
      <c r="I67" s="817">
        <v>0.06</v>
      </c>
      <c r="J67" s="1281">
        <f t="shared" si="17"/>
        <v>0</v>
      </c>
      <c r="K67" s="1281">
        <f t="shared" si="18"/>
        <v>0</v>
      </c>
      <c r="L67" s="1281">
        <v>0</v>
      </c>
      <c r="M67" s="1281">
        <f t="shared" si="19"/>
        <v>0</v>
      </c>
      <c r="N67" s="1281">
        <f t="shared" si="19"/>
        <v>0</v>
      </c>
      <c r="AA67" s="1360"/>
      <c r="AB67" s="1360"/>
      <c r="AC67" s="1360"/>
      <c r="AD67" s="1360"/>
      <c r="AE67" s="1360"/>
      <c r="AF67" s="1360"/>
      <c r="AG67" s="1360"/>
      <c r="AH67" s="1360"/>
      <c r="AI67" s="1360"/>
      <c r="AJ67" s="1360"/>
      <c r="AK67" s="1360"/>
    </row>
    <row r="68" spans="1:37" s="1359" customFormat="1" ht="15">
      <c r="A68" s="2861" t="s">
        <v>2963</v>
      </c>
      <c r="B68" s="2862">
        <f>1+E70</f>
        <v>1</v>
      </c>
      <c r="C68" s="807"/>
      <c r="D68" s="807"/>
      <c r="E68" s="808"/>
      <c r="F68" s="2864"/>
      <c r="G68" s="6"/>
      <c r="H68" s="6"/>
      <c r="I68" s="6"/>
      <c r="J68" s="7"/>
      <c r="K68" s="7"/>
      <c r="L68" s="7"/>
      <c r="M68" s="7"/>
      <c r="N68" s="7"/>
      <c r="AA68" s="1360"/>
      <c r="AB68" s="1360"/>
      <c r="AC68" s="1360"/>
      <c r="AD68" s="1360"/>
      <c r="AE68" s="1360"/>
      <c r="AF68" s="1360"/>
      <c r="AG68" s="1360"/>
      <c r="AH68" s="1360"/>
      <c r="AI68" s="1360"/>
      <c r="AJ68" s="1360"/>
      <c r="AK68" s="1360"/>
    </row>
    <row r="69" spans="1:37" s="1359" customFormat="1" ht="24.75">
      <c r="A69" s="2865" t="s">
        <v>2941</v>
      </c>
      <c r="B69" s="1799"/>
      <c r="C69" s="1799" t="s">
        <v>2943</v>
      </c>
      <c r="D69" s="1799" t="s">
        <v>2944</v>
      </c>
      <c r="E69" s="812" t="s">
        <v>2945</v>
      </c>
      <c r="F69" s="2866" t="s">
        <v>2961</v>
      </c>
      <c r="G69" s="1799" t="s">
        <v>754</v>
      </c>
      <c r="H69" s="2867" t="s">
        <v>2947</v>
      </c>
      <c r="I69" s="1799" t="s">
        <v>2948</v>
      </c>
      <c r="J69" s="599" t="s">
        <v>2594</v>
      </c>
      <c r="K69" s="599" t="s">
        <v>2595</v>
      </c>
      <c r="L69" s="599" t="s">
        <v>2596</v>
      </c>
      <c r="M69" s="599" t="s">
        <v>2597</v>
      </c>
      <c r="N69" s="599" t="s">
        <v>2598</v>
      </c>
      <c r="AA69" s="1360"/>
      <c r="AB69" s="1360"/>
      <c r="AC69" s="1360"/>
      <c r="AD69" s="1360"/>
      <c r="AE69" s="1360"/>
      <c r="AF69" s="1360"/>
      <c r="AG69" s="1360"/>
      <c r="AH69" s="1360"/>
      <c r="AI69" s="1360"/>
      <c r="AJ69" s="1360"/>
      <c r="AK69" s="1360"/>
    </row>
    <row r="70" spans="1:37" s="1359" customFormat="1" ht="51">
      <c r="A70" s="2865" t="s">
        <v>2964</v>
      </c>
      <c r="B70" s="2868" t="str">
        <f>估价对象房地状况!C15</f>
        <v>估价对象周边居住用地比例、居住小区规模和社区发展完善程度，综合评价居住社区成熟度一般</v>
      </c>
      <c r="C70" s="2757"/>
      <c r="D70" s="1282">
        <f t="shared" ref="D70:D78" si="20">SUMIF($J$69:$N$69,C70,J70:N70)</f>
        <v>0</v>
      </c>
      <c r="E70" s="814">
        <f>ROUND(SUM(D70:D78),4)</f>
        <v>0</v>
      </c>
      <c r="F70" s="2488"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0"/>
      <c r="AB70" s="1360"/>
      <c r="AC70" s="1360"/>
      <c r="AD70" s="1360"/>
      <c r="AE70" s="1360"/>
      <c r="AF70" s="1360"/>
      <c r="AG70" s="1360"/>
      <c r="AH70" s="1360"/>
      <c r="AI70" s="1360"/>
      <c r="AJ70" s="1360"/>
      <c r="AK70" s="1360"/>
    </row>
    <row r="71" spans="1:37" s="1359" customFormat="1" ht="51">
      <c r="A71" s="2865" t="s">
        <v>2950</v>
      </c>
      <c r="B71" s="2869" t="str">
        <f>估价对象房地状况!C18</f>
        <v>估价对象周边道路状况、公共交通通达情况、停车便捷程度，综合评价交通便捷度较好</v>
      </c>
      <c r="C71" s="2757"/>
      <c r="D71" s="1282">
        <f t="shared" si="20"/>
        <v>0</v>
      </c>
      <c r="E71" s="819"/>
      <c r="F71" s="2488"/>
      <c r="G71" s="1280"/>
      <c r="H71" s="1284" t="str">
        <f t="shared" si="21"/>
        <v>——</v>
      </c>
      <c r="I71" s="813">
        <v>0.3</v>
      </c>
      <c r="J71" s="1281">
        <f t="shared" si="22"/>
        <v>0</v>
      </c>
      <c r="K71" s="1281">
        <f t="shared" si="23"/>
        <v>0</v>
      </c>
      <c r="L71" s="1281">
        <v>0</v>
      </c>
      <c r="M71" s="1281">
        <f t="shared" si="24"/>
        <v>0</v>
      </c>
      <c r="N71" s="1281">
        <f t="shared" si="24"/>
        <v>0</v>
      </c>
      <c r="AA71" s="1360"/>
      <c r="AB71" s="1360"/>
      <c r="AC71" s="1360"/>
      <c r="AD71" s="1360"/>
      <c r="AE71" s="1360"/>
      <c r="AF71" s="1360"/>
      <c r="AG71" s="1360"/>
      <c r="AH71" s="1360"/>
      <c r="AI71" s="1360"/>
      <c r="AJ71" s="1360"/>
      <c r="AK71" s="1360"/>
    </row>
    <row r="72" spans="1:37" s="1359" customFormat="1" ht="24">
      <c r="A72" s="2865" t="s">
        <v>2951</v>
      </c>
      <c r="B72" s="2869">
        <f>估价对象房地状况!C19</f>
        <v>0</v>
      </c>
      <c r="C72" s="2757"/>
      <c r="D72" s="1282">
        <f t="shared" si="20"/>
        <v>0</v>
      </c>
      <c r="E72" s="819"/>
      <c r="F72" s="2488"/>
      <c r="G72" s="1280"/>
      <c r="H72" s="1284" t="str">
        <f t="shared" si="21"/>
        <v>——</v>
      </c>
      <c r="I72" s="813">
        <v>0.08</v>
      </c>
      <c r="J72" s="1281">
        <f t="shared" si="22"/>
        <v>0</v>
      </c>
      <c r="K72" s="1281">
        <f t="shared" si="23"/>
        <v>0</v>
      </c>
      <c r="L72" s="1281">
        <v>0</v>
      </c>
      <c r="M72" s="1281">
        <f t="shared" si="24"/>
        <v>0</v>
      </c>
      <c r="N72" s="1281">
        <f t="shared" si="24"/>
        <v>0</v>
      </c>
      <c r="AA72" s="1360"/>
      <c r="AB72" s="1360"/>
      <c r="AC72" s="1360"/>
      <c r="AD72" s="1360"/>
      <c r="AE72" s="1360"/>
      <c r="AF72" s="1360"/>
      <c r="AG72" s="1360"/>
      <c r="AH72" s="1360"/>
      <c r="AI72" s="1360"/>
      <c r="AJ72" s="1360"/>
      <c r="AK72" s="1360"/>
    </row>
    <row r="73" spans="1:37" s="1359" customFormat="1" ht="14.25">
      <c r="A73" s="2865" t="s">
        <v>2965</v>
      </c>
      <c r="B73" s="2869">
        <f>估价对象房地状况!C24</f>
        <v>0</v>
      </c>
      <c r="C73" s="2757"/>
      <c r="D73" s="1282">
        <f t="shared" si="20"/>
        <v>0</v>
      </c>
      <c r="E73" s="819"/>
      <c r="F73" s="2488"/>
      <c r="G73" s="1280"/>
      <c r="H73" s="1284" t="str">
        <f t="shared" si="21"/>
        <v>——</v>
      </c>
      <c r="I73" s="813">
        <v>0.04</v>
      </c>
      <c r="J73" s="1281">
        <f t="shared" si="22"/>
        <v>0</v>
      </c>
      <c r="K73" s="1281">
        <f t="shared" si="23"/>
        <v>0</v>
      </c>
      <c r="L73" s="1281">
        <v>0</v>
      </c>
      <c r="M73" s="1281">
        <f t="shared" si="24"/>
        <v>0</v>
      </c>
      <c r="N73" s="1281">
        <f t="shared" si="24"/>
        <v>0</v>
      </c>
      <c r="AA73" s="1360"/>
      <c r="AB73" s="1360"/>
      <c r="AC73" s="1360"/>
      <c r="AD73" s="1360"/>
      <c r="AE73" s="1360"/>
      <c r="AF73" s="1360"/>
      <c r="AG73" s="1360"/>
      <c r="AH73" s="1360"/>
      <c r="AI73" s="1360"/>
      <c r="AJ73" s="1360"/>
      <c r="AK73" s="1360"/>
    </row>
    <row r="74" spans="1:37" s="1359" customFormat="1" ht="25.5">
      <c r="A74" s="2865" t="s">
        <v>2957</v>
      </c>
      <c r="B74" s="1715" t="str">
        <f>估价对象房地状况!C21</f>
        <v>估价对象所在区域公共配套设施齐备情况</v>
      </c>
      <c r="C74" s="2757"/>
      <c r="D74" s="1282">
        <f t="shared" si="20"/>
        <v>0</v>
      </c>
      <c r="E74" s="819"/>
      <c r="F74" s="2488"/>
      <c r="G74" s="1280"/>
      <c r="H74" s="1284" t="str">
        <f t="shared" si="21"/>
        <v>——</v>
      </c>
      <c r="I74" s="813">
        <v>0.08</v>
      </c>
      <c r="J74" s="1281">
        <f t="shared" si="22"/>
        <v>0</v>
      </c>
      <c r="K74" s="1281">
        <f t="shared" si="23"/>
        <v>0</v>
      </c>
      <c r="L74" s="1281">
        <v>0</v>
      </c>
      <c r="M74" s="1281">
        <f t="shared" si="24"/>
        <v>0</v>
      </c>
      <c r="N74" s="1281">
        <f t="shared" si="24"/>
        <v>0</v>
      </c>
      <c r="AA74" s="1360"/>
      <c r="AB74" s="1360"/>
      <c r="AC74" s="1360"/>
      <c r="AD74" s="1360"/>
      <c r="AE74" s="1360"/>
      <c r="AF74" s="1360"/>
      <c r="AG74" s="1360"/>
      <c r="AH74" s="1360"/>
      <c r="AI74" s="1360"/>
      <c r="AJ74" s="1360"/>
      <c r="AK74" s="1360"/>
    </row>
    <row r="75" spans="1:37" s="1359" customFormat="1" ht="25.5">
      <c r="A75" s="2865" t="s">
        <v>2958</v>
      </c>
      <c r="B75" s="1715" t="str">
        <f>估价对象房地状况!C22</f>
        <v>估价对象所在区域基础设施水平</v>
      </c>
      <c r="C75" s="2757"/>
      <c r="D75" s="1282">
        <f t="shared" si="20"/>
        <v>0</v>
      </c>
      <c r="E75" s="819"/>
      <c r="F75" s="2488"/>
      <c r="G75" s="1280"/>
      <c r="H75" s="1284" t="str">
        <f t="shared" si="21"/>
        <v>——</v>
      </c>
      <c r="I75" s="813">
        <v>0.12</v>
      </c>
      <c r="J75" s="1281">
        <f t="shared" si="22"/>
        <v>0</v>
      </c>
      <c r="K75" s="1281">
        <f t="shared" si="23"/>
        <v>0</v>
      </c>
      <c r="L75" s="1281">
        <v>0</v>
      </c>
      <c r="M75" s="1281">
        <f t="shared" si="24"/>
        <v>0</v>
      </c>
      <c r="N75" s="1281">
        <f t="shared" si="24"/>
        <v>0</v>
      </c>
      <c r="AA75" s="1360"/>
      <c r="AB75" s="1360"/>
      <c r="AC75" s="1360"/>
      <c r="AD75" s="1360"/>
      <c r="AE75" s="1360"/>
      <c r="AF75" s="1360"/>
      <c r="AG75" s="1360"/>
      <c r="AH75" s="1360"/>
      <c r="AI75" s="1360"/>
      <c r="AJ75" s="1360"/>
      <c r="AK75" s="1360"/>
    </row>
    <row r="76" spans="1:37" s="2706" customFormat="1" ht="24">
      <c r="A76" s="2865" t="s">
        <v>2955</v>
      </c>
      <c r="B76" s="2871" t="s">
        <v>2956</v>
      </c>
      <c r="C76" s="2757"/>
      <c r="D76" s="1282">
        <f t="shared" si="20"/>
        <v>0</v>
      </c>
      <c r="E76" s="819"/>
      <c r="F76" s="2488"/>
      <c r="G76" s="1280"/>
      <c r="H76" s="1284" t="str">
        <f t="shared" si="21"/>
        <v>——</v>
      </c>
      <c r="I76" s="813">
        <v>0.05</v>
      </c>
      <c r="J76" s="1281">
        <f t="shared" si="22"/>
        <v>0</v>
      </c>
      <c r="K76" s="1281">
        <f t="shared" si="23"/>
        <v>0</v>
      </c>
      <c r="L76" s="1281">
        <v>0</v>
      </c>
      <c r="M76" s="1281">
        <f t="shared" si="24"/>
        <v>0</v>
      </c>
      <c r="N76" s="1281">
        <f t="shared" si="24"/>
        <v>0</v>
      </c>
      <c r="AA76" s="2876"/>
      <c r="AB76" s="1360"/>
      <c r="AC76" s="1360"/>
      <c r="AD76" s="1360"/>
      <c r="AE76" s="1360"/>
      <c r="AF76" s="1360"/>
      <c r="AG76" s="1360"/>
      <c r="AH76" s="2876"/>
      <c r="AI76" s="2876"/>
      <c r="AJ76" s="2876"/>
      <c r="AK76" s="2876"/>
    </row>
    <row r="77" spans="1:37" ht="38.25">
      <c r="A77" s="2865" t="s">
        <v>2959</v>
      </c>
      <c r="B77" s="2868" t="str">
        <f>估价对象房地状况!C20</f>
        <v>区域自然环境：；人文环境；综合评价环境状况一般</v>
      </c>
      <c r="C77" s="2757"/>
      <c r="D77" s="1282">
        <f t="shared" si="20"/>
        <v>0</v>
      </c>
      <c r="E77" s="819"/>
      <c r="F77" s="2488"/>
      <c r="G77" s="1280"/>
      <c r="H77" s="1284" t="str">
        <f t="shared" si="21"/>
        <v>——</v>
      </c>
      <c r="I77" s="813">
        <v>0.15</v>
      </c>
      <c r="J77" s="1281">
        <f t="shared" si="22"/>
        <v>0</v>
      </c>
      <c r="K77" s="1281">
        <f t="shared" si="23"/>
        <v>0</v>
      </c>
      <c r="L77" s="1281">
        <v>0</v>
      </c>
      <c r="M77" s="1281">
        <f t="shared" si="24"/>
        <v>0</v>
      </c>
      <c r="N77" s="1281">
        <f t="shared" si="24"/>
        <v>0</v>
      </c>
      <c r="Z77" s="2707"/>
      <c r="AA77" s="2783"/>
      <c r="AG77" s="1361"/>
      <c r="AK77" s="2783"/>
    </row>
    <row r="78" spans="1:37" ht="24.75" thickBot="1">
      <c r="A78" s="2873" t="s">
        <v>2966</v>
      </c>
      <c r="B78" s="2877"/>
      <c r="C78" s="2757"/>
      <c r="D78" s="1282">
        <f t="shared" si="20"/>
        <v>0</v>
      </c>
      <c r="E78" s="820"/>
      <c r="F78" s="2488"/>
      <c r="G78" s="1280"/>
      <c r="H78" s="1284" t="str">
        <f t="shared" si="21"/>
        <v>——</v>
      </c>
      <c r="I78" s="817">
        <v>0.04</v>
      </c>
      <c r="J78" s="1281">
        <f t="shared" si="22"/>
        <v>0</v>
      </c>
      <c r="K78" s="1281">
        <f t="shared" si="23"/>
        <v>0</v>
      </c>
      <c r="L78" s="1281">
        <v>0</v>
      </c>
      <c r="M78" s="1281">
        <f t="shared" si="24"/>
        <v>0</v>
      </c>
      <c r="N78" s="1281">
        <f t="shared" si="24"/>
        <v>0</v>
      </c>
      <c r="Z78" s="2707"/>
      <c r="AA78" s="2783"/>
      <c r="AG78" s="1361"/>
      <c r="AK78" s="2783"/>
    </row>
    <row r="79" spans="1:37" ht="15">
      <c r="A79" s="2861" t="s">
        <v>2967</v>
      </c>
      <c r="B79" s="2862">
        <f>1+E81</f>
        <v>1</v>
      </c>
      <c r="C79" s="807"/>
      <c r="D79" s="807"/>
      <c r="E79" s="808"/>
      <c r="F79" s="2864"/>
      <c r="G79" s="6"/>
      <c r="H79" s="6"/>
      <c r="I79" s="6"/>
      <c r="J79" s="7"/>
      <c r="K79" s="7"/>
      <c r="L79" s="7"/>
      <c r="M79" s="7"/>
      <c r="N79" s="7"/>
      <c r="Z79" s="2707"/>
      <c r="AA79" s="2783"/>
      <c r="AG79" s="1361"/>
      <c r="AK79" s="2783"/>
    </row>
    <row r="80" spans="1:37" ht="24.75">
      <c r="A80" s="2865" t="s">
        <v>2941</v>
      </c>
      <c r="B80" s="1799"/>
      <c r="C80" s="1799" t="s">
        <v>2943</v>
      </c>
      <c r="D80" s="1799" t="s">
        <v>2944</v>
      </c>
      <c r="E80" s="812" t="s">
        <v>2945</v>
      </c>
      <c r="F80" s="2866" t="s">
        <v>2961</v>
      </c>
      <c r="G80" s="1799" t="s">
        <v>754</v>
      </c>
      <c r="H80" s="2867" t="s">
        <v>2947</v>
      </c>
      <c r="I80" s="1799" t="s">
        <v>2948</v>
      </c>
      <c r="J80" s="599" t="s">
        <v>2594</v>
      </c>
      <c r="K80" s="599" t="s">
        <v>2595</v>
      </c>
      <c r="L80" s="599" t="s">
        <v>2596</v>
      </c>
      <c r="M80" s="599" t="s">
        <v>2597</v>
      </c>
      <c r="N80" s="599" t="s">
        <v>2598</v>
      </c>
      <c r="Z80" s="2707"/>
      <c r="AA80" s="2783"/>
      <c r="AG80" s="1361"/>
      <c r="AK80" s="2783"/>
    </row>
    <row r="81" spans="1:37" ht="38.25">
      <c r="A81" s="2865" t="s">
        <v>2968</v>
      </c>
      <c r="B81" s="2869" t="str">
        <f>估价对象房地状况!G15</f>
        <v>估价对象位于XX开发区，园区建设成熟度XX，产业集聚程度XX</v>
      </c>
      <c r="C81" s="2757"/>
      <c r="D81" s="1282">
        <f t="shared" ref="D81:D88" si="25">SUMIF($J$80:$N$80,C81,J81:N81)</f>
        <v>0</v>
      </c>
      <c r="E81" s="814">
        <f>ROUND(SUM(D81:D88),4)</f>
        <v>0</v>
      </c>
      <c r="F81" s="2488"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07"/>
      <c r="AA81" s="2783"/>
      <c r="AG81" s="1361"/>
      <c r="AK81" s="2783"/>
    </row>
    <row r="82" spans="1:37" ht="51">
      <c r="A82" s="2865" t="s">
        <v>2950</v>
      </c>
      <c r="B82" s="2869" t="str">
        <f>估价对象房地状况!G16</f>
        <v>估价对象周边道路状况、公共交通通达情况、停车便捷程度，综合评价交通便捷度较好</v>
      </c>
      <c r="C82" s="2757"/>
      <c r="D82" s="1282">
        <f t="shared" si="25"/>
        <v>0</v>
      </c>
      <c r="E82" s="819"/>
      <c r="F82" s="2488"/>
      <c r="G82" s="1280"/>
      <c r="H82" s="1284" t="str">
        <f t="shared" si="26"/>
        <v>——</v>
      </c>
      <c r="I82" s="813">
        <v>0.33</v>
      </c>
      <c r="J82" s="1281">
        <f t="shared" si="27"/>
        <v>0</v>
      </c>
      <c r="K82" s="1281">
        <f t="shared" si="28"/>
        <v>0</v>
      </c>
      <c r="L82" s="1281">
        <v>0</v>
      </c>
      <c r="M82" s="1281">
        <f t="shared" si="29"/>
        <v>0</v>
      </c>
      <c r="N82" s="1281">
        <f t="shared" si="29"/>
        <v>0</v>
      </c>
      <c r="Z82" s="2707"/>
      <c r="AA82" s="2783"/>
      <c r="AG82" s="1361"/>
      <c r="AK82" s="2783"/>
    </row>
    <row r="83" spans="1:37" ht="24">
      <c r="A83" s="2865" t="s">
        <v>2951</v>
      </c>
      <c r="B83" s="2869">
        <f>估价对象房地状况!G17</f>
        <v>0</v>
      </c>
      <c r="C83" s="2757"/>
      <c r="D83" s="1282">
        <f t="shared" si="25"/>
        <v>0</v>
      </c>
      <c r="E83" s="819"/>
      <c r="F83" s="2488"/>
      <c r="G83" s="1280"/>
      <c r="H83" s="1284" t="str">
        <f t="shared" si="26"/>
        <v>——</v>
      </c>
      <c r="I83" s="813">
        <v>0.05</v>
      </c>
      <c r="J83" s="1281">
        <f t="shared" si="27"/>
        <v>0</v>
      </c>
      <c r="K83" s="1281">
        <f t="shared" si="28"/>
        <v>0</v>
      </c>
      <c r="L83" s="1281">
        <v>0</v>
      </c>
      <c r="M83" s="1281">
        <f t="shared" si="29"/>
        <v>0</v>
      </c>
      <c r="N83" s="1281">
        <f t="shared" si="29"/>
        <v>0</v>
      </c>
      <c r="Z83" s="2707"/>
      <c r="AA83" s="2783"/>
      <c r="AG83" s="1361"/>
      <c r="AK83" s="2783"/>
    </row>
    <row r="84" spans="1:37" ht="14.25">
      <c r="A84" s="2865" t="s">
        <v>2965</v>
      </c>
      <c r="B84" s="2869">
        <f>估价对象房地状况!G22</f>
        <v>0</v>
      </c>
      <c r="C84" s="2757"/>
      <c r="D84" s="1282">
        <f t="shared" si="25"/>
        <v>0</v>
      </c>
      <c r="E84" s="819"/>
      <c r="F84" s="2488"/>
      <c r="G84" s="1280"/>
      <c r="H84" s="1284" t="str">
        <f t="shared" si="26"/>
        <v>——</v>
      </c>
      <c r="I84" s="813">
        <v>0.04</v>
      </c>
      <c r="J84" s="1281">
        <f t="shared" si="27"/>
        <v>0</v>
      </c>
      <c r="K84" s="1281">
        <f t="shared" si="28"/>
        <v>0</v>
      </c>
      <c r="L84" s="1281">
        <v>0</v>
      </c>
      <c r="M84" s="1281">
        <f t="shared" si="29"/>
        <v>0</v>
      </c>
      <c r="N84" s="1281">
        <f t="shared" si="29"/>
        <v>0</v>
      </c>
      <c r="Z84" s="2707"/>
      <c r="AA84" s="2783"/>
      <c r="AG84" s="1361"/>
      <c r="AK84" s="2783"/>
    </row>
    <row r="85" spans="1:37" ht="25.5">
      <c r="A85" s="2865" t="s">
        <v>2957</v>
      </c>
      <c r="B85" s="1715" t="str">
        <f>估价对象房地状况!G19</f>
        <v>估价对象所在区域公共配套设施齐备情况</v>
      </c>
      <c r="C85" s="2757"/>
      <c r="D85" s="1282">
        <f t="shared" si="25"/>
        <v>0</v>
      </c>
      <c r="E85" s="819"/>
      <c r="F85" s="2488"/>
      <c r="G85" s="1280"/>
      <c r="H85" s="1284" t="str">
        <f t="shared" si="26"/>
        <v>——</v>
      </c>
      <c r="I85" s="813">
        <v>0.06</v>
      </c>
      <c r="J85" s="1281">
        <f t="shared" si="27"/>
        <v>0</v>
      </c>
      <c r="K85" s="1281">
        <f t="shared" si="28"/>
        <v>0</v>
      </c>
      <c r="L85" s="1281">
        <v>0</v>
      </c>
      <c r="M85" s="1281">
        <f t="shared" si="29"/>
        <v>0</v>
      </c>
      <c r="N85" s="1281">
        <f t="shared" si="29"/>
        <v>0</v>
      </c>
      <c r="Z85" s="2707"/>
      <c r="AA85" s="2783"/>
      <c r="AG85" s="1361"/>
      <c r="AK85" s="2783"/>
    </row>
    <row r="86" spans="1:37" ht="25.5">
      <c r="A86" s="2865" t="s">
        <v>2958</v>
      </c>
      <c r="B86" s="1715" t="str">
        <f>估价对象房地状况!G20</f>
        <v>估价对象所在区域基础设施水平</v>
      </c>
      <c r="C86" s="2757"/>
      <c r="D86" s="1282">
        <f t="shared" si="25"/>
        <v>0</v>
      </c>
      <c r="E86" s="819"/>
      <c r="F86" s="2488"/>
      <c r="G86" s="1280"/>
      <c r="H86" s="1284" t="str">
        <f t="shared" si="26"/>
        <v>——</v>
      </c>
      <c r="I86" s="813">
        <v>0.15</v>
      </c>
      <c r="J86" s="1281">
        <f t="shared" si="27"/>
        <v>0</v>
      </c>
      <c r="K86" s="1281">
        <f t="shared" si="28"/>
        <v>0</v>
      </c>
      <c r="L86" s="1281">
        <v>0</v>
      </c>
      <c r="M86" s="1281">
        <f t="shared" si="29"/>
        <v>0</v>
      </c>
      <c r="N86" s="1281">
        <f t="shared" si="29"/>
        <v>0</v>
      </c>
      <c r="Z86" s="2707"/>
      <c r="AA86" s="2783"/>
      <c r="AG86" s="1361"/>
      <c r="AK86" s="2783"/>
    </row>
    <row r="87" spans="1:37" ht="24">
      <c r="A87" s="2865" t="s">
        <v>2955</v>
      </c>
      <c r="B87" s="2871" t="s">
        <v>2969</v>
      </c>
      <c r="C87" s="2757"/>
      <c r="D87" s="1282">
        <f t="shared" si="25"/>
        <v>0</v>
      </c>
      <c r="E87" s="819"/>
      <c r="F87" s="2488"/>
      <c r="G87" s="1280"/>
      <c r="H87" s="1284" t="str">
        <f t="shared" si="26"/>
        <v>——</v>
      </c>
      <c r="I87" s="813">
        <v>0.05</v>
      </c>
      <c r="J87" s="1281">
        <f t="shared" si="27"/>
        <v>0</v>
      </c>
      <c r="K87" s="1281">
        <f t="shared" si="28"/>
        <v>0</v>
      </c>
      <c r="L87" s="1281">
        <v>0</v>
      </c>
      <c r="M87" s="1281">
        <f t="shared" si="29"/>
        <v>0</v>
      </c>
      <c r="N87" s="1281">
        <f t="shared" si="29"/>
        <v>0</v>
      </c>
      <c r="Z87" s="2707"/>
      <c r="AA87" s="2783"/>
      <c r="AG87" s="1361"/>
      <c r="AK87" s="2783"/>
    </row>
    <row r="88" spans="1:37" ht="39" thickBot="1">
      <c r="A88" s="2873" t="s">
        <v>2970</v>
      </c>
      <c r="B88" s="2878" t="str">
        <f>估价对象房地状况!G18</f>
        <v>该园区内是否有污染型企业，绿化情况，卫生条件，整体环境状况判断</v>
      </c>
      <c r="C88" s="2757"/>
      <c r="D88" s="1282">
        <f t="shared" si="25"/>
        <v>0</v>
      </c>
      <c r="E88" s="820"/>
      <c r="F88" s="2488"/>
      <c r="G88" s="1280"/>
      <c r="H88" s="1284" t="str">
        <f t="shared" si="26"/>
        <v>——</v>
      </c>
      <c r="I88" s="817">
        <v>0.06</v>
      </c>
      <c r="J88" s="1281">
        <f t="shared" si="27"/>
        <v>0</v>
      </c>
      <c r="K88" s="1281">
        <f t="shared" si="28"/>
        <v>0</v>
      </c>
      <c r="L88" s="1281">
        <v>0</v>
      </c>
      <c r="M88" s="1281">
        <f t="shared" si="29"/>
        <v>0</v>
      </c>
      <c r="N88" s="1281">
        <f t="shared" si="29"/>
        <v>0</v>
      </c>
      <c r="Z88" s="2707"/>
      <c r="AA88" s="2783"/>
      <c r="AG88" s="1361"/>
      <c r="AK88" s="2783"/>
    </row>
    <row r="90" spans="1:37">
      <c r="A90" s="3298" t="s">
        <v>2971</v>
      </c>
      <c r="B90" s="3298"/>
      <c r="C90" s="3298"/>
      <c r="D90" s="3298"/>
      <c r="E90" s="3298"/>
      <c r="F90" s="3298"/>
      <c r="G90" s="3298"/>
      <c r="H90" s="3298"/>
      <c r="I90" s="3298"/>
      <c r="J90" s="3298"/>
      <c r="K90" s="2879"/>
      <c r="L90" s="2879"/>
      <c r="M90" s="2879"/>
      <c r="N90" s="2879"/>
    </row>
    <row r="91" spans="1:37">
      <c r="A91" s="3300" t="s">
        <v>2972</v>
      </c>
      <c r="B91" s="3300" t="s">
        <v>2973</v>
      </c>
      <c r="C91" s="2833" t="s">
        <v>2974</v>
      </c>
      <c r="D91" s="2834"/>
      <c r="E91" s="2834"/>
      <c r="F91" s="2834"/>
      <c r="G91" s="2834"/>
      <c r="H91" s="2834"/>
      <c r="I91" s="2834"/>
      <c r="J91" s="2880"/>
      <c r="K91" s="2881"/>
      <c r="L91" s="2881"/>
      <c r="M91" s="2881"/>
      <c r="N91" s="2881"/>
    </row>
    <row r="92" spans="1:37">
      <c r="A92" s="3300"/>
      <c r="B92" s="3300"/>
      <c r="C92" s="938" t="s">
        <v>2838</v>
      </c>
      <c r="D92" s="938" t="s">
        <v>2839</v>
      </c>
      <c r="E92" s="938" t="s">
        <v>2840</v>
      </c>
      <c r="F92" s="938" t="s">
        <v>2841</v>
      </c>
      <c r="G92" s="938" t="s">
        <v>2842</v>
      </c>
      <c r="H92" s="938" t="s">
        <v>2843</v>
      </c>
      <c r="I92" s="938" t="s">
        <v>2844</v>
      </c>
      <c r="J92" s="938" t="s">
        <v>2845</v>
      </c>
      <c r="K92" s="938" t="s">
        <v>2846</v>
      </c>
      <c r="L92" s="938" t="s">
        <v>2847</v>
      </c>
      <c r="M92" s="938" t="s">
        <v>2848</v>
      </c>
      <c r="N92" s="938" t="s">
        <v>2849</v>
      </c>
    </row>
    <row r="93" spans="1:37">
      <c r="A93" s="3301" t="s">
        <v>2975</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02"/>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02"/>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02"/>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02"/>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02"/>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02"/>
      <c r="B99" s="2882" t="s">
        <v>2854</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03"/>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01" t="s">
        <v>2976</v>
      </c>
      <c r="B101" s="2886" t="s">
        <v>2977</v>
      </c>
      <c r="C101" s="2887">
        <f>$G$3</f>
        <v>5.7</v>
      </c>
      <c r="D101" s="2887">
        <f t="shared" ref="D101:N101" si="31">$G$3</f>
        <v>5.7</v>
      </c>
      <c r="E101" s="2887">
        <f t="shared" si="31"/>
        <v>5.7</v>
      </c>
      <c r="F101" s="2887">
        <f t="shared" si="31"/>
        <v>5.7</v>
      </c>
      <c r="G101" s="2887">
        <f t="shared" si="31"/>
        <v>5.7</v>
      </c>
      <c r="H101" s="2887">
        <f t="shared" si="31"/>
        <v>5.7</v>
      </c>
      <c r="I101" s="2887">
        <f t="shared" si="31"/>
        <v>5.7</v>
      </c>
      <c r="J101" s="2887">
        <f t="shared" si="31"/>
        <v>5.7</v>
      </c>
      <c r="K101" s="2887">
        <f t="shared" si="31"/>
        <v>5.7</v>
      </c>
      <c r="L101" s="2887">
        <f t="shared" si="31"/>
        <v>5.7</v>
      </c>
      <c r="M101" s="2887">
        <f t="shared" si="31"/>
        <v>5.7</v>
      </c>
      <c r="N101" s="2887">
        <f t="shared" si="31"/>
        <v>5.7</v>
      </c>
    </row>
    <row r="102" spans="1:14">
      <c r="A102" s="3302"/>
      <c r="B102" s="2882">
        <v>1</v>
      </c>
      <c r="C102" s="2883">
        <f>1.9362/C101</f>
        <v>0.33968421052631576</v>
      </c>
      <c r="D102" s="2883">
        <f>1.9362/D101</f>
        <v>0.33968421052631576</v>
      </c>
      <c r="E102" s="2883">
        <f>1.8629/E101</f>
        <v>0.32682456140350874</v>
      </c>
      <c r="F102" s="2883">
        <f>1.8629/F101</f>
        <v>0.32682456140350874</v>
      </c>
      <c r="G102" s="2883">
        <f>1.8629/G101</f>
        <v>0.32682456140350874</v>
      </c>
      <c r="H102" s="2883">
        <f>1.8629/H101</f>
        <v>0.32682456140350874</v>
      </c>
      <c r="I102" s="2883">
        <f>1.8629/I101</f>
        <v>0.32682456140350874</v>
      </c>
      <c r="J102" s="2883">
        <f>1.942/J101</f>
        <v>0.34070175438596489</v>
      </c>
      <c r="K102" s="2883">
        <f>1.942/K101</f>
        <v>0.34070175438596489</v>
      </c>
      <c r="L102" s="2883">
        <f>1.942/L101</f>
        <v>0.34070175438596489</v>
      </c>
      <c r="M102" s="2883">
        <f>1.942/M101</f>
        <v>0.34070175438596489</v>
      </c>
      <c r="N102" s="2883">
        <f>1.942/N101</f>
        <v>0.34070175438596489</v>
      </c>
    </row>
    <row r="103" spans="1:14">
      <c r="A103" s="3302"/>
      <c r="B103" s="2882">
        <v>2</v>
      </c>
      <c r="C103" s="2883">
        <f>1.4198/C101</f>
        <v>0.24908771929824561</v>
      </c>
      <c r="D103" s="2883">
        <f>1.4198/D101</f>
        <v>0.24908771929824561</v>
      </c>
      <c r="E103" s="2883">
        <f>1.3372/E101</f>
        <v>0.23459649122807016</v>
      </c>
      <c r="F103" s="2883">
        <f>1.3372/F101</f>
        <v>0.23459649122807016</v>
      </c>
      <c r="G103" s="2883">
        <f>1.3372/G101</f>
        <v>0.23459649122807016</v>
      </c>
      <c r="H103" s="2883">
        <f>1.3372/H101</f>
        <v>0.23459649122807016</v>
      </c>
      <c r="I103" s="2883">
        <f>1.3372/I101</f>
        <v>0.23459649122807016</v>
      </c>
      <c r="J103" s="2883">
        <f>1.2799/J101</f>
        <v>0.2245438596491228</v>
      </c>
      <c r="K103" s="2883">
        <f>1.2799/K101</f>
        <v>0.2245438596491228</v>
      </c>
      <c r="L103" s="2883">
        <f>1.2799/L101</f>
        <v>0.2245438596491228</v>
      </c>
      <c r="M103" s="2883">
        <f>1.2799/M101</f>
        <v>0.2245438596491228</v>
      </c>
      <c r="N103" s="2883">
        <f>1.2799/N101</f>
        <v>0.2245438596491228</v>
      </c>
    </row>
    <row r="104" spans="1:14">
      <c r="A104" s="3302"/>
      <c r="B104" s="2882">
        <v>3</v>
      </c>
      <c r="C104" s="2883">
        <f>1.1594/C101</f>
        <v>0.20340350877192981</v>
      </c>
      <c r="D104" s="2883">
        <f>1.1594/D101</f>
        <v>0.20340350877192981</v>
      </c>
      <c r="E104" s="2883">
        <f>1.0788/E101</f>
        <v>0.18926315789473683</v>
      </c>
      <c r="F104" s="2883">
        <f>1.0788/F101</f>
        <v>0.18926315789473683</v>
      </c>
      <c r="G104" s="2883">
        <f>1.0788/G101</f>
        <v>0.18926315789473683</v>
      </c>
      <c r="H104" s="2883">
        <f>1.0788/H101</f>
        <v>0.18926315789473683</v>
      </c>
      <c r="I104" s="2883">
        <f>1.0788/I101</f>
        <v>0.18926315789473683</v>
      </c>
      <c r="J104" s="2883">
        <f>1.0072/J101</f>
        <v>0.17670175438596492</v>
      </c>
      <c r="K104" s="2883">
        <f>1.0072/K101</f>
        <v>0.17670175438596492</v>
      </c>
      <c r="L104" s="2883">
        <f>1.0072/L101</f>
        <v>0.17670175438596492</v>
      </c>
      <c r="M104" s="2883">
        <f>1.0072/M101</f>
        <v>0.17670175438596492</v>
      </c>
      <c r="N104" s="2883">
        <f>1.0072/N101</f>
        <v>0.17670175438596492</v>
      </c>
    </row>
    <row r="105" spans="1:14">
      <c r="A105" s="3302"/>
      <c r="B105" s="2882">
        <v>4</v>
      </c>
      <c r="C105" s="2883">
        <f>0.9622/C101</f>
        <v>0.16880701754385966</v>
      </c>
      <c r="D105" s="2883">
        <f>0.9622/D101</f>
        <v>0.16880701754385966</v>
      </c>
      <c r="E105" s="2883">
        <f>0.8656/E101</f>
        <v>0.15185964912280703</v>
      </c>
      <c r="F105" s="2883">
        <f>0.8656/F101</f>
        <v>0.15185964912280703</v>
      </c>
      <c r="G105" s="2883">
        <f>0.8656/G101</f>
        <v>0.15185964912280703</v>
      </c>
      <c r="H105" s="2883">
        <f>0.8656/H101</f>
        <v>0.15185964912280703</v>
      </c>
      <c r="I105" s="2883">
        <f>0.8656/I101</f>
        <v>0.15185964912280703</v>
      </c>
      <c r="J105" s="2883">
        <f>0.7525/J101</f>
        <v>0.13201754385964912</v>
      </c>
      <c r="K105" s="2883">
        <f>0.7525/K101</f>
        <v>0.13201754385964912</v>
      </c>
      <c r="L105" s="2883">
        <f>0.7525/L101</f>
        <v>0.13201754385964912</v>
      </c>
      <c r="M105" s="2883">
        <f>0.7525/M101</f>
        <v>0.13201754385964912</v>
      </c>
      <c r="N105" s="2883">
        <f>0.7525/N101</f>
        <v>0.13201754385964912</v>
      </c>
    </row>
    <row r="106" spans="1:14">
      <c r="A106" s="3302"/>
      <c r="B106" s="2882">
        <v>5</v>
      </c>
      <c r="C106" s="2883">
        <f>0.8417/C101</f>
        <v>0.14766666666666667</v>
      </c>
      <c r="D106" s="2883">
        <f>0.8417/D101</f>
        <v>0.14766666666666667</v>
      </c>
      <c r="E106" s="2883">
        <f>0.7371/E101</f>
        <v>0.12931578947368419</v>
      </c>
      <c r="F106" s="2883">
        <f>0.7371/F101</f>
        <v>0.12931578947368419</v>
      </c>
      <c r="G106" s="2883">
        <f>0.7371/G101</f>
        <v>0.12931578947368419</v>
      </c>
      <c r="H106" s="2883">
        <f>0.7371/H101</f>
        <v>0.12931578947368419</v>
      </c>
      <c r="I106" s="2883">
        <f>0.7371/I101</f>
        <v>0.12931578947368419</v>
      </c>
      <c r="J106" s="2883">
        <f>0.5659/J101</f>
        <v>9.9280701754385955E-2</v>
      </c>
      <c r="K106" s="2883">
        <f>0.5659/K101</f>
        <v>9.9280701754385955E-2</v>
      </c>
      <c r="L106" s="2883">
        <f>0.5659/L101</f>
        <v>9.9280701754385955E-2</v>
      </c>
      <c r="M106" s="2883">
        <f>0.5659/M101</f>
        <v>9.9280701754385955E-2</v>
      </c>
      <c r="N106" s="2883">
        <f>0.5659/N101</f>
        <v>9.9280701754385955E-2</v>
      </c>
    </row>
    <row r="107" spans="1:14">
      <c r="A107" s="3302"/>
      <c r="B107" s="2882">
        <v>6</v>
      </c>
      <c r="C107" s="2883">
        <f>0.7608/C101</f>
        <v>0.13347368421052633</v>
      </c>
      <c r="D107" s="2883">
        <f>0.7608/D101</f>
        <v>0.13347368421052633</v>
      </c>
      <c r="E107" s="2883">
        <f>0.6482/E101</f>
        <v>0.11371929824561403</v>
      </c>
      <c r="F107" s="2883">
        <f>0.6482/F101</f>
        <v>0.11371929824561403</v>
      </c>
      <c r="G107" s="2883">
        <f>0.6482/G101</f>
        <v>0.11371929824561403</v>
      </c>
      <c r="H107" s="2883">
        <f>0.6482/H101</f>
        <v>0.11371929824561403</v>
      </c>
      <c r="I107" s="2883">
        <f>0.6482/I101</f>
        <v>0.11371929824561403</v>
      </c>
      <c r="J107" s="2883">
        <f>0.4525/J101</f>
        <v>7.9385964912280699E-2</v>
      </c>
      <c r="K107" s="2883">
        <f>0.4525/K101</f>
        <v>7.9385964912280699E-2</v>
      </c>
      <c r="L107" s="2883">
        <f>0.4525/L101</f>
        <v>7.9385964912280699E-2</v>
      </c>
      <c r="M107" s="2883">
        <f>0.4525/M101</f>
        <v>7.9385964912280699E-2</v>
      </c>
      <c r="N107" s="2883">
        <f>0.4525/N101</f>
        <v>7.9385964912280699E-2</v>
      </c>
    </row>
    <row r="108" spans="1:14">
      <c r="A108" s="3302"/>
      <c r="B108" s="3126" t="s">
        <v>2978</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03"/>
      <c r="B109" s="3127"/>
      <c r="C109" s="2885">
        <f>(-0.163*(C108^2)-0.59*C108+7617)*(10^(-4))/C101</f>
        <v>0.13363157894736843</v>
      </c>
      <c r="D109" s="2885">
        <f>(-0.163*(D108^2)-0.59*D108+7617)*(10^(-4))/D101</f>
        <v>0.13363157894736843</v>
      </c>
      <c r="E109" s="2885">
        <f>(-0.161*(E108^2)-7.509*E108+6533)*(10^(-4))/E101</f>
        <v>0.11461403508771929</v>
      </c>
      <c r="F109" s="2885">
        <f>(-0.161*(F108^2)-7.509*F108+6533)*(10^(-4))/F101</f>
        <v>0.11461403508771929</v>
      </c>
      <c r="G109" s="2885">
        <f>(-0.161*(G108^2)-7.509*G108+6533)*(10^(-4))/G101</f>
        <v>0.11461403508771929</v>
      </c>
      <c r="H109" s="2885">
        <f>(-0.161*(H108^2)-7.509*H108+6533)*(10^(-4))/H101</f>
        <v>0.11461403508771929</v>
      </c>
      <c r="I109" s="2885">
        <f>(-0.161*(I108^2)-7.509*I108+6533)*(10^(-4))/I101</f>
        <v>0.11461403508771929</v>
      </c>
      <c r="J109" s="2885">
        <f>(-0.214*(J108^2)-21.991*J108+4665)*(10^(-4))/J101</f>
        <v>8.1842105263157897E-2</v>
      </c>
      <c r="K109" s="2885">
        <f>(-0.214*(K108^2)-21.991*K108+4665)*(10^(-4))/K101</f>
        <v>8.1842105263157897E-2</v>
      </c>
      <c r="L109" s="2885">
        <f>(-0.214*(L108^2)-21.991*L108+4665)*(10^(-4))/L101</f>
        <v>8.1842105263157897E-2</v>
      </c>
      <c r="M109" s="2885">
        <f>(-0.214*(M108^2)-21.991*M108+4665)*(10^(-4))/M101</f>
        <v>8.1842105263157897E-2</v>
      </c>
      <c r="N109" s="2885">
        <f>(-0.214*(N108^2)-21.991*N108+4665)*(10^(-4))/N101</f>
        <v>8.1842105263157897E-2</v>
      </c>
    </row>
    <row r="110" spans="1:14">
      <c r="A110" s="3299" t="s">
        <v>2979</v>
      </c>
      <c r="B110" s="3299"/>
      <c r="C110" s="3299"/>
      <c r="D110" s="3299"/>
      <c r="E110" s="3299"/>
      <c r="F110" s="3299"/>
      <c r="G110" s="3299"/>
      <c r="H110" s="3299"/>
      <c r="I110" s="3299"/>
      <c r="J110" s="3299"/>
      <c r="K110" s="2888"/>
      <c r="L110" s="2888"/>
      <c r="M110" s="2888"/>
      <c r="N110" s="2888"/>
    </row>
    <row r="112" spans="1:14" ht="13.5" thickBot="1"/>
    <row r="113" spans="1:13" ht="25.5" thickBot="1">
      <c r="A113" s="896" t="s">
        <v>2980</v>
      </c>
      <c r="B113" s="1283">
        <f>G3</f>
        <v>5.7</v>
      </c>
      <c r="C113" s="897" t="s">
        <v>2981</v>
      </c>
      <c r="D113" s="898">
        <f>SUMPRODUCT((A115:A118=F113)*(B114:M114=H113)*B115:M118)</f>
        <v>0</v>
      </c>
      <c r="E113" s="2711" t="s">
        <v>2811</v>
      </c>
      <c r="F113" s="2890">
        <f>E2</f>
        <v>0</v>
      </c>
      <c r="G113" s="2711" t="s">
        <v>2812</v>
      </c>
      <c r="H113" s="2890">
        <f>G2</f>
        <v>0</v>
      </c>
      <c r="I113" s="2711"/>
      <c r="J113" s="2891"/>
      <c r="K113" s="2891"/>
      <c r="L113" s="2891"/>
      <c r="M113" s="2891"/>
    </row>
    <row r="114" spans="1:13">
      <c r="A114" s="901"/>
      <c r="B114" s="2892" t="s">
        <v>2982</v>
      </c>
      <c r="C114" s="2892" t="s">
        <v>2983</v>
      </c>
      <c r="D114" s="2892" t="s">
        <v>2984</v>
      </c>
      <c r="E114" s="2893" t="s">
        <v>2985</v>
      </c>
      <c r="F114" s="2893" t="s">
        <v>2986</v>
      </c>
      <c r="G114" s="2893" t="s">
        <v>2987</v>
      </c>
      <c r="H114" s="2894" t="s">
        <v>2988</v>
      </c>
      <c r="I114" s="2894" t="s">
        <v>2989</v>
      </c>
      <c r="J114" s="2895" t="s">
        <v>2990</v>
      </c>
      <c r="K114" s="2895" t="s">
        <v>2991</v>
      </c>
      <c r="L114" s="2895" t="s">
        <v>2992</v>
      </c>
      <c r="M114" s="2896" t="s">
        <v>2993</v>
      </c>
    </row>
    <row r="115" spans="1:13">
      <c r="A115" s="902" t="s">
        <v>2876</v>
      </c>
      <c r="B115" s="903">
        <f>ROUND(0.9335-0.0094*B113,4)</f>
        <v>0.87990000000000002</v>
      </c>
      <c r="C115" s="903">
        <f>B115</f>
        <v>0.87990000000000002</v>
      </c>
      <c r="D115" s="903">
        <f>ROUND(0.8331-0.0109*B113,4)</f>
        <v>0.77100000000000002</v>
      </c>
      <c r="E115" s="903">
        <f>D115</f>
        <v>0.77100000000000002</v>
      </c>
      <c r="F115" s="903">
        <f>E115</f>
        <v>0.77100000000000002</v>
      </c>
      <c r="G115" s="903">
        <f>F115</f>
        <v>0.77100000000000002</v>
      </c>
      <c r="H115" s="903">
        <f>G115</f>
        <v>0.77100000000000002</v>
      </c>
      <c r="I115" s="903">
        <f>ROUND(0.689-0.0155*B113,4)</f>
        <v>0.60070000000000001</v>
      </c>
      <c r="J115" s="903">
        <f t="shared" ref="J115:M118" si="33">I115</f>
        <v>0.60070000000000001</v>
      </c>
      <c r="K115" s="903">
        <f t="shared" si="33"/>
        <v>0.60070000000000001</v>
      </c>
      <c r="L115" s="903">
        <f t="shared" si="33"/>
        <v>0.60070000000000001</v>
      </c>
      <c r="M115" s="904">
        <f t="shared" si="33"/>
        <v>0.60070000000000001</v>
      </c>
    </row>
    <row r="116" spans="1:13">
      <c r="A116" s="902" t="s">
        <v>2877</v>
      </c>
      <c r="B116" s="903">
        <f>ROUND(0.949-0.012*B113,4)</f>
        <v>0.88060000000000005</v>
      </c>
      <c r="C116" s="903">
        <f>B116</f>
        <v>0.88060000000000005</v>
      </c>
      <c r="D116" s="903">
        <f>ROUND(0.8567-0.013*B113,4)</f>
        <v>0.78259999999999996</v>
      </c>
      <c r="E116" s="903">
        <f t="shared" ref="E116:H117" si="34">D116</f>
        <v>0.78259999999999996</v>
      </c>
      <c r="F116" s="903">
        <f t="shared" si="34"/>
        <v>0.78259999999999996</v>
      </c>
      <c r="G116" s="903">
        <f t="shared" si="34"/>
        <v>0.78259999999999996</v>
      </c>
      <c r="H116" s="903">
        <f t="shared" si="34"/>
        <v>0.78259999999999996</v>
      </c>
      <c r="I116" s="903">
        <f>ROUND(0.7694-0.014*B113,4)</f>
        <v>0.68959999999999999</v>
      </c>
      <c r="J116" s="903">
        <f t="shared" si="33"/>
        <v>0.68959999999999999</v>
      </c>
      <c r="K116" s="903">
        <f t="shared" si="33"/>
        <v>0.68959999999999999</v>
      </c>
      <c r="L116" s="903">
        <f t="shared" si="33"/>
        <v>0.68959999999999999</v>
      </c>
      <c r="M116" s="904">
        <f t="shared" si="33"/>
        <v>0.68959999999999999</v>
      </c>
    </row>
    <row r="117" spans="1:13">
      <c r="A117" s="902" t="s">
        <v>2878</v>
      </c>
      <c r="B117" s="903">
        <f>ROUND(0.8808-0.006*B113,4)</f>
        <v>0.84660000000000002</v>
      </c>
      <c r="C117" s="903">
        <f>B117</f>
        <v>0.84660000000000002</v>
      </c>
      <c r="D117" s="903">
        <f>ROUND(0.8748-0.008*B113,4)</f>
        <v>0.82920000000000005</v>
      </c>
      <c r="E117" s="903">
        <f t="shared" si="34"/>
        <v>0.82920000000000005</v>
      </c>
      <c r="F117" s="903">
        <f t="shared" si="34"/>
        <v>0.82920000000000005</v>
      </c>
      <c r="G117" s="903">
        <f t="shared" si="34"/>
        <v>0.82920000000000005</v>
      </c>
      <c r="H117" s="903">
        <f t="shared" si="34"/>
        <v>0.82920000000000005</v>
      </c>
      <c r="I117" s="903">
        <f>ROUND(0.7412-0.0095*B113,4)</f>
        <v>0.68710000000000004</v>
      </c>
      <c r="J117" s="903">
        <f t="shared" si="33"/>
        <v>0.68710000000000004</v>
      </c>
      <c r="K117" s="903">
        <f t="shared" si="33"/>
        <v>0.68710000000000004</v>
      </c>
      <c r="L117" s="903">
        <f t="shared" si="33"/>
        <v>0.68710000000000004</v>
      </c>
      <c r="M117" s="904">
        <f t="shared" si="33"/>
        <v>0.68710000000000004</v>
      </c>
    </row>
    <row r="118" spans="1:13" ht="13.5" thickBot="1">
      <c r="A118" s="709" t="s">
        <v>2879</v>
      </c>
      <c r="B118" s="905">
        <f>ROUND(0.7275-0.01*B113,4)</f>
        <v>0.67049999999999998</v>
      </c>
      <c r="C118" s="905">
        <f>B118</f>
        <v>0.67049999999999998</v>
      </c>
      <c r="D118" s="905">
        <f>ROUND(0.7043-0.012*B113,4)</f>
        <v>0.63590000000000002</v>
      </c>
      <c r="E118" s="905">
        <f>D118</f>
        <v>0.63590000000000002</v>
      </c>
      <c r="F118" s="905">
        <f>E118</f>
        <v>0.63590000000000002</v>
      </c>
      <c r="G118" s="905">
        <f>ROUND(0.6299-0.0122*B113,4)</f>
        <v>0.56040000000000001</v>
      </c>
      <c r="H118" s="905">
        <f>G118</f>
        <v>0.56040000000000001</v>
      </c>
      <c r="I118" s="905">
        <f>ROUND(0.5667-0.0136*B113,4)</f>
        <v>0.48920000000000002</v>
      </c>
      <c r="J118" s="905">
        <f t="shared" si="33"/>
        <v>0.48920000000000002</v>
      </c>
      <c r="K118" s="905">
        <f t="shared" si="33"/>
        <v>0.48920000000000002</v>
      </c>
      <c r="L118" s="905">
        <f t="shared" si="33"/>
        <v>0.48920000000000002</v>
      </c>
      <c r="M118" s="906">
        <f t="shared" si="33"/>
        <v>0.48920000000000002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16" t="s">
        <v>183</v>
      </c>
      <c r="B18" s="875" t="s">
        <v>560</v>
      </c>
      <c r="C18" s="876" t="s">
        <v>561</v>
      </c>
      <c r="D18" s="877"/>
      <c r="E18" s="875">
        <v>1</v>
      </c>
      <c r="F18" s="878" t="s">
        <v>562</v>
      </c>
      <c r="G18" s="879"/>
      <c r="H18" s="871"/>
      <c r="I18" s="871"/>
    </row>
    <row r="19" spans="1:9" s="880" customFormat="1" ht="19.5" customHeight="1">
      <c r="A19" s="3316"/>
      <c r="B19" s="3316" t="s">
        <v>563</v>
      </c>
      <c r="C19" s="876" t="s">
        <v>564</v>
      </c>
      <c r="D19" s="877"/>
      <c r="E19" s="875">
        <v>0.9</v>
      </c>
      <c r="F19" s="878" t="s">
        <v>565</v>
      </c>
      <c r="G19" s="879"/>
      <c r="H19" s="871"/>
      <c r="I19" s="871"/>
    </row>
    <row r="20" spans="1:9" s="880" customFormat="1" ht="19.5" customHeight="1">
      <c r="A20" s="3316"/>
      <c r="B20" s="3316"/>
      <c r="C20" s="876" t="s">
        <v>566</v>
      </c>
      <c r="D20" s="877"/>
      <c r="E20" s="875">
        <v>1.1000000000000001</v>
      </c>
      <c r="F20" s="878" t="s">
        <v>567</v>
      </c>
      <c r="G20" s="879"/>
      <c r="H20" s="871"/>
      <c r="I20" s="871"/>
    </row>
    <row r="21" spans="1:9" s="880" customFormat="1" ht="19.5" customHeight="1">
      <c r="A21" s="3316"/>
      <c r="B21" s="3316"/>
      <c r="C21" s="876" t="s">
        <v>568</v>
      </c>
      <c r="D21" s="877"/>
      <c r="E21" s="875">
        <v>0.8</v>
      </c>
      <c r="F21" s="878" t="s">
        <v>569</v>
      </c>
      <c r="G21" s="879"/>
      <c r="H21" s="871"/>
      <c r="I21" s="871"/>
    </row>
    <row r="22" spans="1:9" s="880" customFormat="1" ht="19.5" customHeight="1">
      <c r="A22" s="3316"/>
      <c r="B22" s="3316"/>
      <c r="C22" s="876" t="s">
        <v>570</v>
      </c>
      <c r="D22" s="877"/>
      <c r="E22" s="875">
        <v>0.5</v>
      </c>
      <c r="F22" s="878"/>
      <c r="G22" s="879"/>
      <c r="H22" s="871"/>
      <c r="I22" s="871"/>
    </row>
    <row r="23" spans="1:9" s="880" customFormat="1" ht="19.5" customHeight="1">
      <c r="A23" s="3316" t="s">
        <v>184</v>
      </c>
      <c r="B23" s="875" t="s">
        <v>560</v>
      </c>
      <c r="C23" s="876" t="s">
        <v>571</v>
      </c>
      <c r="D23" s="877"/>
      <c r="E23" s="875">
        <v>1</v>
      </c>
      <c r="F23" s="878" t="s">
        <v>572</v>
      </c>
      <c r="G23" s="879"/>
      <c r="H23" s="871"/>
      <c r="I23" s="871"/>
    </row>
    <row r="24" spans="1:9" s="880" customFormat="1" ht="19.5" customHeight="1">
      <c r="A24" s="3316"/>
      <c r="B24" s="3316" t="s">
        <v>563</v>
      </c>
      <c r="C24" s="876" t="s">
        <v>573</v>
      </c>
      <c r="D24" s="877"/>
      <c r="E24" s="875">
        <v>0.5</v>
      </c>
      <c r="F24" s="878"/>
      <c r="G24" s="879"/>
      <c r="H24" s="871"/>
      <c r="I24" s="871"/>
    </row>
    <row r="25" spans="1:9" s="880" customFormat="1" ht="19.5" customHeight="1">
      <c r="A25" s="3316"/>
      <c r="B25" s="3316"/>
      <c r="C25" s="876" t="s">
        <v>574</v>
      </c>
      <c r="D25" s="877"/>
      <c r="E25" s="875">
        <v>1.1000000000000001</v>
      </c>
      <c r="F25" s="878"/>
      <c r="G25" s="879"/>
      <c r="H25" s="871"/>
      <c r="I25" s="871"/>
    </row>
    <row r="26" spans="1:9" s="880" customFormat="1" ht="19.5" customHeight="1">
      <c r="A26" s="3316"/>
      <c r="B26" s="3316"/>
      <c r="C26" s="876" t="s">
        <v>575</v>
      </c>
      <c r="D26" s="877"/>
      <c r="E26" s="875">
        <v>1.1000000000000001</v>
      </c>
      <c r="F26" s="878"/>
      <c r="G26" s="879"/>
      <c r="H26" s="871"/>
      <c r="I26" s="871"/>
    </row>
    <row r="27" spans="1:9" s="880" customFormat="1" ht="19.5" customHeight="1">
      <c r="A27" s="3316"/>
      <c r="B27" s="3316"/>
      <c r="C27" s="876" t="s">
        <v>576</v>
      </c>
      <c r="D27" s="877"/>
      <c r="E27" s="875">
        <v>0.9</v>
      </c>
      <c r="F27" s="878" t="s">
        <v>577</v>
      </c>
      <c r="G27" s="879"/>
      <c r="H27" s="871"/>
      <c r="I27" s="871"/>
    </row>
    <row r="28" spans="1:9" s="880" customFormat="1" ht="19.5" customHeight="1">
      <c r="A28" s="3316"/>
      <c r="B28" s="3316"/>
      <c r="C28" s="876" t="s">
        <v>578</v>
      </c>
      <c r="D28" s="877"/>
      <c r="E28" s="875">
        <v>0.9</v>
      </c>
      <c r="F28" s="878" t="s">
        <v>579</v>
      </c>
      <c r="G28" s="879"/>
      <c r="H28" s="871"/>
      <c r="I28" s="871"/>
    </row>
    <row r="29" spans="1:9" s="880" customFormat="1" ht="19.5" customHeight="1">
      <c r="A29" s="3316"/>
      <c r="B29" s="3316"/>
      <c r="C29" s="876" t="s">
        <v>580</v>
      </c>
      <c r="D29" s="877"/>
      <c r="E29" s="875">
        <v>0.9</v>
      </c>
      <c r="F29" s="878" t="s">
        <v>581</v>
      </c>
      <c r="G29" s="879"/>
      <c r="H29" s="871"/>
      <c r="I29" s="871"/>
    </row>
    <row r="30" spans="1:9" s="880" customFormat="1" ht="19.5" customHeight="1">
      <c r="A30" s="3316"/>
      <c r="B30" s="3316"/>
      <c r="C30" s="876" t="s">
        <v>582</v>
      </c>
      <c r="D30" s="877"/>
      <c r="E30" s="875">
        <v>0.9</v>
      </c>
      <c r="F30" s="878" t="s">
        <v>583</v>
      </c>
      <c r="G30" s="879"/>
      <c r="H30" s="871"/>
      <c r="I30" s="871"/>
    </row>
    <row r="31" spans="1:9" s="880" customFormat="1" ht="19.5" customHeight="1">
      <c r="A31" s="3316"/>
      <c r="B31" s="3316"/>
      <c r="C31" s="876" t="s">
        <v>584</v>
      </c>
      <c r="D31" s="877"/>
      <c r="E31" s="875">
        <v>0.8</v>
      </c>
      <c r="F31" s="878" t="s">
        <v>585</v>
      </c>
      <c r="G31" s="879"/>
      <c r="H31" s="871"/>
      <c r="I31" s="871"/>
    </row>
    <row r="32" spans="1:9" s="880" customFormat="1" ht="19.5" customHeight="1">
      <c r="A32" s="3316"/>
      <c r="B32" s="3316"/>
      <c r="C32" s="876" t="s">
        <v>586</v>
      </c>
      <c r="D32" s="877"/>
      <c r="E32" s="875">
        <v>0.8</v>
      </c>
      <c r="F32" s="878" t="s">
        <v>587</v>
      </c>
      <c r="G32" s="879"/>
      <c r="H32" s="871"/>
      <c r="I32" s="871"/>
    </row>
    <row r="33" spans="1:9" s="880" customFormat="1" ht="19.5" customHeight="1">
      <c r="A33" s="3316" t="s">
        <v>185</v>
      </c>
      <c r="B33" s="875" t="s">
        <v>560</v>
      </c>
      <c r="C33" s="876" t="s">
        <v>588</v>
      </c>
      <c r="D33" s="877"/>
      <c r="E33" s="875">
        <v>1</v>
      </c>
      <c r="F33" s="878" t="s">
        <v>589</v>
      </c>
      <c r="G33" s="879"/>
      <c r="H33" s="871"/>
      <c r="I33" s="871"/>
    </row>
    <row r="34" spans="1:9" s="880" customFormat="1" ht="19.5" customHeight="1">
      <c r="A34" s="3316"/>
      <c r="B34" s="875" t="s">
        <v>563</v>
      </c>
      <c r="C34" s="876" t="s">
        <v>590</v>
      </c>
      <c r="D34" s="877"/>
      <c r="E34" s="875">
        <v>1.5</v>
      </c>
      <c r="F34" s="878" t="s">
        <v>591</v>
      </c>
      <c r="G34" s="879"/>
      <c r="H34" s="871"/>
      <c r="I34" s="871"/>
    </row>
    <row r="35" spans="1:9" s="880" customFormat="1" ht="19.5" customHeight="1">
      <c r="A35" s="3316" t="s">
        <v>186</v>
      </c>
      <c r="B35" s="875" t="s">
        <v>560</v>
      </c>
      <c r="C35" s="876" t="s">
        <v>592</v>
      </c>
      <c r="D35" s="877"/>
      <c r="E35" s="875">
        <v>1</v>
      </c>
      <c r="F35" s="878" t="s">
        <v>593</v>
      </c>
      <c r="G35" s="879"/>
      <c r="H35" s="871"/>
      <c r="I35" s="871"/>
    </row>
    <row r="36" spans="1:9" s="880" customFormat="1" ht="19.5" customHeight="1">
      <c r="A36" s="3316"/>
      <c r="B36" s="3316" t="s">
        <v>563</v>
      </c>
      <c r="C36" s="876" t="s">
        <v>594</v>
      </c>
      <c r="D36" s="877"/>
      <c r="E36" s="875">
        <v>1</v>
      </c>
      <c r="F36" s="878" t="s">
        <v>595</v>
      </c>
      <c r="G36" s="879"/>
      <c r="H36" s="871"/>
      <c r="I36" s="871"/>
    </row>
    <row r="37" spans="1:9" s="880" customFormat="1" ht="19.5" customHeight="1">
      <c r="A37" s="3316"/>
      <c r="B37" s="3316"/>
      <c r="C37" s="876" t="s">
        <v>596</v>
      </c>
      <c r="D37" s="877"/>
      <c r="E37" s="875">
        <v>1.5</v>
      </c>
      <c r="F37" s="878" t="s">
        <v>597</v>
      </c>
      <c r="G37" s="879"/>
      <c r="H37" s="871"/>
      <c r="I37" s="871"/>
    </row>
    <row r="38" spans="1:9" s="880" customFormat="1" ht="19.5" customHeight="1">
      <c r="A38" s="3316"/>
      <c r="B38" s="3316"/>
      <c r="C38" s="876" t="s">
        <v>598</v>
      </c>
      <c r="D38" s="877"/>
      <c r="E38" s="875">
        <v>1</v>
      </c>
      <c r="F38" s="878" t="s">
        <v>599</v>
      </c>
      <c r="G38" s="879"/>
      <c r="H38" s="871"/>
      <c r="I38" s="871"/>
    </row>
    <row r="39" spans="1:9" s="880" customFormat="1" ht="19.5" customHeight="1">
      <c r="A39" s="3316"/>
      <c r="B39" s="3316"/>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16" t="s">
        <v>614</v>
      </c>
      <c r="C61" s="811" t="s">
        <v>615</v>
      </c>
      <c r="D61" s="811" t="s">
        <v>616</v>
      </c>
      <c r="E61" s="888">
        <v>0.5</v>
      </c>
      <c r="F61" s="875">
        <v>80</v>
      </c>
    </row>
    <row r="62" spans="1:8" s="871" customFormat="1" ht="24">
      <c r="A62" s="875">
        <v>2</v>
      </c>
      <c r="B62" s="3316"/>
      <c r="C62" s="811" t="s">
        <v>617</v>
      </c>
      <c r="D62" s="811" t="s">
        <v>618</v>
      </c>
      <c r="E62" s="888">
        <v>0.5</v>
      </c>
      <c r="F62" s="875">
        <v>80</v>
      </c>
    </row>
    <row r="63" spans="1:8" s="871" customFormat="1" ht="36">
      <c r="A63" s="875">
        <v>3</v>
      </c>
      <c r="B63" s="3316"/>
      <c r="C63" s="811" t="s">
        <v>619</v>
      </c>
      <c r="D63" s="811" t="s">
        <v>620</v>
      </c>
      <c r="E63" s="888">
        <v>0.5</v>
      </c>
      <c r="F63" s="875">
        <v>80</v>
      </c>
    </row>
    <row r="64" spans="1:8" s="871" customFormat="1" ht="36">
      <c r="A64" s="875">
        <v>4</v>
      </c>
      <c r="B64" s="3316"/>
      <c r="C64" s="811" t="s">
        <v>621</v>
      </c>
      <c r="D64" s="811" t="s">
        <v>622</v>
      </c>
      <c r="E64" s="888">
        <v>0.4</v>
      </c>
      <c r="F64" s="875">
        <v>60</v>
      </c>
    </row>
    <row r="65" spans="1:6" s="871" customFormat="1" ht="36">
      <c r="A65" s="875">
        <v>5</v>
      </c>
      <c r="B65" s="3316"/>
      <c r="C65" s="811" t="s">
        <v>623</v>
      </c>
      <c r="D65" s="811" t="s">
        <v>624</v>
      </c>
      <c r="E65" s="888">
        <v>0.2</v>
      </c>
      <c r="F65" s="875">
        <v>30</v>
      </c>
    </row>
    <row r="66" spans="1:6" s="871" customFormat="1" ht="36">
      <c r="A66" s="875">
        <v>6</v>
      </c>
      <c r="B66" s="3316"/>
      <c r="C66" s="811" t="s">
        <v>625</v>
      </c>
      <c r="D66" s="811" t="s">
        <v>626</v>
      </c>
      <c r="E66" s="888">
        <v>0.3</v>
      </c>
      <c r="F66" s="875">
        <v>50</v>
      </c>
    </row>
    <row r="67" spans="1:6" s="871" customFormat="1" ht="36">
      <c r="A67" s="875">
        <v>7</v>
      </c>
      <c r="B67" s="3316"/>
      <c r="C67" s="811" t="s">
        <v>627</v>
      </c>
      <c r="D67" s="811" t="s">
        <v>628</v>
      </c>
      <c r="E67" s="888">
        <v>0.2</v>
      </c>
      <c r="F67" s="875">
        <v>30</v>
      </c>
    </row>
    <row r="68" spans="1:6" s="871" customFormat="1" ht="36">
      <c r="A68" s="875">
        <v>8</v>
      </c>
      <c r="B68" s="3316"/>
      <c r="C68" s="811" t="s">
        <v>629</v>
      </c>
      <c r="D68" s="811" t="s">
        <v>630</v>
      </c>
      <c r="E68" s="888">
        <v>0.2</v>
      </c>
      <c r="F68" s="875">
        <v>30</v>
      </c>
    </row>
    <row r="69" spans="1:6" s="871" customFormat="1" ht="36">
      <c r="A69" s="875">
        <v>9</v>
      </c>
      <c r="B69" s="3316"/>
      <c r="C69" s="811" t="s">
        <v>631</v>
      </c>
      <c r="D69" s="811" t="s">
        <v>632</v>
      </c>
      <c r="E69" s="888">
        <v>0.2</v>
      </c>
      <c r="F69" s="875">
        <v>30</v>
      </c>
    </row>
    <row r="70" spans="1:6" s="871" customFormat="1" ht="48">
      <c r="A70" s="875">
        <v>10</v>
      </c>
      <c r="B70" s="3316"/>
      <c r="C70" s="811" t="s">
        <v>633</v>
      </c>
      <c r="D70" s="811" t="s">
        <v>634</v>
      </c>
      <c r="E70" s="888">
        <v>0.2</v>
      </c>
      <c r="F70" s="875">
        <v>30</v>
      </c>
    </row>
    <row r="71" spans="1:6" s="871" customFormat="1" ht="48">
      <c r="A71" s="875">
        <v>11</v>
      </c>
      <c r="B71" s="3316"/>
      <c r="C71" s="811" t="s">
        <v>635</v>
      </c>
      <c r="D71" s="811" t="s">
        <v>636</v>
      </c>
      <c r="E71" s="888">
        <v>0.2</v>
      </c>
      <c r="F71" s="875">
        <v>30</v>
      </c>
    </row>
    <row r="72" spans="1:6" s="871" customFormat="1" ht="36">
      <c r="A72" s="875">
        <v>12</v>
      </c>
      <c r="B72" s="3316"/>
      <c r="C72" s="811" t="s">
        <v>637</v>
      </c>
      <c r="D72" s="811" t="s">
        <v>638</v>
      </c>
      <c r="E72" s="888">
        <v>0.5</v>
      </c>
      <c r="F72" s="875">
        <v>80</v>
      </c>
    </row>
    <row r="73" spans="1:6" s="871" customFormat="1" ht="24">
      <c r="A73" s="875">
        <v>13</v>
      </c>
      <c r="B73" s="3316"/>
      <c r="C73" s="811" t="s">
        <v>639</v>
      </c>
      <c r="D73" s="811" t="s">
        <v>640</v>
      </c>
      <c r="E73" s="888">
        <v>0.4</v>
      </c>
      <c r="F73" s="875">
        <v>60</v>
      </c>
    </row>
    <row r="74" spans="1:6" s="871" customFormat="1" ht="24">
      <c r="A74" s="875">
        <v>14</v>
      </c>
      <c r="B74" s="3316"/>
      <c r="C74" s="811" t="s">
        <v>641</v>
      </c>
      <c r="D74" s="811" t="s">
        <v>642</v>
      </c>
      <c r="E74" s="888">
        <v>0.2</v>
      </c>
      <c r="F74" s="875">
        <v>30</v>
      </c>
    </row>
    <row r="75" spans="1:6" s="871" customFormat="1" ht="24">
      <c r="A75" s="875">
        <v>15</v>
      </c>
      <c r="B75" s="3316"/>
      <c r="C75" s="811" t="s">
        <v>643</v>
      </c>
      <c r="D75" s="811" t="s">
        <v>644</v>
      </c>
      <c r="E75" s="888">
        <v>0.2</v>
      </c>
      <c r="F75" s="875">
        <v>30</v>
      </c>
    </row>
    <row r="76" spans="1:6" s="871" customFormat="1" ht="24">
      <c r="A76" s="875">
        <v>16</v>
      </c>
      <c r="B76" s="3316" t="s">
        <v>645</v>
      </c>
      <c r="C76" s="811" t="s">
        <v>646</v>
      </c>
      <c r="D76" s="811" t="s">
        <v>647</v>
      </c>
      <c r="E76" s="888">
        <v>0.5</v>
      </c>
      <c r="F76" s="875">
        <v>80</v>
      </c>
    </row>
    <row r="77" spans="1:6" s="871" customFormat="1" ht="24">
      <c r="A77" s="875">
        <v>17</v>
      </c>
      <c r="B77" s="3316"/>
      <c r="C77" s="811" t="s">
        <v>648</v>
      </c>
      <c r="D77" s="811" t="s">
        <v>649</v>
      </c>
      <c r="E77" s="888">
        <v>0.5</v>
      </c>
      <c r="F77" s="875">
        <v>80</v>
      </c>
    </row>
    <row r="78" spans="1:6" s="871" customFormat="1" ht="24">
      <c r="A78" s="875">
        <v>18</v>
      </c>
      <c r="B78" s="3316"/>
      <c r="C78" s="811" t="s">
        <v>650</v>
      </c>
      <c r="D78" s="811" t="s">
        <v>651</v>
      </c>
      <c r="E78" s="888">
        <v>0.2</v>
      </c>
      <c r="F78" s="875">
        <v>30</v>
      </c>
    </row>
    <row r="79" spans="1:6" s="871" customFormat="1" ht="24">
      <c r="A79" s="875">
        <v>19</v>
      </c>
      <c r="B79" s="3316"/>
      <c r="C79" s="811" t="s">
        <v>652</v>
      </c>
      <c r="D79" s="811" t="s">
        <v>653</v>
      </c>
      <c r="E79" s="888">
        <v>0.5</v>
      </c>
      <c r="F79" s="875">
        <v>80</v>
      </c>
    </row>
    <row r="80" spans="1:6" s="871" customFormat="1" ht="36">
      <c r="A80" s="875">
        <v>20</v>
      </c>
      <c r="B80" s="3316"/>
      <c r="C80" s="811" t="s">
        <v>654</v>
      </c>
      <c r="D80" s="811" t="s">
        <v>655</v>
      </c>
      <c r="E80" s="888">
        <v>0.2</v>
      </c>
      <c r="F80" s="875">
        <v>30</v>
      </c>
    </row>
    <row r="81" spans="1:6" s="871" customFormat="1" ht="36">
      <c r="A81" s="875">
        <v>21</v>
      </c>
      <c r="B81" s="3316"/>
      <c r="C81" s="811" t="s">
        <v>656</v>
      </c>
      <c r="D81" s="811" t="s">
        <v>657</v>
      </c>
      <c r="E81" s="888">
        <v>0.2</v>
      </c>
      <c r="F81" s="875">
        <v>30</v>
      </c>
    </row>
    <row r="82" spans="1:6" s="871" customFormat="1" ht="48">
      <c r="A82" s="875">
        <v>22</v>
      </c>
      <c r="B82" s="3316"/>
      <c r="C82" s="811" t="s">
        <v>658</v>
      </c>
      <c r="D82" s="811" t="s">
        <v>659</v>
      </c>
      <c r="E82" s="888">
        <v>0.2</v>
      </c>
      <c r="F82" s="875">
        <v>30</v>
      </c>
    </row>
    <row r="83" spans="1:6" s="871" customFormat="1" ht="48">
      <c r="A83" s="875">
        <v>23</v>
      </c>
      <c r="B83" s="3316"/>
      <c r="C83" s="811" t="s">
        <v>660</v>
      </c>
      <c r="D83" s="811" t="s">
        <v>661</v>
      </c>
      <c r="E83" s="888">
        <v>0.2</v>
      </c>
      <c r="F83" s="875">
        <v>30</v>
      </c>
    </row>
    <row r="84" spans="1:6" s="871" customFormat="1" ht="36">
      <c r="A84" s="875">
        <v>24</v>
      </c>
      <c r="B84" s="3316"/>
      <c r="C84" s="811" t="s">
        <v>662</v>
      </c>
      <c r="D84" s="811" t="s">
        <v>663</v>
      </c>
      <c r="E84" s="888">
        <v>0.2</v>
      </c>
      <c r="F84" s="875">
        <v>30</v>
      </c>
    </row>
    <row r="85" spans="1:6" s="871" customFormat="1" ht="36">
      <c r="A85" s="875">
        <v>25</v>
      </c>
      <c r="B85" s="3316"/>
      <c r="C85" s="811" t="s">
        <v>664</v>
      </c>
      <c r="D85" s="811" t="s">
        <v>665</v>
      </c>
      <c r="E85" s="888">
        <v>0.5</v>
      </c>
      <c r="F85" s="875">
        <v>80</v>
      </c>
    </row>
    <row r="86" spans="1:6" s="871" customFormat="1" ht="36">
      <c r="A86" s="875">
        <v>26</v>
      </c>
      <c r="B86" s="3316"/>
      <c r="C86" s="811" t="s">
        <v>666</v>
      </c>
      <c r="D86" s="811" t="s">
        <v>667</v>
      </c>
      <c r="E86" s="888">
        <v>0.2</v>
      </c>
      <c r="F86" s="875">
        <v>30</v>
      </c>
    </row>
    <row r="87" spans="1:6" s="871" customFormat="1" ht="36">
      <c r="A87" s="875">
        <v>27</v>
      </c>
      <c r="B87" s="3316"/>
      <c r="C87" s="811" t="s">
        <v>668</v>
      </c>
      <c r="D87" s="811" t="s">
        <v>669</v>
      </c>
      <c r="E87" s="888">
        <v>0.2</v>
      </c>
      <c r="F87" s="875">
        <v>30</v>
      </c>
    </row>
    <row r="88" spans="1:6" s="871" customFormat="1" ht="36">
      <c r="A88" s="875">
        <v>28</v>
      </c>
      <c r="B88" s="3316"/>
      <c r="C88" s="811" t="s">
        <v>670</v>
      </c>
      <c r="D88" s="811" t="s">
        <v>671</v>
      </c>
      <c r="E88" s="888">
        <v>0.2</v>
      </c>
      <c r="F88" s="875">
        <v>30</v>
      </c>
    </row>
    <row r="89" spans="1:6" s="871" customFormat="1" ht="24">
      <c r="A89" s="875">
        <v>29</v>
      </c>
      <c r="B89" s="3316"/>
      <c r="C89" s="811" t="s">
        <v>672</v>
      </c>
      <c r="D89" s="811" t="s">
        <v>673</v>
      </c>
      <c r="E89" s="888">
        <v>0.2</v>
      </c>
      <c r="F89" s="875">
        <v>30</v>
      </c>
    </row>
    <row r="90" spans="1:6" s="871" customFormat="1" ht="24">
      <c r="A90" s="875">
        <v>30</v>
      </c>
      <c r="B90" s="3316"/>
      <c r="C90" s="811" t="s">
        <v>674</v>
      </c>
      <c r="D90" s="811" t="s">
        <v>675</v>
      </c>
      <c r="E90" s="888">
        <v>0.2</v>
      </c>
      <c r="F90" s="875">
        <v>30</v>
      </c>
    </row>
    <row r="91" spans="1:6" s="871" customFormat="1" ht="36">
      <c r="A91" s="875">
        <v>31</v>
      </c>
      <c r="B91" s="3316"/>
      <c r="C91" s="811" t="s">
        <v>676</v>
      </c>
      <c r="D91" s="811" t="s">
        <v>677</v>
      </c>
      <c r="E91" s="888">
        <v>0.2</v>
      </c>
      <c r="F91" s="875">
        <v>30</v>
      </c>
    </row>
    <row r="92" spans="1:6" s="871" customFormat="1" ht="24">
      <c r="A92" s="875">
        <v>32</v>
      </c>
      <c r="B92" s="3316" t="s">
        <v>678</v>
      </c>
      <c r="C92" s="875" t="s">
        <v>679</v>
      </c>
      <c r="D92" s="811" t="s">
        <v>680</v>
      </c>
      <c r="E92" s="888">
        <v>0.2</v>
      </c>
      <c r="F92" s="875">
        <v>30</v>
      </c>
    </row>
    <row r="93" spans="1:6" s="871" customFormat="1" ht="36">
      <c r="A93" s="875">
        <v>33</v>
      </c>
      <c r="B93" s="3316"/>
      <c r="C93" s="875" t="s">
        <v>681</v>
      </c>
      <c r="D93" s="811" t="s">
        <v>682</v>
      </c>
      <c r="E93" s="888">
        <v>0.2</v>
      </c>
      <c r="F93" s="875">
        <v>30</v>
      </c>
    </row>
    <row r="94" spans="1:6" s="871" customFormat="1" ht="48">
      <c r="A94" s="875">
        <v>34</v>
      </c>
      <c r="B94" s="3316"/>
      <c r="C94" s="875" t="s">
        <v>683</v>
      </c>
      <c r="D94" s="811" t="s">
        <v>684</v>
      </c>
      <c r="E94" s="888">
        <v>0.2</v>
      </c>
      <c r="F94" s="875">
        <v>30</v>
      </c>
    </row>
    <row r="95" spans="1:6" s="871" customFormat="1" ht="36">
      <c r="A95" s="875">
        <v>35</v>
      </c>
      <c r="B95" s="3316"/>
      <c r="C95" s="875" t="s">
        <v>685</v>
      </c>
      <c r="D95" s="811" t="s">
        <v>686</v>
      </c>
      <c r="E95" s="888">
        <v>0.2</v>
      </c>
      <c r="F95" s="875">
        <v>30</v>
      </c>
    </row>
    <row r="96" spans="1:6" s="871" customFormat="1" ht="48">
      <c r="A96" s="875">
        <v>36</v>
      </c>
      <c r="B96" s="3316"/>
      <c r="C96" s="811" t="s">
        <v>687</v>
      </c>
      <c r="D96" s="811" t="s">
        <v>688</v>
      </c>
      <c r="E96" s="888">
        <v>0.2</v>
      </c>
      <c r="F96" s="875">
        <v>30</v>
      </c>
    </row>
    <row r="97" spans="1:6" s="871" customFormat="1" ht="36">
      <c r="A97" s="875">
        <v>37</v>
      </c>
      <c r="B97" s="3316"/>
      <c r="C97" s="875" t="s">
        <v>689</v>
      </c>
      <c r="D97" s="811" t="s">
        <v>690</v>
      </c>
      <c r="E97" s="888">
        <v>0.2</v>
      </c>
      <c r="F97" s="875">
        <v>30</v>
      </c>
    </row>
    <row r="98" spans="1:6" s="871" customFormat="1" ht="36">
      <c r="A98" s="875">
        <v>38</v>
      </c>
      <c r="B98" s="3316"/>
      <c r="C98" s="875" t="s">
        <v>691</v>
      </c>
      <c r="D98" s="811" t="s">
        <v>692</v>
      </c>
      <c r="E98" s="888">
        <v>0.2</v>
      </c>
      <c r="F98" s="875">
        <v>30</v>
      </c>
    </row>
    <row r="99" spans="1:6" s="871" customFormat="1" ht="36">
      <c r="A99" s="875">
        <v>39</v>
      </c>
      <c r="B99" s="3316" t="s">
        <v>693</v>
      </c>
      <c r="C99" s="875" t="s">
        <v>694</v>
      </c>
      <c r="D99" s="811" t="s">
        <v>695</v>
      </c>
      <c r="E99" s="888">
        <v>0.3</v>
      </c>
      <c r="F99" s="875">
        <v>50</v>
      </c>
    </row>
    <row r="100" spans="1:6" s="871" customFormat="1" ht="24">
      <c r="A100" s="875">
        <v>40</v>
      </c>
      <c r="B100" s="3316"/>
      <c r="C100" s="875" t="s">
        <v>696</v>
      </c>
      <c r="D100" s="811" t="s">
        <v>697</v>
      </c>
      <c r="E100" s="888">
        <v>0.2</v>
      </c>
      <c r="F100" s="875">
        <v>30</v>
      </c>
    </row>
    <row r="101" spans="1:6" s="871" customFormat="1" ht="36">
      <c r="A101" s="875">
        <v>41</v>
      </c>
      <c r="B101" s="3316"/>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16" t="s">
        <v>708</v>
      </c>
      <c r="C105" s="875" t="s">
        <v>709</v>
      </c>
      <c r="D105" s="811" t="s">
        <v>710</v>
      </c>
      <c r="E105" s="888">
        <v>0.2</v>
      </c>
      <c r="F105" s="875">
        <v>30</v>
      </c>
    </row>
    <row r="106" spans="1:6" s="871" customFormat="1" ht="36">
      <c r="A106" s="875">
        <v>46</v>
      </c>
      <c r="B106" s="3316"/>
      <c r="C106" s="875" t="s">
        <v>711</v>
      </c>
      <c r="D106" s="811" t="s">
        <v>712</v>
      </c>
      <c r="E106" s="888">
        <v>0.2</v>
      </c>
      <c r="F106" s="875">
        <v>30</v>
      </c>
    </row>
    <row r="107" spans="1:6" s="871" customFormat="1" ht="36">
      <c r="A107" s="875">
        <v>47</v>
      </c>
      <c r="B107" s="3316" t="s">
        <v>713</v>
      </c>
      <c r="C107" s="875" t="s">
        <v>714</v>
      </c>
      <c r="D107" s="811" t="s">
        <v>715</v>
      </c>
      <c r="E107" s="888">
        <v>0.3</v>
      </c>
      <c r="F107" s="875">
        <v>50</v>
      </c>
    </row>
    <row r="108" spans="1:6" s="871" customFormat="1" ht="36">
      <c r="A108" s="875">
        <v>48</v>
      </c>
      <c r="B108" s="3316"/>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16" t="s">
        <v>724</v>
      </c>
      <c r="C111" s="875" t="s">
        <v>725</v>
      </c>
      <c r="D111" s="811" t="s">
        <v>726</v>
      </c>
      <c r="E111" s="888">
        <v>0.2</v>
      </c>
      <c r="F111" s="875">
        <v>30</v>
      </c>
    </row>
    <row r="112" spans="1:6" s="871" customFormat="1" ht="24">
      <c r="A112" s="875">
        <v>52</v>
      </c>
      <c r="B112" s="3316"/>
      <c r="C112" s="875" t="s">
        <v>727</v>
      </c>
      <c r="D112" s="811" t="s">
        <v>728</v>
      </c>
      <c r="E112" s="888">
        <v>0.2</v>
      </c>
      <c r="F112" s="875">
        <v>30</v>
      </c>
    </row>
    <row r="113" spans="1:6" s="871" customFormat="1" ht="24">
      <c r="A113" s="875">
        <v>53</v>
      </c>
      <c r="B113" s="3316"/>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16" t="s">
        <v>737</v>
      </c>
      <c r="C116" s="875" t="s">
        <v>738</v>
      </c>
      <c r="D116" s="811" t="s">
        <v>739</v>
      </c>
      <c r="E116" s="888">
        <v>0.2</v>
      </c>
      <c r="F116" s="875">
        <v>30</v>
      </c>
    </row>
    <row r="117" spans="1:6" ht="36">
      <c r="A117" s="875">
        <v>57</v>
      </c>
      <c r="B117" s="3316"/>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34" customWidth="1"/>
    <col min="2" max="2" width="12.5" style="1934" customWidth="1"/>
    <col min="3" max="3" width="12.125" style="1934" customWidth="1"/>
    <col min="4" max="4" width="14.125" style="1934" customWidth="1"/>
    <col min="5" max="5" width="12.5" style="1934" customWidth="1"/>
    <col min="6" max="16384" width="9" style="1934"/>
  </cols>
  <sheetData>
    <row r="1" spans="1:5" ht="21">
      <c r="A1" s="2548" t="s">
        <v>3002</v>
      </c>
    </row>
    <row r="2" spans="1:5" ht="15.75">
      <c r="A2" s="2897" t="s">
        <v>2994</v>
      </c>
      <c r="B2" s="2898" t="e">
        <f ca="1">SUMIF(B6:B13,"&lt;&gt;#ref!",B6:B13)</f>
        <v>#DIV/0!</v>
      </c>
      <c r="C2" s="2897" t="s">
        <v>2995</v>
      </c>
      <c r="D2" s="2897" t="s">
        <v>2996</v>
      </c>
      <c r="E2" s="2898" t="e">
        <f ca="1">SUM(E6:E13)</f>
        <v>#REF!</v>
      </c>
    </row>
    <row r="3" spans="1:5" ht="15.75">
      <c r="A3" s="2897" t="s">
        <v>2997</v>
      </c>
      <c r="B3" s="2898" t="e">
        <f ca="1">ROUND(B2*10000/E2,0)</f>
        <v>#DIV/0!</v>
      </c>
      <c r="C3" s="2897" t="s">
        <v>3003</v>
      </c>
      <c r="D3" s="2899"/>
      <c r="E3" s="2899"/>
    </row>
    <row r="4" spans="1:5" ht="15.75">
      <c r="A4" s="2900"/>
      <c r="B4" s="2899"/>
      <c r="C4" s="2899"/>
      <c r="D4" s="2899"/>
      <c r="E4" s="2899"/>
    </row>
    <row r="5" spans="1:5" ht="28.5">
      <c r="A5" s="2901" t="s">
        <v>2998</v>
      </c>
      <c r="B5" s="2897" t="s">
        <v>2999</v>
      </c>
      <c r="C5" s="2898"/>
      <c r="D5" s="2899"/>
      <c r="E5" s="2897" t="s">
        <v>3000</v>
      </c>
    </row>
    <row r="6" spans="1:5" ht="15.75">
      <c r="A6" s="2902" t="s">
        <v>3001</v>
      </c>
      <c r="B6" s="2898" t="e">
        <f ca="1">SUMIF(INDIRECT("'"&amp;A6&amp;"'"&amp;"!A:A"),"总价",INDIRECT("'"&amp;A6&amp;"'"&amp;"!B:B"))</f>
        <v>#DIV/0!</v>
      </c>
      <c r="C6" s="2897" t="s">
        <v>2995</v>
      </c>
      <c r="D6" s="2899"/>
      <c r="E6" s="2562">
        <f ca="1">SUMIF(INDIRECT("'"&amp;A6&amp;"'"&amp;"!C:C"),"建筑面积",INDIRECT("'"&amp;A6&amp;"'"&amp;"!D:D"))</f>
        <v>0</v>
      </c>
    </row>
    <row r="7" spans="1:5" ht="15.75">
      <c r="A7" s="2902"/>
      <c r="B7" s="2898" t="e">
        <f ca="1">SUMIF(INDIRECT("'"&amp;A7&amp;"'"&amp;"!A:A"),"总价",INDIRECT("'"&amp;A7&amp;"'"&amp;"!B:B"))</f>
        <v>#REF!</v>
      </c>
      <c r="C7" s="2897" t="s">
        <v>2995</v>
      </c>
      <c r="D7" s="2899"/>
      <c r="E7" s="2562" t="e">
        <f t="shared" ref="E7:E13" ca="1" si="0">SUMIF(INDIRECT("'"&amp;A7&amp;"'"&amp;"!C:C"),"建筑面积",INDIRECT("'"&amp;A7&amp;"'"&amp;"!D:D"))</f>
        <v>#REF!</v>
      </c>
    </row>
    <row r="8" spans="1:5" ht="15.75">
      <c r="A8" s="2902"/>
      <c r="B8" s="2898" t="e">
        <f t="shared" ref="B8:B13" ca="1" si="1">SUMIF(INDIRECT("'"&amp;A8&amp;"'"&amp;"!A:A"),"总价",INDIRECT("'"&amp;A8&amp;"'"&amp;"!B:B"))</f>
        <v>#REF!</v>
      </c>
      <c r="C8" s="2897" t="s">
        <v>2995</v>
      </c>
      <c r="D8" s="2899"/>
      <c r="E8" s="2562" t="e">
        <f t="shared" ca="1" si="0"/>
        <v>#REF!</v>
      </c>
    </row>
    <row r="9" spans="1:5" ht="15.75">
      <c r="A9" s="2902"/>
      <c r="B9" s="2898" t="e">
        <f t="shared" ca="1" si="1"/>
        <v>#REF!</v>
      </c>
      <c r="C9" s="2897" t="s">
        <v>2995</v>
      </c>
      <c r="D9" s="2899"/>
      <c r="E9" s="2562" t="e">
        <f t="shared" ca="1" si="0"/>
        <v>#REF!</v>
      </c>
    </row>
    <row r="10" spans="1:5" ht="15.75">
      <c r="A10" s="2902"/>
      <c r="B10" s="2898" t="e">
        <f t="shared" ca="1" si="1"/>
        <v>#REF!</v>
      </c>
      <c r="C10" s="2897" t="s">
        <v>2995</v>
      </c>
      <c r="D10" s="2899"/>
      <c r="E10" s="2562" t="e">
        <f t="shared" ca="1" si="0"/>
        <v>#REF!</v>
      </c>
    </row>
    <row r="11" spans="1:5" ht="15.75">
      <c r="A11" s="2902"/>
      <c r="B11" s="2898" t="e">
        <f t="shared" ca="1" si="1"/>
        <v>#REF!</v>
      </c>
      <c r="C11" s="2897" t="s">
        <v>2995</v>
      </c>
      <c r="D11" s="2899"/>
      <c r="E11" s="2562" t="e">
        <f t="shared" ca="1" si="0"/>
        <v>#REF!</v>
      </c>
    </row>
    <row r="12" spans="1:5" ht="15.75">
      <c r="A12" s="2902"/>
      <c r="B12" s="2898" t="e">
        <f t="shared" ca="1" si="1"/>
        <v>#REF!</v>
      </c>
      <c r="C12" s="2897" t="s">
        <v>2995</v>
      </c>
      <c r="D12" s="2899"/>
      <c r="E12" s="2562" t="e">
        <f t="shared" ca="1" si="0"/>
        <v>#REF!</v>
      </c>
    </row>
    <row r="13" spans="1:5" ht="15.75">
      <c r="A13" s="2902"/>
      <c r="B13" s="2898" t="e">
        <f t="shared" ca="1" si="1"/>
        <v>#REF!</v>
      </c>
      <c r="C13" s="2897" t="s">
        <v>2995</v>
      </c>
      <c r="D13" s="2899"/>
      <c r="E13" s="256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1461"/>
    <col min="2" max="6" width="9" style="1461" customWidth="1"/>
    <col min="7" max="7" width="9" style="1476"/>
    <col min="8" max="8" width="9" style="1461"/>
    <col min="9" max="12" width="9" style="1461" customWidth="1"/>
    <col min="13" max="13" width="2.25" style="1461" customWidth="1"/>
    <col min="14" max="14" width="9" style="1476" customWidth="1"/>
    <col min="15" max="17" width="9" style="1461" customWidth="1"/>
    <col min="18" max="18" width="2.375" style="1461" customWidth="1"/>
    <col min="19" max="19" width="7.125" style="1476" customWidth="1"/>
    <col min="20" max="22" width="7.125" style="1461" customWidth="1"/>
    <col min="23" max="23" width="24.25" style="1461" customWidth="1"/>
    <col min="24" max="25" width="9" style="1461"/>
    <col min="26" max="27" width="11.625" style="1461" customWidth="1"/>
    <col min="28" max="28" width="9" style="1461"/>
    <col min="29" max="29" width="2" style="1461" customWidth="1"/>
    <col min="30" max="16384" width="9" style="1461"/>
  </cols>
  <sheetData>
    <row r="1" spans="1:34" s="1434" customFormat="1">
      <c r="B1" s="3322" t="s">
        <v>1150</v>
      </c>
      <c r="C1" s="3322"/>
      <c r="D1" s="3322"/>
      <c r="E1" s="3322"/>
      <c r="F1" s="3322"/>
      <c r="G1" s="3318" t="s">
        <v>1151</v>
      </c>
      <c r="H1" s="3318"/>
      <c r="I1" s="3318"/>
      <c r="J1" s="3318"/>
      <c r="K1" s="3318"/>
      <c r="L1" s="3318"/>
      <c r="N1" s="3318" t="s">
        <v>1152</v>
      </c>
      <c r="O1" s="3318"/>
      <c r="P1" s="3318"/>
      <c r="Q1" s="3318"/>
      <c r="R1" s="1435"/>
      <c r="S1" s="3318" t="s">
        <v>1153</v>
      </c>
      <c r="T1" s="3318"/>
      <c r="U1" s="3318"/>
      <c r="V1" s="3318"/>
      <c r="X1" s="3317" t="s">
        <v>1154</v>
      </c>
      <c r="Y1" s="3318"/>
      <c r="Z1" s="3318"/>
      <c r="AA1" s="3318"/>
      <c r="AB1" s="3318"/>
      <c r="AD1" s="3317" t="s">
        <v>1155</v>
      </c>
      <c r="AE1" s="3318"/>
      <c r="AF1" s="3318"/>
      <c r="AG1" s="3318"/>
      <c r="AH1" s="3318"/>
    </row>
    <row r="2" spans="1:34" s="1436" customFormat="1" ht="14.25" thickBot="1">
      <c r="B2" s="1437" t="s">
        <v>1156</v>
      </c>
      <c r="C2" s="1437" t="s">
        <v>1157</v>
      </c>
      <c r="D2" s="1438" t="s">
        <v>1158</v>
      </c>
      <c r="E2" s="1438" t="s">
        <v>1159</v>
      </c>
      <c r="F2" s="1437" t="s">
        <v>1160</v>
      </c>
      <c r="G2" s="1439"/>
      <c r="H2" s="1440"/>
      <c r="I2" s="1437" t="s">
        <v>1156</v>
      </c>
      <c r="J2" s="1438" t="s">
        <v>1386</v>
      </c>
      <c r="K2" s="1438" t="s">
        <v>751</v>
      </c>
      <c r="L2" s="1437" t="s">
        <v>1160</v>
      </c>
      <c r="N2" s="1437" t="s">
        <v>1156</v>
      </c>
      <c r="O2" s="1438" t="s">
        <v>1386</v>
      </c>
      <c r="P2" s="1438" t="s">
        <v>751</v>
      </c>
      <c r="Q2" s="1437" t="s">
        <v>1160</v>
      </c>
      <c r="R2" s="1441"/>
      <c r="S2" s="1437" t="s">
        <v>1156</v>
      </c>
      <c r="T2" s="1438" t="s">
        <v>1386</v>
      </c>
      <c r="U2" s="1438" t="s">
        <v>751</v>
      </c>
      <c r="V2" s="1437" t="s">
        <v>1160</v>
      </c>
      <c r="X2" s="1437" t="s">
        <v>1156</v>
      </c>
      <c r="Y2" s="1437" t="s">
        <v>1157</v>
      </c>
      <c r="Z2" s="1438" t="s">
        <v>1158</v>
      </c>
      <c r="AA2" s="1438" t="s">
        <v>1159</v>
      </c>
      <c r="AB2" s="1437" t="s">
        <v>1160</v>
      </c>
      <c r="AD2" s="1437" t="s">
        <v>1156</v>
      </c>
      <c r="AE2" s="1437" t="s">
        <v>1157</v>
      </c>
      <c r="AF2" s="1438" t="s">
        <v>1158</v>
      </c>
      <c r="AG2" s="1438" t="s">
        <v>1159</v>
      </c>
      <c r="AH2" s="1437" t="s">
        <v>1160</v>
      </c>
    </row>
    <row r="3" spans="1:34" s="1442" customFormat="1" ht="14.25">
      <c r="B3" s="1443"/>
      <c r="C3" s="1443"/>
      <c r="D3" s="1444"/>
      <c r="E3" s="1444"/>
      <c r="F3" s="1443"/>
      <c r="G3" s="1445"/>
      <c r="H3" s="1446"/>
      <c r="I3" s="2911"/>
      <c r="J3" s="2911"/>
      <c r="K3" s="2911"/>
      <c r="L3" s="2911"/>
      <c r="N3" s="1445"/>
      <c r="O3" s="1447"/>
      <c r="P3" s="1447"/>
      <c r="Q3" s="1447"/>
      <c r="R3" s="1447"/>
      <c r="S3" s="1445"/>
      <c r="T3" s="1447"/>
      <c r="U3" s="1447"/>
      <c r="V3" s="1447"/>
      <c r="X3" s="1448">
        <f>ROUND(SUMPRODUCT(PRODUCT(1+N3:N$19)),4)</f>
        <v>1.4742</v>
      </c>
      <c r="Y3" s="1448">
        <f>ROUND(SUMPRODUCT(PRODUCT(1+O3:O$19)),4)</f>
        <v>1.2875000000000001</v>
      </c>
      <c r="Z3" s="1448">
        <f t="shared" ref="Z3:Z17" si="0">Y3</f>
        <v>1.2875000000000001</v>
      </c>
      <c r="AA3" s="1448">
        <f>ROUND(SUMPRODUCT(PRODUCT(1+P3:P$19)),4)</f>
        <v>1.5399</v>
      </c>
      <c r="AB3" s="1448">
        <f>ROUND(SUMPRODUCT(PRODUCT(1+Q3:Q$19)),4)</f>
        <v>1.2475000000000001</v>
      </c>
      <c r="AD3" s="1449">
        <f>ROUND(AVERAGE(I3:I$20)/100,4)</f>
        <v>2.4899999999999999E-2</v>
      </c>
      <c r="AE3" s="1449">
        <f>ROUND(AVERAGE(J3:J$20)/100,4)</f>
        <v>1.6400000000000001E-2</v>
      </c>
      <c r="AF3" s="1449">
        <f t="shared" ref="AF3:AF18" si="1">AE3</f>
        <v>1.6400000000000001E-2</v>
      </c>
      <c r="AG3" s="1449">
        <f>ROUND(AVERAGE(K3:K$20)/100,4)</f>
        <v>2.7799999999999998E-2</v>
      </c>
      <c r="AH3" s="1449">
        <f>ROUND(AVERAGE(L3:L$20)/100,4)</f>
        <v>1.3899999999999999E-2</v>
      </c>
    </row>
    <row r="4" spans="1:34" s="1442" customFormat="1">
      <c r="A4" s="1450" t="s">
        <v>3036</v>
      </c>
      <c r="B4" s="1467">
        <f t="shared" ref="B4:C8" si="2">B5*(1+N4)</f>
        <v>453.57903691012211</v>
      </c>
      <c r="C4" s="1467">
        <f t="shared" si="2"/>
        <v>331.18001284964259</v>
      </c>
      <c r="D4" s="1467">
        <f t="shared" ref="D4:D9" si="3">C4</f>
        <v>331.18001284964259</v>
      </c>
      <c r="E4" s="1467">
        <f t="shared" ref="E4:F8" si="4">E5*(1+P4)</f>
        <v>650.68458238034486</v>
      </c>
      <c r="F4" s="1467">
        <f t="shared" si="4"/>
        <v>287.29097305893981</v>
      </c>
      <c r="G4" s="1445">
        <v>2018</v>
      </c>
      <c r="H4" s="1446">
        <v>1</v>
      </c>
      <c r="I4" s="2911">
        <f>ROUND(AVERAGE(I5:I20),2)</f>
        <v>2.4900000000000002</v>
      </c>
      <c r="J4" s="2911">
        <f>ROUND(AVERAGE(J5:J20),2)</f>
        <v>1.64</v>
      </c>
      <c r="K4" s="2911">
        <f>ROUND(AVERAGE(K5:K20),2)</f>
        <v>2.78</v>
      </c>
      <c r="L4" s="2911">
        <f>ROUND(AVERAGE(L5:L20),2)</f>
        <v>1.39</v>
      </c>
      <c r="N4" s="1462">
        <f t="shared" ref="N4:N9" si="5">I4/100</f>
        <v>2.4900000000000002E-2</v>
      </c>
      <c r="O4" s="1463">
        <f t="shared" ref="O4:Q7" si="6">J4/100</f>
        <v>1.6399999999999998E-2</v>
      </c>
      <c r="P4" s="1463">
        <f t="shared" si="6"/>
        <v>2.7799999999999998E-2</v>
      </c>
      <c r="Q4" s="1463">
        <f t="shared" si="6"/>
        <v>1.3899999999999999E-2</v>
      </c>
      <c r="R4" s="1447"/>
      <c r="S4" s="1445"/>
      <c r="T4" s="1447"/>
      <c r="U4" s="1447"/>
      <c r="V4" s="1447"/>
      <c r="X4" s="1448"/>
      <c r="Y4" s="1448"/>
      <c r="Z4" s="1448"/>
      <c r="AA4" s="1448"/>
      <c r="AB4" s="1448"/>
      <c r="AD4" s="1449"/>
      <c r="AE4" s="1449"/>
      <c r="AF4" s="1449"/>
      <c r="AG4" s="1449"/>
      <c r="AH4" s="1449"/>
    </row>
    <row r="5" spans="1:34" s="1721" customFormat="1">
      <c r="A5" s="1719" t="s">
        <v>3034</v>
      </c>
      <c r="B5" s="1781">
        <f t="shared" si="2"/>
        <v>442.55931008890832</v>
      </c>
      <c r="C5" s="1781">
        <f t="shared" si="2"/>
        <v>325.83629756950273</v>
      </c>
      <c r="D5" s="1781">
        <f t="shared" si="3"/>
        <v>325.83629756950273</v>
      </c>
      <c r="E5" s="1781">
        <f t="shared" si="4"/>
        <v>633.08482426575677</v>
      </c>
      <c r="F5" s="1781">
        <f t="shared" si="4"/>
        <v>283.35237504580311</v>
      </c>
      <c r="G5" s="2908">
        <v>2017</v>
      </c>
      <c r="H5" s="1720">
        <v>4</v>
      </c>
      <c r="I5" s="2912">
        <f>ROUND(AVERAGE(I6:I20),2)</f>
        <v>2.4900000000000002</v>
      </c>
      <c r="J5" s="2912">
        <f>ROUND(AVERAGE(J6:J20),2)</f>
        <v>1.64</v>
      </c>
      <c r="K5" s="2912">
        <f>ROUND(AVERAGE(K6:K20),2)</f>
        <v>2.78</v>
      </c>
      <c r="L5" s="2912">
        <f>ROUND(AVERAGE(L6:L20),2)</f>
        <v>1.39</v>
      </c>
      <c r="N5" s="1456">
        <f t="shared" si="5"/>
        <v>2.4900000000000002E-2</v>
      </c>
      <c r="O5" s="1456">
        <f t="shared" si="6"/>
        <v>1.6399999999999998E-2</v>
      </c>
      <c r="P5" s="1456">
        <f t="shared" si="6"/>
        <v>2.7799999999999998E-2</v>
      </c>
      <c r="Q5" s="1456">
        <f t="shared" si="6"/>
        <v>1.3899999999999999E-2</v>
      </c>
      <c r="R5" s="1722"/>
      <c r="S5" s="1723"/>
      <c r="T5" s="1722"/>
      <c r="U5" s="1722"/>
      <c r="V5" s="1722"/>
      <c r="W5" s="1457"/>
      <c r="X5" s="1716">
        <f>ROUND(SUMPRODUCT(PRODUCT(1+N5:N$19)),4)</f>
        <v>1.4383999999999999</v>
      </c>
      <c r="Y5" s="1716">
        <f>ROUND(SUMPRODUCT(PRODUCT(1+O5:O$19)),4)</f>
        <v>1.2667999999999999</v>
      </c>
      <c r="Z5" s="1716">
        <f t="shared" si="0"/>
        <v>1.2667999999999999</v>
      </c>
      <c r="AA5" s="1716">
        <f>ROUND(SUMPRODUCT(PRODUCT(1+P5:P$19)),4)</f>
        <v>1.4982</v>
      </c>
      <c r="AB5" s="1716">
        <f>ROUND(SUMPRODUCT(PRODUCT(1+Q5:Q$19)),4)</f>
        <v>1.2303999999999999</v>
      </c>
      <c r="AD5" s="1458">
        <f>ROUND(AVERAGE(I5:I$20)/100,4)</f>
        <v>2.4899999999999999E-2</v>
      </c>
      <c r="AE5" s="1458">
        <f>ROUND(AVERAGE(J5:J$20)/100,4)</f>
        <v>1.6400000000000001E-2</v>
      </c>
      <c r="AF5" s="1458">
        <f t="shared" si="1"/>
        <v>1.6400000000000001E-2</v>
      </c>
      <c r="AG5" s="1458">
        <f>ROUND(AVERAGE(K5:K$20)/100,4)</f>
        <v>2.7799999999999998E-2</v>
      </c>
      <c r="AH5" s="1458">
        <f>ROUND(AVERAGE(L5:L$20)/100,4)</f>
        <v>1.3899999999999999E-2</v>
      </c>
    </row>
    <row r="6" spans="1:34" s="1455" customFormat="1" ht="13.5" thickBot="1">
      <c r="A6" s="1450" t="s">
        <v>3035</v>
      </c>
      <c r="B6" s="1467">
        <f t="shared" si="2"/>
        <v>431.80730811680002</v>
      </c>
      <c r="C6" s="1467">
        <f t="shared" si="2"/>
        <v>320.57880516480003</v>
      </c>
      <c r="D6" s="1467">
        <f t="shared" si="3"/>
        <v>320.57880516480003</v>
      </c>
      <c r="E6" s="1467">
        <f t="shared" si="4"/>
        <v>615.96110553196797</v>
      </c>
      <c r="F6" s="1467">
        <f t="shared" si="4"/>
        <v>279.46777300108801</v>
      </c>
      <c r="G6" s="2910"/>
      <c r="H6" s="1453">
        <v>3</v>
      </c>
      <c r="I6" s="1453">
        <v>2.98</v>
      </c>
      <c r="J6" s="1453">
        <v>2.11</v>
      </c>
      <c r="K6" s="1453">
        <v>3.24</v>
      </c>
      <c r="L6" s="1468">
        <v>1.72</v>
      </c>
      <c r="M6" s="1461"/>
      <c r="N6" s="1462">
        <f t="shared" si="5"/>
        <v>2.98E-2</v>
      </c>
      <c r="O6" s="1463">
        <f t="shared" si="6"/>
        <v>2.1099999999999997E-2</v>
      </c>
      <c r="P6" s="1463">
        <f t="shared" si="6"/>
        <v>3.2400000000000005E-2</v>
      </c>
      <c r="Q6" s="1463">
        <f t="shared" si="6"/>
        <v>1.72E-2</v>
      </c>
      <c r="R6" s="1464"/>
      <c r="S6" s="1462"/>
      <c r="T6" s="1463"/>
      <c r="U6" s="1463"/>
      <c r="V6" s="1463"/>
      <c r="W6" s="1780" t="s">
        <v>1162</v>
      </c>
      <c r="X6" s="1778">
        <f>ROUND(SUMPRODUCT(PRODUCT(1+N6:N$19)),4)</f>
        <v>1.4034</v>
      </c>
      <c r="Y6" s="1778">
        <f>ROUND(SUMPRODUCT(PRODUCT(1+O6:O$19)),4)</f>
        <v>1.2463</v>
      </c>
      <c r="Z6" s="1778">
        <f t="shared" si="0"/>
        <v>1.2463</v>
      </c>
      <c r="AA6" s="1778">
        <f>ROUND(SUMPRODUCT(PRODUCT(1+P6:P$19)),4)</f>
        <v>1.4577</v>
      </c>
      <c r="AB6" s="1778">
        <f>ROUND(SUMPRODUCT(PRODUCT(1+Q6:Q$19)),4)</f>
        <v>1.2136</v>
      </c>
      <c r="AC6" s="1780"/>
      <c r="AD6" s="1779">
        <f>ROUND(AVERAGE(I6:I$20)/100,4)</f>
        <v>2.4899999999999999E-2</v>
      </c>
      <c r="AE6" s="1779">
        <f>ROUND(AVERAGE(J6:J$20)/100,4)</f>
        <v>1.6400000000000001E-2</v>
      </c>
      <c r="AF6" s="1779">
        <f t="shared" si="1"/>
        <v>1.6400000000000001E-2</v>
      </c>
      <c r="AG6" s="1779">
        <f>ROUND(AVERAGE(K6:K$20)/100,4)</f>
        <v>2.7799999999999998E-2</v>
      </c>
      <c r="AH6" s="1779">
        <f>ROUND(AVERAGE(L6:L$20)/100,4)</f>
        <v>1.3899999999999999E-2</v>
      </c>
    </row>
    <row r="7" spans="1:34" s="1721" customFormat="1">
      <c r="A7" s="1450" t="s">
        <v>1387</v>
      </c>
      <c r="B7" s="1467">
        <f t="shared" si="2"/>
        <v>419.31181600000002</v>
      </c>
      <c r="C7" s="1467">
        <f t="shared" si="2"/>
        <v>313.95436800000004</v>
      </c>
      <c r="D7" s="1467">
        <f t="shared" si="3"/>
        <v>313.95436800000004</v>
      </c>
      <c r="E7" s="1467">
        <f t="shared" si="4"/>
        <v>596.63028431999999</v>
      </c>
      <c r="F7" s="1467">
        <f t="shared" si="4"/>
        <v>274.74220703999998</v>
      </c>
      <c r="G7" s="2909"/>
      <c r="H7" s="1454">
        <v>2</v>
      </c>
      <c r="I7" s="1454">
        <v>3.4</v>
      </c>
      <c r="J7" s="1454">
        <v>2</v>
      </c>
      <c r="K7" s="1454">
        <v>3.82</v>
      </c>
      <c r="L7" s="1469">
        <v>1.68</v>
      </c>
      <c r="M7" s="1461"/>
      <c r="N7" s="1462">
        <f t="shared" si="5"/>
        <v>3.4000000000000002E-2</v>
      </c>
      <c r="O7" s="1463">
        <f t="shared" si="6"/>
        <v>0.02</v>
      </c>
      <c r="P7" s="1463">
        <f t="shared" si="6"/>
        <v>3.8199999999999998E-2</v>
      </c>
      <c r="Q7" s="1463">
        <f t="shared" si="6"/>
        <v>1.6799999999999999E-2</v>
      </c>
      <c r="R7" s="1464"/>
      <c r="S7" s="1465"/>
      <c r="T7" s="1466"/>
      <c r="U7" s="1466"/>
      <c r="V7" s="1466"/>
      <c r="W7" s="1442"/>
      <c r="X7" s="1778">
        <f>ROUND(SUMPRODUCT(PRODUCT(1+N7:N$19)),4)</f>
        <v>1.3628</v>
      </c>
      <c r="Y7" s="1778">
        <f>ROUND(SUMPRODUCT(PRODUCT(1+O7:O$19)),4)</f>
        <v>1.2205999999999999</v>
      </c>
      <c r="Z7" s="1778">
        <f t="shared" si="0"/>
        <v>1.2205999999999999</v>
      </c>
      <c r="AA7" s="1778">
        <f>ROUND(SUMPRODUCT(PRODUCT(1+P7:P$19)),4)</f>
        <v>1.4118999999999999</v>
      </c>
      <c r="AB7" s="1778">
        <f>ROUND(SUMPRODUCT(PRODUCT(1+Q7:Q$19)),4)</f>
        <v>1.1930000000000001</v>
      </c>
      <c r="AC7" s="1442"/>
      <c r="AD7" s="1779">
        <f>ROUND(AVERAGE(I7:I$20)/100,4)</f>
        <v>2.46E-2</v>
      </c>
      <c r="AE7" s="1779">
        <f>ROUND(AVERAGE(J7:J$20)/100,4)</f>
        <v>1.6E-2</v>
      </c>
      <c r="AF7" s="1779">
        <f t="shared" si="1"/>
        <v>1.6E-2</v>
      </c>
      <c r="AG7" s="1779">
        <f>ROUND(AVERAGE(K7:K$20)/100,4)</f>
        <v>2.75E-2</v>
      </c>
      <c r="AH7" s="1779">
        <f>ROUND(AVERAGE(L7:L$20)/100,4)</f>
        <v>1.37E-2</v>
      </c>
    </row>
    <row r="8" spans="1:34" s="1455" customFormat="1" ht="13.5" thickBot="1">
      <c r="A8" s="1450" t="s">
        <v>1161</v>
      </c>
      <c r="B8" s="1467">
        <f t="shared" si="2"/>
        <v>405.524</v>
      </c>
      <c r="C8" s="1467">
        <f t="shared" si="2"/>
        <v>307.79840000000002</v>
      </c>
      <c r="D8" s="1467">
        <f t="shared" si="3"/>
        <v>307.79840000000002</v>
      </c>
      <c r="E8" s="1467">
        <f t="shared" si="4"/>
        <v>574.67759999999998</v>
      </c>
      <c r="F8" s="1467">
        <f t="shared" si="4"/>
        <v>270.20280000000002</v>
      </c>
      <c r="G8" s="2910"/>
      <c r="H8" s="1453">
        <v>1</v>
      </c>
      <c r="I8" s="1453">
        <v>3.45</v>
      </c>
      <c r="J8" s="1453">
        <v>1.92</v>
      </c>
      <c r="K8" s="1453">
        <v>3.92</v>
      </c>
      <c r="L8" s="1468">
        <v>1.58</v>
      </c>
      <c r="M8" s="1461"/>
      <c r="N8" s="1462">
        <f t="shared" si="5"/>
        <v>3.4500000000000003E-2</v>
      </c>
      <c r="O8" s="1463">
        <f t="shared" ref="O8:Q23" si="7">J8/100</f>
        <v>1.9199999999999998E-2</v>
      </c>
      <c r="P8" s="1463">
        <f t="shared" si="7"/>
        <v>3.9199999999999999E-2</v>
      </c>
      <c r="Q8" s="1463">
        <f t="shared" si="7"/>
        <v>1.5800000000000002E-2</v>
      </c>
      <c r="R8" s="1464"/>
      <c r="S8" s="1462">
        <f>B8/B9-1</f>
        <v>3.4499999999999975E-2</v>
      </c>
      <c r="T8" s="1463">
        <f>C8/C9-1</f>
        <v>1.9200000000000106E-2</v>
      </c>
      <c r="U8" s="1463">
        <f>D8/D9-1</f>
        <v>1.9200000000000106E-2</v>
      </c>
      <c r="V8" s="1463">
        <f>E8/E9-1</f>
        <v>3.9199999999999902E-2</v>
      </c>
      <c r="W8" s="1780"/>
      <c r="X8" s="1778">
        <f>ROUND(SUMPRODUCT(PRODUCT(1+N8:N$19)),4)</f>
        <v>1.3180000000000001</v>
      </c>
      <c r="Y8" s="1778">
        <f>ROUND(SUMPRODUCT(PRODUCT(1+O8:O$19)),4)</f>
        <v>1.1966000000000001</v>
      </c>
      <c r="Z8" s="1778">
        <f t="shared" si="0"/>
        <v>1.1966000000000001</v>
      </c>
      <c r="AA8" s="1778">
        <f>ROUND(SUMPRODUCT(PRODUCT(1+P8:P$19)),4)</f>
        <v>1.36</v>
      </c>
      <c r="AB8" s="1778">
        <f>ROUND(SUMPRODUCT(PRODUCT(1+Q8:Q$19)),4)</f>
        <v>1.1733</v>
      </c>
      <c r="AC8" s="1780"/>
      <c r="AD8" s="1779">
        <f>ROUND(AVERAGE(I8:I$20)/100,4)</f>
        <v>2.3900000000000001E-2</v>
      </c>
      <c r="AE8" s="1779">
        <f>ROUND(AVERAGE(J8:J$20)/100,4)</f>
        <v>1.5699999999999999E-2</v>
      </c>
      <c r="AF8" s="1779">
        <f t="shared" si="1"/>
        <v>1.5699999999999999E-2</v>
      </c>
      <c r="AG8" s="1779">
        <f>ROUND(AVERAGE(K8:K$20)/100,4)</f>
        <v>2.6599999999999999E-2</v>
      </c>
      <c r="AH8" s="1779">
        <f>ROUND(AVERAGE(L8:L$20)/100,4)</f>
        <v>1.34E-2</v>
      </c>
    </row>
    <row r="9" spans="1:34">
      <c r="A9" s="1450" t="s">
        <v>154</v>
      </c>
      <c r="B9" s="1459">
        <v>392</v>
      </c>
      <c r="C9" s="1459">
        <v>302</v>
      </c>
      <c r="D9" s="1459">
        <f t="shared" si="3"/>
        <v>302</v>
      </c>
      <c r="E9" s="1459">
        <v>553</v>
      </c>
      <c r="F9" s="1460">
        <v>266</v>
      </c>
      <c r="G9" s="3323">
        <v>2016</v>
      </c>
      <c r="H9" s="1451">
        <v>4</v>
      </c>
      <c r="I9" s="1451">
        <v>4.5599999999999996</v>
      </c>
      <c r="J9" s="1451">
        <v>2.15</v>
      </c>
      <c r="K9" s="1451">
        <v>5.32</v>
      </c>
      <c r="L9" s="1452">
        <v>1.57</v>
      </c>
      <c r="N9" s="1462">
        <f t="shared" si="5"/>
        <v>4.5599999999999995E-2</v>
      </c>
      <c r="O9" s="1463">
        <f t="shared" si="7"/>
        <v>2.1499999999999998E-2</v>
      </c>
      <c r="P9" s="1463">
        <f t="shared" si="7"/>
        <v>5.3200000000000004E-2</v>
      </c>
      <c r="Q9" s="1463">
        <f t="shared" si="7"/>
        <v>1.5700000000000002E-2</v>
      </c>
      <c r="R9" s="1464"/>
      <c r="S9" s="1465"/>
      <c r="T9" s="1466"/>
      <c r="U9" s="1466"/>
      <c r="V9" s="1466"/>
      <c r="X9" s="1448">
        <f>ROUND(SUMPRODUCT(PRODUCT(1+N9:N$19)),4)</f>
        <v>1.274</v>
      </c>
      <c r="Y9" s="1448">
        <f>ROUND(SUMPRODUCT(PRODUCT(1+O9:O$19)),4)</f>
        <v>1.1740999999999999</v>
      </c>
      <c r="Z9" s="1448">
        <f t="shared" si="0"/>
        <v>1.1740999999999999</v>
      </c>
      <c r="AA9" s="1448">
        <f>ROUND(SUMPRODUCT(PRODUCT(1+P9:P$19)),4)</f>
        <v>1.3087</v>
      </c>
      <c r="AB9" s="1448">
        <f>ROUND(SUMPRODUCT(PRODUCT(1+Q9:Q$19)),4)</f>
        <v>1.1551</v>
      </c>
      <c r="AD9" s="1449">
        <f>ROUND(AVERAGE(I9:I$20)/100,4)</f>
        <v>2.3E-2</v>
      </c>
      <c r="AE9" s="1449">
        <f>ROUND(AVERAGE(J9:J$20)/100,4)</f>
        <v>1.55E-2</v>
      </c>
      <c r="AF9" s="1449">
        <f t="shared" si="1"/>
        <v>1.55E-2</v>
      </c>
      <c r="AG9" s="1449">
        <f>ROUND(AVERAGE(K9:K$20)/100,4)</f>
        <v>2.5600000000000001E-2</v>
      </c>
      <c r="AH9" s="1449">
        <f>ROUND(AVERAGE(L9:L$20)/100,4)</f>
        <v>1.32E-2</v>
      </c>
    </row>
    <row r="10" spans="1:34">
      <c r="A10" s="1450" t="s">
        <v>153</v>
      </c>
      <c r="B10" s="1467">
        <f t="shared" ref="B10:C12" si="8">B9/(1+N9)</f>
        <v>374.90436113236416</v>
      </c>
      <c r="C10" s="1467">
        <f t="shared" si="8"/>
        <v>295.64366128242779</v>
      </c>
      <c r="D10" s="1467">
        <f t="shared" ref="D10:D69" si="9">C10</f>
        <v>295.64366128242779</v>
      </c>
      <c r="E10" s="1467">
        <f t="shared" ref="E10:F12" si="10">E9/(1+P9)</f>
        <v>525.06646410938095</v>
      </c>
      <c r="F10" s="1467">
        <f t="shared" si="10"/>
        <v>261.88835286009646</v>
      </c>
      <c r="G10" s="3320"/>
      <c r="H10" s="1453">
        <v>3</v>
      </c>
      <c r="I10" s="1453">
        <v>4.12</v>
      </c>
      <c r="J10" s="1453">
        <v>2</v>
      </c>
      <c r="K10" s="1453">
        <v>4.79</v>
      </c>
      <c r="L10" s="1468">
        <v>1.97</v>
      </c>
      <c r="N10" s="1462">
        <f t="shared" ref="N10:Q44" si="11">I10/100</f>
        <v>4.1200000000000001E-2</v>
      </c>
      <c r="O10" s="1463">
        <f t="shared" si="7"/>
        <v>0.02</v>
      </c>
      <c r="P10" s="1463">
        <f t="shared" si="7"/>
        <v>4.7899999999999998E-2</v>
      </c>
      <c r="Q10" s="1463">
        <f t="shared" si="7"/>
        <v>1.9699999999999999E-2</v>
      </c>
      <c r="R10" s="1464"/>
      <c r="S10" s="1462"/>
      <c r="T10" s="1463"/>
      <c r="U10" s="1463"/>
      <c r="V10" s="1463"/>
      <c r="X10" s="1448">
        <f>ROUND(SUMPRODUCT(PRODUCT(1+N10:N$19)),4)</f>
        <v>1.2184999999999999</v>
      </c>
      <c r="Y10" s="1448">
        <f>ROUND(SUMPRODUCT(PRODUCT(1+O10:O$19)),4)</f>
        <v>1.1494</v>
      </c>
      <c r="Z10" s="1448">
        <f t="shared" si="0"/>
        <v>1.1494</v>
      </c>
      <c r="AA10" s="1448">
        <f>ROUND(SUMPRODUCT(PRODUCT(1+P10:P$19)),4)</f>
        <v>1.2425999999999999</v>
      </c>
      <c r="AB10" s="1448">
        <f>ROUND(SUMPRODUCT(PRODUCT(1+Q10:Q$19)),4)</f>
        <v>1.1372</v>
      </c>
      <c r="AD10" s="1449">
        <f>ROUND(AVERAGE(I10:I$20)/100,4)</f>
        <v>2.0899999999999998E-2</v>
      </c>
      <c r="AE10" s="1449">
        <f>ROUND(AVERAGE(J10:J$20)/100,4)</f>
        <v>1.49E-2</v>
      </c>
      <c r="AF10" s="1449">
        <f t="shared" si="1"/>
        <v>1.49E-2</v>
      </c>
      <c r="AG10" s="1449">
        <f>ROUND(AVERAGE(K10:K$20)/100,4)</f>
        <v>2.3099999999999999E-2</v>
      </c>
      <c r="AH10" s="1449">
        <f>ROUND(AVERAGE(L10:L$20)/100,4)</f>
        <v>1.2999999999999999E-2</v>
      </c>
    </row>
    <row r="11" spans="1:34">
      <c r="A11" s="1450" t="s">
        <v>143</v>
      </c>
      <c r="B11" s="1467">
        <f t="shared" si="8"/>
        <v>360.06949782209392</v>
      </c>
      <c r="C11" s="1467">
        <f t="shared" si="8"/>
        <v>289.84672674747821</v>
      </c>
      <c r="D11" s="1467">
        <f t="shared" si="9"/>
        <v>289.84672674747821</v>
      </c>
      <c r="E11" s="1467">
        <f t="shared" si="10"/>
        <v>501.06543001181495</v>
      </c>
      <c r="F11" s="1467">
        <f t="shared" si="10"/>
        <v>256.82882500744967</v>
      </c>
      <c r="G11" s="3320"/>
      <c r="H11" s="1454">
        <v>2</v>
      </c>
      <c r="I11" s="1454">
        <v>3.85</v>
      </c>
      <c r="J11" s="1454">
        <v>1.95</v>
      </c>
      <c r="K11" s="1454">
        <v>4.4800000000000004</v>
      </c>
      <c r="L11" s="1469">
        <v>1.41</v>
      </c>
      <c r="N11" s="1462">
        <f t="shared" si="11"/>
        <v>3.85E-2</v>
      </c>
      <c r="O11" s="1463">
        <f t="shared" si="7"/>
        <v>1.95E-2</v>
      </c>
      <c r="P11" s="1463">
        <f t="shared" si="7"/>
        <v>4.4800000000000006E-2</v>
      </c>
      <c r="Q11" s="1463">
        <f t="shared" si="7"/>
        <v>1.41E-2</v>
      </c>
      <c r="R11" s="1464"/>
      <c r="S11" s="1462"/>
      <c r="T11" s="1463"/>
      <c r="U11" s="1463"/>
      <c r="V11" s="1463"/>
      <c r="X11" s="1448">
        <f>ROUND(SUMPRODUCT(PRODUCT(1+N11:N$19)),4)</f>
        <v>1.1702999999999999</v>
      </c>
      <c r="Y11" s="1448">
        <f>ROUND(SUMPRODUCT(PRODUCT(1+O11:O$19)),4)</f>
        <v>1.1269</v>
      </c>
      <c r="Z11" s="1448">
        <f t="shared" si="0"/>
        <v>1.1269</v>
      </c>
      <c r="AA11" s="1448">
        <f>ROUND(SUMPRODUCT(PRODUCT(1+P11:P$19)),4)</f>
        <v>1.1858</v>
      </c>
      <c r="AB11" s="1448">
        <f>ROUND(SUMPRODUCT(PRODUCT(1+Q11:Q$19)),4)</f>
        <v>1.1152</v>
      </c>
      <c r="AD11" s="1449">
        <f>ROUND(AVERAGE(I11:I$20)/100,4)</f>
        <v>1.89E-2</v>
      </c>
      <c r="AE11" s="1449">
        <f>ROUND(AVERAGE(J11:J$20)/100,4)</f>
        <v>1.44E-2</v>
      </c>
      <c r="AF11" s="1449">
        <f t="shared" si="1"/>
        <v>1.44E-2</v>
      </c>
      <c r="AG11" s="1449">
        <f>ROUND(AVERAGE(K11:K$20)/100,4)</f>
        <v>2.06E-2</v>
      </c>
      <c r="AH11" s="1449">
        <f>ROUND(AVERAGE(L11:L$20)/100,4)</f>
        <v>1.23E-2</v>
      </c>
    </row>
    <row r="12" spans="1:34" ht="13.5" thickBot="1">
      <c r="A12" s="1450" t="s">
        <v>152</v>
      </c>
      <c r="B12" s="1467">
        <f t="shared" si="8"/>
        <v>346.720748986128</v>
      </c>
      <c r="C12" s="1467">
        <f t="shared" si="8"/>
        <v>284.30282172386285</v>
      </c>
      <c r="D12" s="1467">
        <f t="shared" si="9"/>
        <v>284.30282172386285</v>
      </c>
      <c r="E12" s="1467">
        <f t="shared" si="10"/>
        <v>479.58023546306947</v>
      </c>
      <c r="F12" s="1467">
        <f t="shared" si="10"/>
        <v>253.25788877571213</v>
      </c>
      <c r="G12" s="3321"/>
      <c r="H12" s="1453">
        <v>1</v>
      </c>
      <c r="I12" s="1453">
        <v>4.09</v>
      </c>
      <c r="J12" s="1453">
        <v>2.93</v>
      </c>
      <c r="K12" s="1453">
        <v>4.54</v>
      </c>
      <c r="L12" s="1468">
        <v>1.48</v>
      </c>
      <c r="N12" s="1462">
        <f t="shared" si="11"/>
        <v>4.0899999999999999E-2</v>
      </c>
      <c r="O12" s="1463">
        <f t="shared" si="7"/>
        <v>2.9300000000000003E-2</v>
      </c>
      <c r="P12" s="1463">
        <f t="shared" si="7"/>
        <v>4.5400000000000003E-2</v>
      </c>
      <c r="Q12" s="1463">
        <f t="shared" si="7"/>
        <v>1.4800000000000001E-2</v>
      </c>
      <c r="R12" s="1464"/>
      <c r="S12" s="1470">
        <f>B12/B13-1</f>
        <v>4.1203450408792808E-2</v>
      </c>
      <c r="T12" s="1471">
        <f>C12/C13-1</f>
        <v>2.6363977342465095E-2</v>
      </c>
      <c r="U12" s="1471">
        <f>E12/E13-1</f>
        <v>4.4837114298626357E-2</v>
      </c>
      <c r="V12" s="1471">
        <f>F12/F13-1</f>
        <v>1.7099954922538574E-2</v>
      </c>
      <c r="X12" s="1448">
        <f>ROUND(SUMPRODUCT(PRODUCT(1+N12:N$19)),4)</f>
        <v>1.1269</v>
      </c>
      <c r="Y12" s="1448">
        <f>ROUND(SUMPRODUCT(PRODUCT(1+O12:O$19)),4)</f>
        <v>1.1052999999999999</v>
      </c>
      <c r="Z12" s="1448">
        <f t="shared" si="0"/>
        <v>1.1052999999999999</v>
      </c>
      <c r="AA12" s="1448">
        <f>ROUND(SUMPRODUCT(PRODUCT(1+P12:P$19)),4)</f>
        <v>1.1349</v>
      </c>
      <c r="AB12" s="1448">
        <f>ROUND(SUMPRODUCT(PRODUCT(1+Q12:Q$19)),4)</f>
        <v>1.0996999999999999</v>
      </c>
      <c r="AD12" s="1449">
        <f>ROUND(AVERAGE(I12:I$20)/100,4)</f>
        <v>1.67E-2</v>
      </c>
      <c r="AE12" s="1449">
        <f>ROUND(AVERAGE(J12:J$20)/100,4)</f>
        <v>1.38E-2</v>
      </c>
      <c r="AF12" s="1449">
        <f t="shared" si="1"/>
        <v>1.38E-2</v>
      </c>
      <c r="AG12" s="1449">
        <f>ROUND(AVERAGE(K12:K$20)/100,4)</f>
        <v>1.7899999999999999E-2</v>
      </c>
      <c r="AH12" s="1449">
        <f>ROUND(AVERAGE(L12:L$20)/100,4)</f>
        <v>1.21E-2</v>
      </c>
    </row>
    <row r="13" spans="1:34" ht="13.5" thickBot="1">
      <c r="A13" s="1450" t="s">
        <v>151</v>
      </c>
      <c r="B13" s="1459">
        <v>333</v>
      </c>
      <c r="C13" s="1459">
        <v>277</v>
      </c>
      <c r="D13" s="1459">
        <f t="shared" si="9"/>
        <v>277</v>
      </c>
      <c r="E13" s="1459">
        <v>459</v>
      </c>
      <c r="F13" s="1460">
        <v>249</v>
      </c>
      <c r="G13" s="3319">
        <v>2015</v>
      </c>
      <c r="H13" s="1472">
        <v>4</v>
      </c>
      <c r="I13" s="1472">
        <v>1.63</v>
      </c>
      <c r="J13" s="1472">
        <v>1.1100000000000001</v>
      </c>
      <c r="K13" s="1472">
        <v>1.77</v>
      </c>
      <c r="L13" s="1473">
        <v>1.89</v>
      </c>
      <c r="N13" s="1474">
        <f t="shared" si="11"/>
        <v>1.6299999999999999E-2</v>
      </c>
      <c r="O13" s="1475">
        <f t="shared" si="7"/>
        <v>1.11E-2</v>
      </c>
      <c r="P13" s="1475">
        <f t="shared" si="7"/>
        <v>1.77E-2</v>
      </c>
      <c r="Q13" s="1475">
        <f t="shared" si="7"/>
        <v>1.89E-2</v>
      </c>
      <c r="R13" s="1464"/>
      <c r="X13" s="1448">
        <f>ROUND(SUMPRODUCT(PRODUCT(1+N13:N$19)),4)</f>
        <v>1.0826</v>
      </c>
      <c r="Y13" s="1448">
        <f>ROUND(SUMPRODUCT(PRODUCT(1+O13:O$19)),4)</f>
        <v>1.0738000000000001</v>
      </c>
      <c r="Z13" s="1448">
        <f t="shared" si="0"/>
        <v>1.0738000000000001</v>
      </c>
      <c r="AA13" s="1448">
        <f>ROUND(SUMPRODUCT(PRODUCT(1+P13:P$19)),4)</f>
        <v>1.0855999999999999</v>
      </c>
      <c r="AB13" s="1448">
        <f>ROUND(SUMPRODUCT(PRODUCT(1+Q13:Q$19)),4)</f>
        <v>1.0837000000000001</v>
      </c>
      <c r="AD13" s="1449">
        <f>ROUND(AVERAGE(I13:I$20)/100,4)</f>
        <v>1.37E-2</v>
      </c>
      <c r="AE13" s="1449">
        <f>ROUND(AVERAGE(J13:J$20)/100,4)</f>
        <v>1.1900000000000001E-2</v>
      </c>
      <c r="AF13" s="1449">
        <f t="shared" si="1"/>
        <v>1.1900000000000001E-2</v>
      </c>
      <c r="AG13" s="1449">
        <f>ROUND(AVERAGE(K13:K$20)/100,4)</f>
        <v>1.4500000000000001E-2</v>
      </c>
      <c r="AH13" s="1449">
        <f>ROUND(AVERAGE(L13:L$20)/100,4)</f>
        <v>1.18E-2</v>
      </c>
    </row>
    <row r="14" spans="1:34">
      <c r="A14" s="1450" t="s">
        <v>150</v>
      </c>
      <c r="B14" s="1467">
        <f t="shared" ref="B14:C16" si="12">B13/(1+N13)</f>
        <v>327.65915576109415</v>
      </c>
      <c r="C14" s="1467">
        <f t="shared" si="12"/>
        <v>273.95905449510434</v>
      </c>
      <c r="D14" s="1467">
        <f t="shared" si="9"/>
        <v>273.95905449510434</v>
      </c>
      <c r="E14" s="1467">
        <f t="shared" ref="E14:F16" si="13">E13/(1+P13)</f>
        <v>451.01699911565294</v>
      </c>
      <c r="F14" s="1467">
        <f t="shared" si="13"/>
        <v>244.38119540681129</v>
      </c>
      <c r="G14" s="3320"/>
      <c r="H14" s="1477">
        <v>3</v>
      </c>
      <c r="I14" s="1477">
        <v>1.65</v>
      </c>
      <c r="J14" s="1477">
        <v>0.92</v>
      </c>
      <c r="K14" s="1477">
        <v>1.88</v>
      </c>
      <c r="L14" s="1478">
        <v>1.26</v>
      </c>
      <c r="N14" s="1462">
        <f t="shared" si="11"/>
        <v>1.6500000000000001E-2</v>
      </c>
      <c r="O14" s="1479">
        <f t="shared" si="7"/>
        <v>9.1999999999999998E-3</v>
      </c>
      <c r="P14" s="1479">
        <f t="shared" si="7"/>
        <v>1.8799999999999997E-2</v>
      </c>
      <c r="Q14" s="1479">
        <f t="shared" si="7"/>
        <v>1.26E-2</v>
      </c>
      <c r="R14" s="1464"/>
      <c r="S14" s="1462"/>
      <c r="T14" s="1463"/>
      <c r="U14" s="1463"/>
      <c r="V14" s="1463"/>
      <c r="X14" s="1448">
        <f>ROUND(SUMPRODUCT(PRODUCT(1+N14:N$19)),4)</f>
        <v>1.0651999999999999</v>
      </c>
      <c r="Y14" s="1448">
        <f>ROUND(SUMPRODUCT(PRODUCT(1+O14:O$19)),4)</f>
        <v>1.0621</v>
      </c>
      <c r="Z14" s="1448">
        <f t="shared" si="0"/>
        <v>1.0621</v>
      </c>
      <c r="AA14" s="1448">
        <f>ROUND(SUMPRODUCT(PRODUCT(1+P14:P$19)),4)</f>
        <v>1.0668</v>
      </c>
      <c r="AB14" s="1448">
        <f>ROUND(SUMPRODUCT(PRODUCT(1+Q14:Q$19)),4)</f>
        <v>1.0636000000000001</v>
      </c>
      <c r="AD14" s="1449">
        <f>ROUND(AVERAGE(I14:I$20)/100,4)</f>
        <v>1.3299999999999999E-2</v>
      </c>
      <c r="AE14" s="1449">
        <f>ROUND(AVERAGE(J14:J$20)/100,4)</f>
        <v>1.2E-2</v>
      </c>
      <c r="AF14" s="1449">
        <f t="shared" si="1"/>
        <v>1.2E-2</v>
      </c>
      <c r="AG14" s="1449">
        <f>ROUND(AVERAGE(K14:K$20)/100,4)</f>
        <v>1.4E-2</v>
      </c>
      <c r="AH14" s="1449">
        <f>ROUND(AVERAGE(L14:L$20)/100,4)</f>
        <v>1.0800000000000001E-2</v>
      </c>
    </row>
    <row r="15" spans="1:34">
      <c r="A15" s="1450" t="s">
        <v>149</v>
      </c>
      <c r="B15" s="1467">
        <f t="shared" si="12"/>
        <v>322.34053690220776</v>
      </c>
      <c r="C15" s="1467">
        <f t="shared" si="12"/>
        <v>271.46160770422546</v>
      </c>
      <c r="D15" s="1467">
        <f t="shared" si="9"/>
        <v>271.46160770422546</v>
      </c>
      <c r="E15" s="1467">
        <f t="shared" si="13"/>
        <v>442.69434542172456</v>
      </c>
      <c r="F15" s="1467">
        <f t="shared" si="13"/>
        <v>241.34030753190925</v>
      </c>
      <c r="G15" s="3320"/>
      <c r="H15" s="1454">
        <v>2</v>
      </c>
      <c r="I15" s="1454">
        <v>0.77</v>
      </c>
      <c r="J15" s="1454">
        <v>0.69</v>
      </c>
      <c r="K15" s="1454">
        <v>0.8</v>
      </c>
      <c r="L15" s="1469">
        <v>0.88</v>
      </c>
      <c r="N15" s="1462">
        <f t="shared" si="11"/>
        <v>7.7000000000000002E-3</v>
      </c>
      <c r="O15" s="1479">
        <f t="shared" si="7"/>
        <v>6.8999999999999999E-3</v>
      </c>
      <c r="P15" s="1479">
        <f t="shared" si="7"/>
        <v>8.0000000000000002E-3</v>
      </c>
      <c r="Q15" s="1479">
        <f t="shared" si="7"/>
        <v>8.8000000000000005E-3</v>
      </c>
      <c r="R15" s="1464"/>
      <c r="S15" s="1462"/>
      <c r="T15" s="1463"/>
      <c r="U15" s="1463"/>
      <c r="V15" s="1463"/>
      <c r="X15" s="1448">
        <f>ROUND(SUMPRODUCT(PRODUCT(1+N15:N$19)),4)</f>
        <v>1.048</v>
      </c>
      <c r="Y15" s="1448">
        <f>ROUND(SUMPRODUCT(PRODUCT(1+O15:O$19)),4)</f>
        <v>1.0524</v>
      </c>
      <c r="Z15" s="1448">
        <f t="shared" si="0"/>
        <v>1.0524</v>
      </c>
      <c r="AA15" s="1448">
        <f>ROUND(SUMPRODUCT(PRODUCT(1+P15:P$19)),4)</f>
        <v>1.0470999999999999</v>
      </c>
      <c r="AB15" s="1448">
        <f>ROUND(SUMPRODUCT(PRODUCT(1+Q15:Q$19)),4)</f>
        <v>1.0504</v>
      </c>
      <c r="AD15" s="1449">
        <f>ROUND(AVERAGE(I15:I$20)/100,4)</f>
        <v>1.2800000000000001E-2</v>
      </c>
      <c r="AE15" s="1449">
        <f>ROUND(AVERAGE(J15:J$20)/100,4)</f>
        <v>1.2500000000000001E-2</v>
      </c>
      <c r="AF15" s="1449">
        <f t="shared" si="1"/>
        <v>1.2500000000000001E-2</v>
      </c>
      <c r="AG15" s="1449">
        <f>ROUND(AVERAGE(K15:K$20)/100,4)</f>
        <v>1.32E-2</v>
      </c>
      <c r="AH15" s="1449">
        <f>ROUND(AVERAGE(L15:L$20)/100,4)</f>
        <v>1.0500000000000001E-2</v>
      </c>
    </row>
    <row r="16" spans="1:34">
      <c r="A16" s="1450" t="s">
        <v>148</v>
      </c>
      <c r="B16" s="1467">
        <f t="shared" si="12"/>
        <v>319.87748030386797</v>
      </c>
      <c r="C16" s="1467">
        <f t="shared" si="12"/>
        <v>269.60135833173649</v>
      </c>
      <c r="D16" s="1467">
        <f t="shared" si="9"/>
        <v>269.60135833173649</v>
      </c>
      <c r="E16" s="1467">
        <f t="shared" si="13"/>
        <v>439.18089823583784</v>
      </c>
      <c r="F16" s="1467">
        <f t="shared" si="13"/>
        <v>239.23503918706311</v>
      </c>
      <c r="G16" s="3321"/>
      <c r="H16" s="1453">
        <v>1</v>
      </c>
      <c r="I16" s="1453">
        <v>0.51</v>
      </c>
      <c r="J16" s="1453">
        <v>0.54</v>
      </c>
      <c r="K16" s="1453">
        <v>0.48</v>
      </c>
      <c r="L16" s="1468">
        <v>0.93</v>
      </c>
      <c r="N16" s="1470">
        <f t="shared" si="11"/>
        <v>5.1000000000000004E-3</v>
      </c>
      <c r="O16" s="1471">
        <f t="shared" si="7"/>
        <v>5.4000000000000003E-3</v>
      </c>
      <c r="P16" s="1471">
        <f t="shared" si="7"/>
        <v>4.7999999999999996E-3</v>
      </c>
      <c r="Q16" s="1471">
        <f t="shared" si="7"/>
        <v>9.300000000000001E-3</v>
      </c>
      <c r="R16" s="1464"/>
      <c r="S16" s="1470">
        <f>B16/B17-1</f>
        <v>5.9040261127922822E-3</v>
      </c>
      <c r="T16" s="1471">
        <f>C16/C17-1</f>
        <v>5.9752176557332781E-3</v>
      </c>
      <c r="U16" s="1471">
        <f>E16/E17-1</f>
        <v>4.9906138119859556E-3</v>
      </c>
      <c r="V16" s="1471">
        <f>F16/F17-1</f>
        <v>9.4305450930933787E-3</v>
      </c>
      <c r="X16" s="1448">
        <f>ROUND(SUMPRODUCT(PRODUCT(1+N16:N$19)),4)</f>
        <v>1.0399</v>
      </c>
      <c r="Y16" s="1448">
        <f>ROUND(SUMPRODUCT(PRODUCT(1+O16:O$19)),4)</f>
        <v>1.0451999999999999</v>
      </c>
      <c r="Z16" s="1448">
        <f t="shared" si="0"/>
        <v>1.0451999999999999</v>
      </c>
      <c r="AA16" s="1448">
        <f>ROUND(SUMPRODUCT(PRODUCT(1+P16:P$19)),4)</f>
        <v>1.0387999999999999</v>
      </c>
      <c r="AB16" s="1448">
        <f>ROUND(SUMPRODUCT(PRODUCT(1+Q16:Q$19)),4)</f>
        <v>1.0411999999999999</v>
      </c>
      <c r="AD16" s="1449">
        <f>ROUND(AVERAGE(I16:I$20)/100,4)</f>
        <v>1.38E-2</v>
      </c>
      <c r="AE16" s="1449">
        <f>ROUND(AVERAGE(J16:J$20)/100,4)</f>
        <v>1.3599999999999999E-2</v>
      </c>
      <c r="AF16" s="1449">
        <f t="shared" si="1"/>
        <v>1.3599999999999999E-2</v>
      </c>
      <c r="AG16" s="1449">
        <f>ROUND(AVERAGE(K16:K$20)/100,4)</f>
        <v>1.4200000000000001E-2</v>
      </c>
      <c r="AH16" s="1449">
        <f>ROUND(AVERAGE(L16:L$20)/100,4)</f>
        <v>1.0800000000000001E-2</v>
      </c>
    </row>
    <row r="17" spans="1:34" ht="13.5" thickBot="1">
      <c r="A17" s="1450" t="s">
        <v>147</v>
      </c>
      <c r="B17" s="1480">
        <v>318</v>
      </c>
      <c r="C17" s="1480">
        <v>268</v>
      </c>
      <c r="D17" s="1480">
        <f t="shared" si="9"/>
        <v>268</v>
      </c>
      <c r="E17" s="1480">
        <v>437</v>
      </c>
      <c r="F17" s="1481">
        <v>237</v>
      </c>
      <c r="G17" s="3319">
        <v>2014</v>
      </c>
      <c r="H17" s="1472">
        <v>4</v>
      </c>
      <c r="I17" s="1472">
        <v>0.21</v>
      </c>
      <c r="J17" s="1472">
        <v>0.41</v>
      </c>
      <c r="K17" s="1472">
        <v>0.12</v>
      </c>
      <c r="L17" s="1473">
        <v>0.89</v>
      </c>
      <c r="N17" s="1462">
        <f t="shared" si="11"/>
        <v>2.0999999999999999E-3</v>
      </c>
      <c r="O17" s="1463">
        <f t="shared" si="7"/>
        <v>4.0999999999999995E-3</v>
      </c>
      <c r="P17" s="1463">
        <f t="shared" si="7"/>
        <v>1.1999999999999999E-3</v>
      </c>
      <c r="Q17" s="1463">
        <f t="shared" si="7"/>
        <v>8.8999999999999999E-3</v>
      </c>
      <c r="R17" s="1464"/>
      <c r="S17" s="1465"/>
      <c r="T17" s="1466"/>
      <c r="U17" s="1466"/>
      <c r="V17" s="1466"/>
      <c r="X17" s="1448">
        <f>ROUND(SUMPRODUCT(PRODUCT(1+N17:N$19)),4)</f>
        <v>1.0347</v>
      </c>
      <c r="Y17" s="1448">
        <f>ROUND(SUMPRODUCT(PRODUCT(1+O17:O$19)),4)</f>
        <v>1.0395000000000001</v>
      </c>
      <c r="Z17" s="1448">
        <f t="shared" si="0"/>
        <v>1.0395000000000001</v>
      </c>
      <c r="AA17" s="1448">
        <f>ROUND(SUMPRODUCT(PRODUCT(1+P17:P$19)),4)</f>
        <v>1.0338000000000001</v>
      </c>
      <c r="AB17" s="1448">
        <f>ROUND(SUMPRODUCT(PRODUCT(1+Q17:Q$19)),4)</f>
        <v>1.0316000000000001</v>
      </c>
      <c r="AD17" s="1449">
        <f>ROUND(AVERAGE(I17:I$20)/100,4)</f>
        <v>1.6E-2</v>
      </c>
      <c r="AE17" s="1449">
        <f>ROUND(AVERAGE(J17:J$20)/100,4)</f>
        <v>1.5599999999999999E-2</v>
      </c>
      <c r="AF17" s="1449">
        <f t="shared" si="1"/>
        <v>1.5599999999999999E-2</v>
      </c>
      <c r="AG17" s="1449">
        <f>ROUND(AVERAGE(K17:K$20)/100,4)</f>
        <v>1.66E-2</v>
      </c>
      <c r="AH17" s="1449">
        <f>ROUND(AVERAGE(L17:L$20)/100,4)</f>
        <v>1.12E-2</v>
      </c>
    </row>
    <row r="18" spans="1:34">
      <c r="A18" s="1450" t="s">
        <v>146</v>
      </c>
      <c r="B18" s="1467">
        <f t="shared" ref="B18:C20" si="14">B17/(1+N17)</f>
        <v>317.33359944117353</v>
      </c>
      <c r="C18" s="1467">
        <f t="shared" si="14"/>
        <v>266.90568668459315</v>
      </c>
      <c r="D18" s="1467">
        <f t="shared" si="9"/>
        <v>266.90568668459315</v>
      </c>
      <c r="E18" s="1467">
        <f t="shared" ref="E18:F20" si="15">E17/(1+P17)</f>
        <v>436.47622852576905</v>
      </c>
      <c r="F18" s="1467">
        <f t="shared" si="15"/>
        <v>234.90930716622066</v>
      </c>
      <c r="G18" s="3320"/>
      <c r="H18" s="1482">
        <v>3</v>
      </c>
      <c r="I18" s="1482">
        <v>0.83</v>
      </c>
      <c r="J18" s="1482">
        <v>1.47</v>
      </c>
      <c r="K18" s="1482">
        <v>0.65</v>
      </c>
      <c r="L18" s="1483">
        <v>0.72</v>
      </c>
      <c r="N18" s="1462">
        <f t="shared" si="11"/>
        <v>8.3000000000000001E-3</v>
      </c>
      <c r="O18" s="1463">
        <f t="shared" si="7"/>
        <v>1.47E-2</v>
      </c>
      <c r="P18" s="1463">
        <f t="shared" si="7"/>
        <v>6.5000000000000006E-3</v>
      </c>
      <c r="Q18" s="1463">
        <f t="shared" si="7"/>
        <v>7.1999999999999998E-3</v>
      </c>
      <c r="R18" s="1464"/>
      <c r="S18" s="1462"/>
      <c r="T18" s="1463"/>
      <c r="U18" s="1463"/>
      <c r="V18" s="1463"/>
      <c r="X18" s="1448">
        <f>ROUND(SUMPRODUCT(PRODUCT(1+N18:N$19)),4)</f>
        <v>1.0325</v>
      </c>
      <c r="Y18" s="1448">
        <f>ROUND(SUMPRODUCT(PRODUCT(1+O18:O$19)),4)</f>
        <v>1.0353000000000001</v>
      </c>
      <c r="Z18" s="1448">
        <f>Y18</f>
        <v>1.0353000000000001</v>
      </c>
      <c r="AA18" s="1448">
        <f>ROUND(SUMPRODUCT(PRODUCT(1+P18:P$19)),4)</f>
        <v>1.0326</v>
      </c>
      <c r="AB18" s="1448">
        <f>ROUND(SUMPRODUCT(PRODUCT(1+Q18:Q$19)),4)</f>
        <v>1.0225</v>
      </c>
      <c r="AD18" s="1449">
        <f>ROUND(AVERAGE(I18:I$20)/100,4)</f>
        <v>2.07E-2</v>
      </c>
      <c r="AE18" s="1449">
        <f>ROUND(AVERAGE(J18:J$20)/100,4)</f>
        <v>1.95E-2</v>
      </c>
      <c r="AF18" s="1449">
        <f t="shared" si="1"/>
        <v>1.95E-2</v>
      </c>
      <c r="AG18" s="1449">
        <f>ROUND(AVERAGE(K18:K$20)/100,4)</f>
        <v>2.1700000000000001E-2</v>
      </c>
      <c r="AH18" s="1449">
        <f>ROUND(AVERAGE(L18:L$20)/100,4)</f>
        <v>1.2E-2</v>
      </c>
    </row>
    <row r="19" spans="1:34" ht="13.5" thickBot="1">
      <c r="A19" s="1450" t="s">
        <v>145</v>
      </c>
      <c r="B19" s="1467">
        <f t="shared" si="14"/>
        <v>314.72141172386546</v>
      </c>
      <c r="C19" s="1467">
        <f t="shared" si="14"/>
        <v>263.03901319069001</v>
      </c>
      <c r="D19" s="1467">
        <f t="shared" si="9"/>
        <v>263.03901319069001</v>
      </c>
      <c r="E19" s="1467">
        <f t="shared" si="15"/>
        <v>433.65745506782821</v>
      </c>
      <c r="F19" s="1467">
        <f t="shared" si="15"/>
        <v>233.23005080045735</v>
      </c>
      <c r="G19" s="3320"/>
      <c r="H19" s="1472">
        <v>2</v>
      </c>
      <c r="I19" s="1472">
        <v>2.4</v>
      </c>
      <c r="J19" s="1472">
        <v>2.0299999999999998</v>
      </c>
      <c r="K19" s="1472">
        <v>2.59</v>
      </c>
      <c r="L19" s="1473">
        <v>1.52</v>
      </c>
      <c r="N19" s="1462">
        <f t="shared" si="11"/>
        <v>2.4E-2</v>
      </c>
      <c r="O19" s="1463">
        <f t="shared" si="7"/>
        <v>2.0299999999999999E-2</v>
      </c>
      <c r="P19" s="1463">
        <f t="shared" si="7"/>
        <v>2.5899999999999999E-2</v>
      </c>
      <c r="Q19" s="1463">
        <f t="shared" si="7"/>
        <v>1.52E-2</v>
      </c>
      <c r="R19" s="1464"/>
      <c r="S19" s="1462"/>
      <c r="T19" s="1463"/>
      <c r="U19" s="1463"/>
      <c r="V19" s="1463"/>
      <c r="X19" s="1448">
        <f>1+N19</f>
        <v>1.024</v>
      </c>
      <c r="Y19" s="1448">
        <f>1+O19</f>
        <v>1.0203</v>
      </c>
      <c r="Z19" s="1448">
        <f>Y19</f>
        <v>1.0203</v>
      </c>
      <c r="AA19" s="1448">
        <f>1+P19</f>
        <v>1.0259</v>
      </c>
      <c r="AB19" s="1448">
        <f>1+Q19</f>
        <v>1.0152000000000001</v>
      </c>
      <c r="AD19" s="1449">
        <f>ROUND(AVERAGE(I19:I$20)/100,4)</f>
        <v>2.69E-2</v>
      </c>
      <c r="AE19" s="1449">
        <f>ROUND(AVERAGE(J19:J$20)/100,4)</f>
        <v>2.1899999999999999E-2</v>
      </c>
      <c r="AF19" s="1449">
        <f>AE19</f>
        <v>2.1899999999999999E-2</v>
      </c>
      <c r="AG19" s="1449">
        <f>ROUND(AVERAGE(K19:K$20)/100,4)</f>
        <v>2.9399999999999999E-2</v>
      </c>
      <c r="AH19" s="1449">
        <f>ROUND(AVERAGE(L19:L$20)/100,4)</f>
        <v>1.44E-2</v>
      </c>
    </row>
    <row r="20" spans="1:34" s="1488" customFormat="1" ht="13.5" thickBot="1">
      <c r="A20" s="1484" t="s">
        <v>144</v>
      </c>
      <c r="B20" s="1485">
        <f t="shared" si="14"/>
        <v>307.34512863658733</v>
      </c>
      <c r="C20" s="1485">
        <f t="shared" si="14"/>
        <v>257.80556031626975</v>
      </c>
      <c r="D20" s="1485">
        <f t="shared" si="9"/>
        <v>257.80556031626975</v>
      </c>
      <c r="E20" s="1485">
        <f t="shared" si="15"/>
        <v>422.70928459677179</v>
      </c>
      <c r="F20" s="1485">
        <f t="shared" si="15"/>
        <v>229.73803270336617</v>
      </c>
      <c r="G20" s="3321"/>
      <c r="H20" s="1486">
        <v>1</v>
      </c>
      <c r="I20" s="1486">
        <v>2.97</v>
      </c>
      <c r="J20" s="1486">
        <v>2.34</v>
      </c>
      <c r="K20" s="1486">
        <v>3.28</v>
      </c>
      <c r="L20" s="1487">
        <v>1.36</v>
      </c>
      <c r="N20" s="1489">
        <f t="shared" si="11"/>
        <v>2.9700000000000001E-2</v>
      </c>
      <c r="O20" s="1490">
        <f t="shared" si="7"/>
        <v>2.3399999999999997E-2</v>
      </c>
      <c r="P20" s="1490">
        <f t="shared" si="7"/>
        <v>3.2799999999999996E-2</v>
      </c>
      <c r="Q20" s="1490">
        <f t="shared" si="7"/>
        <v>1.3600000000000001E-2</v>
      </c>
      <c r="R20" s="1491"/>
      <c r="S20" s="1492">
        <f>B20/B21-1</f>
        <v>2.7910129219355539E-2</v>
      </c>
      <c r="T20" s="1493">
        <f>C20/C21-1</f>
        <v>2.3037937762975247E-2</v>
      </c>
      <c r="U20" s="1493">
        <f>E20/E21-1</f>
        <v>3.3519033243940788E-2</v>
      </c>
      <c r="V20" s="1493">
        <f>F20/F21-1</f>
        <v>1.2061818076502862E-2</v>
      </c>
      <c r="W20" s="1494" t="s">
        <v>1163</v>
      </c>
      <c r="X20" s="1495">
        <v>1</v>
      </c>
      <c r="Y20" s="1495">
        <v>1</v>
      </c>
      <c r="Z20" s="1495">
        <v>1</v>
      </c>
      <c r="AA20" s="1495">
        <v>1</v>
      </c>
      <c r="AB20" s="1495">
        <v>1</v>
      </c>
      <c r="AD20" s="1717">
        <f>I20/100</f>
        <v>2.9700000000000001E-2</v>
      </c>
      <c r="AE20" s="1717">
        <f>J20/100</f>
        <v>2.3399999999999997E-2</v>
      </c>
      <c r="AF20" s="1717">
        <f>AE20</f>
        <v>2.3399999999999997E-2</v>
      </c>
      <c r="AG20" s="1717">
        <f>K20/100</f>
        <v>3.2799999999999996E-2</v>
      </c>
      <c r="AH20" s="1717">
        <f>L20/100</f>
        <v>1.3600000000000001E-2</v>
      </c>
    </row>
    <row r="21" spans="1:34" ht="13.5" thickBot="1">
      <c r="A21" s="1450" t="s">
        <v>1164</v>
      </c>
      <c r="B21" s="1459">
        <v>299</v>
      </c>
      <c r="C21" s="1459">
        <v>252</v>
      </c>
      <c r="D21" s="1459">
        <f t="shared" si="9"/>
        <v>252</v>
      </c>
      <c r="E21" s="1459">
        <v>409</v>
      </c>
      <c r="F21" s="1460">
        <v>227</v>
      </c>
      <c r="G21" s="3324">
        <v>2013</v>
      </c>
      <c r="H21" s="1496">
        <v>4</v>
      </c>
      <c r="I21" s="1496">
        <v>1.83</v>
      </c>
      <c r="J21" s="1496">
        <v>1.68</v>
      </c>
      <c r="K21" s="1496">
        <v>1.97</v>
      </c>
      <c r="L21" s="1497">
        <v>0.87</v>
      </c>
      <c r="N21" s="1474">
        <f t="shared" si="11"/>
        <v>1.83E-2</v>
      </c>
      <c r="O21" s="1475">
        <f t="shared" si="7"/>
        <v>1.6799999999999999E-2</v>
      </c>
      <c r="P21" s="1475">
        <f t="shared" si="7"/>
        <v>1.9699999999999999E-2</v>
      </c>
      <c r="Q21" s="1475">
        <f t="shared" si="7"/>
        <v>8.6999999999999994E-3</v>
      </c>
      <c r="R21" s="1464"/>
      <c r="S21" s="1465"/>
      <c r="T21" s="1466"/>
      <c r="U21" s="1466"/>
      <c r="V21" s="1466"/>
      <c r="X21" s="1466"/>
      <c r="Y21" s="1466"/>
      <c r="Z21" s="1466"/>
    </row>
    <row r="22" spans="1:34">
      <c r="A22" s="1450" t="s">
        <v>1165</v>
      </c>
      <c r="B22" s="1467">
        <f t="shared" ref="B22:C24" si="16">B21/(1+N21)</f>
        <v>293.62663262299913</v>
      </c>
      <c r="C22" s="1467">
        <f t="shared" si="16"/>
        <v>247.83634933123525</v>
      </c>
      <c r="D22" s="1467">
        <f t="shared" si="9"/>
        <v>247.83634933123525</v>
      </c>
      <c r="E22" s="1467">
        <f t="shared" ref="E22:F24" si="17">E21/(1+P21)</f>
        <v>401.09836226341076</v>
      </c>
      <c r="F22" s="1467">
        <f t="shared" si="17"/>
        <v>225.04213343908003</v>
      </c>
      <c r="G22" s="3325"/>
      <c r="H22" s="1477">
        <v>3</v>
      </c>
      <c r="I22" s="1477">
        <v>1.86</v>
      </c>
      <c r="J22" s="1477">
        <v>1.72</v>
      </c>
      <c r="K22" s="1477">
        <v>1.98</v>
      </c>
      <c r="L22" s="1478">
        <v>0.88</v>
      </c>
      <c r="N22" s="1462">
        <f t="shared" si="11"/>
        <v>1.8600000000000002E-2</v>
      </c>
      <c r="O22" s="1479">
        <f t="shared" si="7"/>
        <v>1.72E-2</v>
      </c>
      <c r="P22" s="1479">
        <f t="shared" si="7"/>
        <v>1.9799999999999998E-2</v>
      </c>
      <c r="Q22" s="1479">
        <f t="shared" si="7"/>
        <v>8.8000000000000005E-3</v>
      </c>
      <c r="R22" s="1464"/>
      <c r="S22" s="1462"/>
      <c r="T22" s="1463"/>
      <c r="U22" s="1463"/>
      <c r="V22" s="1463"/>
    </row>
    <row r="23" spans="1:34">
      <c r="A23" s="1450" t="s">
        <v>1166</v>
      </c>
      <c r="B23" s="1467">
        <f t="shared" si="16"/>
        <v>288.2649053828776</v>
      </c>
      <c r="C23" s="1467">
        <f t="shared" si="16"/>
        <v>243.64564425013293</v>
      </c>
      <c r="D23" s="1467">
        <f t="shared" si="9"/>
        <v>243.64564425013293</v>
      </c>
      <c r="E23" s="1467">
        <f t="shared" si="17"/>
        <v>393.31080825986544</v>
      </c>
      <c r="F23" s="1467">
        <f t="shared" si="17"/>
        <v>223.07903790551154</v>
      </c>
      <c r="G23" s="3325"/>
      <c r="H23" s="1454">
        <v>2</v>
      </c>
      <c r="I23" s="1454">
        <v>2.04</v>
      </c>
      <c r="J23" s="1454">
        <v>2.33</v>
      </c>
      <c r="K23" s="1454">
        <v>2.0699999999999998</v>
      </c>
      <c r="L23" s="1469">
        <v>0.69</v>
      </c>
      <c r="N23" s="1462">
        <f t="shared" si="11"/>
        <v>2.0400000000000001E-2</v>
      </c>
      <c r="O23" s="1479">
        <f t="shared" si="7"/>
        <v>2.3300000000000001E-2</v>
      </c>
      <c r="P23" s="1479">
        <f t="shared" si="7"/>
        <v>2.07E-2</v>
      </c>
      <c r="Q23" s="1479">
        <f t="shared" si="7"/>
        <v>6.8999999999999999E-3</v>
      </c>
      <c r="R23" s="1464"/>
      <c r="S23" s="1462"/>
      <c r="T23" s="1463"/>
      <c r="U23" s="1463"/>
      <c r="V23" s="1463"/>
      <c r="X23" s="1498"/>
      <c r="Y23" s="1499"/>
    </row>
    <row r="24" spans="1:34">
      <c r="A24" s="1450" t="s">
        <v>1167</v>
      </c>
      <c r="B24" s="1467">
        <f t="shared" si="16"/>
        <v>282.50186729015837</v>
      </c>
      <c r="C24" s="1467">
        <f t="shared" si="16"/>
        <v>238.09796174155468</v>
      </c>
      <c r="D24" s="1467">
        <f t="shared" si="9"/>
        <v>238.09796174155468</v>
      </c>
      <c r="E24" s="1467">
        <f t="shared" si="17"/>
        <v>385.33438646014054</v>
      </c>
      <c r="F24" s="1467">
        <f t="shared" si="17"/>
        <v>221.55034055567739</v>
      </c>
      <c r="G24" s="3326"/>
      <c r="H24" s="1453">
        <v>1</v>
      </c>
      <c r="I24" s="1453">
        <v>1.67</v>
      </c>
      <c r="J24" s="1453">
        <v>1.31</v>
      </c>
      <c r="K24" s="1453">
        <v>1.85</v>
      </c>
      <c r="L24" s="1468">
        <v>0.96</v>
      </c>
      <c r="N24" s="1470">
        <f t="shared" si="11"/>
        <v>1.67E-2</v>
      </c>
      <c r="O24" s="1471">
        <f t="shared" si="11"/>
        <v>1.3100000000000001E-2</v>
      </c>
      <c r="P24" s="1471">
        <f t="shared" si="11"/>
        <v>1.8500000000000003E-2</v>
      </c>
      <c r="Q24" s="1471">
        <f t="shared" si="11"/>
        <v>9.5999999999999992E-3</v>
      </c>
      <c r="R24" s="1464"/>
      <c r="S24" s="1470">
        <f>B24/B25-1</f>
        <v>1.6193767230785472E-2</v>
      </c>
      <c r="T24" s="1471">
        <f>C24/C25-1</f>
        <v>1.7512657015190891E-2</v>
      </c>
      <c r="U24" s="1471">
        <f>E24/E25-1</f>
        <v>1.6713420739157048E-2</v>
      </c>
      <c r="V24" s="1471">
        <f>F24/F25-1</f>
        <v>7.0470025258062563E-3</v>
      </c>
      <c r="X24" s="1500"/>
      <c r="Y24" s="1449"/>
      <c r="Z24" s="1449"/>
    </row>
    <row r="25" spans="1:34" ht="13.5" thickBot="1">
      <c r="A25" s="1450" t="s">
        <v>1168</v>
      </c>
      <c r="B25" s="1501">
        <v>278</v>
      </c>
      <c r="C25" s="1501">
        <v>234</v>
      </c>
      <c r="D25" s="1501">
        <f t="shared" si="9"/>
        <v>234</v>
      </c>
      <c r="E25" s="1501">
        <v>379</v>
      </c>
      <c r="F25" s="1502">
        <v>220</v>
      </c>
      <c r="G25" s="3319">
        <v>2012</v>
      </c>
      <c r="H25" s="1472">
        <v>4</v>
      </c>
      <c r="I25" s="1472">
        <v>0.91</v>
      </c>
      <c r="J25" s="1472">
        <v>0.68</v>
      </c>
      <c r="K25" s="1472">
        <v>0.98</v>
      </c>
      <c r="L25" s="1473">
        <v>0.9</v>
      </c>
      <c r="N25" s="1462">
        <f t="shared" si="11"/>
        <v>9.1000000000000004E-3</v>
      </c>
      <c r="O25" s="1463">
        <f t="shared" si="11"/>
        <v>6.8000000000000005E-3</v>
      </c>
      <c r="P25" s="1463">
        <f t="shared" si="11"/>
        <v>9.7999999999999997E-3</v>
      </c>
      <c r="Q25" s="1463">
        <f t="shared" si="11"/>
        <v>9.0000000000000011E-3</v>
      </c>
      <c r="R25" s="1464"/>
      <c r="S25" s="1465"/>
      <c r="T25" s="1466"/>
      <c r="U25" s="1466"/>
      <c r="V25" s="1466"/>
      <c r="X25" s="1466"/>
      <c r="Y25" s="1466"/>
      <c r="Z25" s="1466"/>
    </row>
    <row r="26" spans="1:34">
      <c r="A26" s="1450" t="s">
        <v>1169</v>
      </c>
      <c r="B26" s="1467">
        <f>B25/(1+N25)</f>
        <v>275.49301357645425</v>
      </c>
      <c r="C26" s="1467">
        <f>C25/(1+O25)</f>
        <v>232.41954707985698</v>
      </c>
      <c r="D26" s="1467">
        <f t="shared" si="9"/>
        <v>232.41954707985698</v>
      </c>
      <c r="E26" s="1467">
        <f t="shared" ref="E26:F28" si="18">E25/(1+P25)</f>
        <v>375.32184591008121</v>
      </c>
      <c r="F26" s="1467">
        <f t="shared" si="18"/>
        <v>218.03766105054513</v>
      </c>
      <c r="G26" s="3320"/>
      <c r="H26" s="1477">
        <v>3</v>
      </c>
      <c r="I26" s="1477">
        <v>0.09</v>
      </c>
      <c r="J26" s="1477">
        <v>0.28999999999999998</v>
      </c>
      <c r="K26" s="1477">
        <v>-0.01</v>
      </c>
      <c r="L26" s="1478">
        <v>0.57999999999999996</v>
      </c>
      <c r="N26" s="1462">
        <f t="shared" si="11"/>
        <v>8.9999999999999998E-4</v>
      </c>
      <c r="O26" s="1463">
        <f t="shared" si="11"/>
        <v>2.8999999999999998E-3</v>
      </c>
      <c r="P26" s="1463">
        <f t="shared" si="11"/>
        <v>-1E-4</v>
      </c>
      <c r="Q26" s="1463">
        <f t="shared" si="11"/>
        <v>5.7999999999999996E-3</v>
      </c>
      <c r="R26" s="1464"/>
      <c r="S26" s="1462"/>
      <c r="T26" s="1463"/>
      <c r="U26" s="1463"/>
      <c r="V26" s="1463"/>
    </row>
    <row r="27" spans="1:34">
      <c r="A27" s="1450" t="s">
        <v>1170</v>
      </c>
      <c r="B27" s="1467">
        <f>B26/(1+N26)</f>
        <v>275.24529281292263</v>
      </c>
      <c r="C27" s="1467">
        <f>C26/(1+O26)</f>
        <v>231.74747938962707</v>
      </c>
      <c r="D27" s="1467">
        <f t="shared" si="9"/>
        <v>231.74747938962707</v>
      </c>
      <c r="E27" s="1467">
        <f t="shared" si="18"/>
        <v>375.35938184826603</v>
      </c>
      <c r="F27" s="1467">
        <f t="shared" si="18"/>
        <v>216.78033510692495</v>
      </c>
      <c r="G27" s="3320"/>
      <c r="H27" s="1454">
        <v>2</v>
      </c>
      <c r="I27" s="1454">
        <v>0.02</v>
      </c>
      <c r="J27" s="1454">
        <v>0.12</v>
      </c>
      <c r="K27" s="1454">
        <v>-0.08</v>
      </c>
      <c r="L27" s="1469">
        <v>1.24</v>
      </c>
      <c r="N27" s="1462">
        <f t="shared" si="11"/>
        <v>2.0000000000000001E-4</v>
      </c>
      <c r="O27" s="1463">
        <f t="shared" si="11"/>
        <v>1.1999999999999999E-3</v>
      </c>
      <c r="P27" s="1463">
        <f t="shared" si="11"/>
        <v>-8.0000000000000004E-4</v>
      </c>
      <c r="Q27" s="1463">
        <f t="shared" si="11"/>
        <v>1.24E-2</v>
      </c>
      <c r="R27" s="1464"/>
      <c r="S27" s="1462"/>
      <c r="T27" s="1463"/>
      <c r="U27" s="1463"/>
      <c r="V27" s="1463"/>
    </row>
    <row r="28" spans="1:34" ht="13.5" thickBot="1">
      <c r="A28" s="1450" t="s">
        <v>1171</v>
      </c>
      <c r="B28" s="1467">
        <f>B27/(1+N27)</f>
        <v>275.19025476197027</v>
      </c>
      <c r="C28" s="1503">
        <v>232</v>
      </c>
      <c r="D28" s="1503">
        <f t="shared" si="9"/>
        <v>232</v>
      </c>
      <c r="E28" s="1467">
        <f t="shared" si="18"/>
        <v>375.65990977608692</v>
      </c>
      <c r="F28" s="1467">
        <f t="shared" si="18"/>
        <v>214.12518283971252</v>
      </c>
      <c r="G28" s="3321"/>
      <c r="H28" s="1453">
        <v>1</v>
      </c>
      <c r="I28" s="1453">
        <v>0.02</v>
      </c>
      <c r="J28" s="1453">
        <v>0.13</v>
      </c>
      <c r="K28" s="1453">
        <v>-0.04</v>
      </c>
      <c r="L28" s="1468">
        <v>0.46</v>
      </c>
      <c r="N28" s="1462">
        <f t="shared" si="11"/>
        <v>2.0000000000000001E-4</v>
      </c>
      <c r="O28" s="1463">
        <f t="shared" si="11"/>
        <v>1.2999999999999999E-3</v>
      </c>
      <c r="P28" s="1463">
        <f t="shared" si="11"/>
        <v>-4.0000000000000002E-4</v>
      </c>
      <c r="Q28" s="1463">
        <f t="shared" si="11"/>
        <v>4.5999999999999999E-3</v>
      </c>
      <c r="R28" s="1464"/>
      <c r="S28" s="1470">
        <f>B28/B29-1</f>
        <v>6.9183549807361189E-4</v>
      </c>
      <c r="T28" s="1471">
        <f>C28/C29-1</f>
        <v>0</v>
      </c>
      <c r="U28" s="1471">
        <f>E28/E29-1</f>
        <v>-9.0449527636460303E-4</v>
      </c>
      <c r="V28" s="1471">
        <f>F28/F29-1</f>
        <v>5.2825485432512753E-3</v>
      </c>
      <c r="X28" s="1449"/>
      <c r="Y28" s="1449"/>
      <c r="Z28" s="1449"/>
    </row>
    <row r="29" spans="1:34" ht="13.5" thickBot="1">
      <c r="A29" s="1450" t="s">
        <v>1172</v>
      </c>
      <c r="B29" s="1459">
        <v>275</v>
      </c>
      <c r="C29" s="1459">
        <v>232</v>
      </c>
      <c r="D29" s="1459">
        <f t="shared" si="9"/>
        <v>232</v>
      </c>
      <c r="E29" s="1459">
        <v>376</v>
      </c>
      <c r="F29" s="1460">
        <v>213</v>
      </c>
      <c r="G29" s="3319">
        <v>2011</v>
      </c>
      <c r="H29" s="1472">
        <v>4</v>
      </c>
      <c r="I29" s="1472">
        <v>-0.2</v>
      </c>
      <c r="J29" s="1472">
        <v>0.04</v>
      </c>
      <c r="K29" s="1472">
        <v>-0.34</v>
      </c>
      <c r="L29" s="1473">
        <v>0.46</v>
      </c>
      <c r="N29" s="1474">
        <f t="shared" si="11"/>
        <v>-2E-3</v>
      </c>
      <c r="O29" s="1475">
        <f t="shared" si="11"/>
        <v>4.0000000000000002E-4</v>
      </c>
      <c r="P29" s="1475">
        <f t="shared" si="11"/>
        <v>-3.4000000000000002E-3</v>
      </c>
      <c r="Q29" s="1475">
        <f t="shared" si="11"/>
        <v>4.5999999999999999E-3</v>
      </c>
      <c r="R29" s="1464"/>
      <c r="S29" s="1465"/>
      <c r="T29" s="1466"/>
      <c r="U29" s="1466"/>
      <c r="V29" s="1466"/>
      <c r="X29" s="1466"/>
      <c r="Y29" s="1466"/>
      <c r="Z29" s="1466"/>
    </row>
    <row r="30" spans="1:34">
      <c r="A30" s="1450" t="s">
        <v>1173</v>
      </c>
      <c r="B30" s="1467">
        <f t="shared" ref="B30:C32" si="19">B29/(1+N29)</f>
        <v>275.55110220440883</v>
      </c>
      <c r="C30" s="1467">
        <f t="shared" si="19"/>
        <v>231.90723710515795</v>
      </c>
      <c r="D30" s="1467">
        <f t="shared" si="9"/>
        <v>231.90723710515795</v>
      </c>
      <c r="E30" s="1467">
        <f t="shared" ref="E30:F32" si="20">E29/(1+P29)</f>
        <v>377.28276138872161</v>
      </c>
      <c r="F30" s="1467">
        <f t="shared" si="20"/>
        <v>212.02468644236512</v>
      </c>
      <c r="G30" s="3320">
        <v>2011</v>
      </c>
      <c r="H30" s="1477">
        <v>3</v>
      </c>
      <c r="I30" s="1477">
        <v>0.13</v>
      </c>
      <c r="J30" s="1477">
        <v>0.75</v>
      </c>
      <c r="K30" s="1477">
        <v>-0.08</v>
      </c>
      <c r="L30" s="1478">
        <v>0.53</v>
      </c>
      <c r="N30" s="1462">
        <f t="shared" si="11"/>
        <v>1.2999999999999999E-3</v>
      </c>
      <c r="O30" s="1479">
        <f t="shared" si="11"/>
        <v>7.4999999999999997E-3</v>
      </c>
      <c r="P30" s="1479">
        <f t="shared" si="11"/>
        <v>-8.0000000000000004E-4</v>
      </c>
      <c r="Q30" s="1479">
        <f t="shared" si="11"/>
        <v>5.3E-3</v>
      </c>
      <c r="R30" s="1464"/>
      <c r="S30" s="1462"/>
      <c r="T30" s="1463"/>
      <c r="U30" s="1463"/>
      <c r="V30" s="1463"/>
    </row>
    <row r="31" spans="1:34">
      <c r="A31" s="1450" t="s">
        <v>1174</v>
      </c>
      <c r="B31" s="1467">
        <f t="shared" si="19"/>
        <v>275.19335084830601</v>
      </c>
      <c r="C31" s="1467">
        <f t="shared" si="19"/>
        <v>230.18088050139744</v>
      </c>
      <c r="D31" s="1467">
        <f t="shared" si="9"/>
        <v>230.18088050139744</v>
      </c>
      <c r="E31" s="1467">
        <f t="shared" si="20"/>
        <v>377.58482925212331</v>
      </c>
      <c r="F31" s="1467">
        <f t="shared" si="20"/>
        <v>210.90687997847917</v>
      </c>
      <c r="G31" s="3320">
        <v>2011</v>
      </c>
      <c r="H31" s="1454">
        <v>2</v>
      </c>
      <c r="I31" s="1454">
        <v>-0.4</v>
      </c>
      <c r="J31" s="1454">
        <v>0.17</v>
      </c>
      <c r="K31" s="1454">
        <v>-0.57999999999999996</v>
      </c>
      <c r="L31" s="1469">
        <v>-0.2</v>
      </c>
      <c r="N31" s="1462">
        <f t="shared" si="11"/>
        <v>-4.0000000000000001E-3</v>
      </c>
      <c r="O31" s="1479">
        <f t="shared" si="11"/>
        <v>1.7000000000000001E-3</v>
      </c>
      <c r="P31" s="1479">
        <f t="shared" si="11"/>
        <v>-5.7999999999999996E-3</v>
      </c>
      <c r="Q31" s="1479">
        <f t="shared" si="11"/>
        <v>-2E-3</v>
      </c>
      <c r="R31" s="1464"/>
      <c r="S31" s="1462"/>
      <c r="T31" s="1463"/>
      <c r="U31" s="1463"/>
      <c r="V31" s="1463"/>
    </row>
    <row r="32" spans="1:34" ht="13.5" thickBot="1">
      <c r="A32" s="1450" t="s">
        <v>1175</v>
      </c>
      <c r="B32" s="1467">
        <f t="shared" si="19"/>
        <v>276.29854502841971</v>
      </c>
      <c r="C32" s="1467">
        <f t="shared" si="19"/>
        <v>229.79023709833027</v>
      </c>
      <c r="D32" s="1467">
        <f t="shared" si="9"/>
        <v>229.79023709833027</v>
      </c>
      <c r="E32" s="1467">
        <f t="shared" si="20"/>
        <v>379.78759731655936</v>
      </c>
      <c r="F32" s="1467">
        <f t="shared" si="20"/>
        <v>211.32953905659235</v>
      </c>
      <c r="G32" s="3321">
        <v>2011</v>
      </c>
      <c r="H32" s="1453">
        <v>1</v>
      </c>
      <c r="I32" s="1453">
        <v>2.65</v>
      </c>
      <c r="J32" s="1453">
        <v>3.76</v>
      </c>
      <c r="K32" s="1453">
        <v>1.89</v>
      </c>
      <c r="L32" s="1468">
        <v>7.95</v>
      </c>
      <c r="N32" s="1470">
        <f t="shared" si="11"/>
        <v>2.6499999999999999E-2</v>
      </c>
      <c r="O32" s="1471">
        <f t="shared" si="11"/>
        <v>3.7599999999999995E-2</v>
      </c>
      <c r="P32" s="1471">
        <f t="shared" si="11"/>
        <v>1.89E-2</v>
      </c>
      <c r="Q32" s="1471">
        <f t="shared" si="11"/>
        <v>7.9500000000000001E-2</v>
      </c>
      <c r="R32" s="1464"/>
      <c r="S32" s="1470">
        <f>B32/B33-1</f>
        <v>2.713213765211786E-2</v>
      </c>
      <c r="T32" s="1471">
        <f>C32/C33-1</f>
        <v>3.9774828499231862E-2</v>
      </c>
      <c r="U32" s="1471">
        <f>E32/E33-1</f>
        <v>1.8197311840641772E-2</v>
      </c>
      <c r="V32" s="1471">
        <f>F32/F33-1</f>
        <v>7.8211933962205826E-2</v>
      </c>
      <c r="X32" s="1449"/>
      <c r="Y32" s="1449"/>
      <c r="Z32" s="1449"/>
    </row>
    <row r="33" spans="1:26" ht="13.5" thickBot="1">
      <c r="A33" s="1450" t="s">
        <v>1176</v>
      </c>
      <c r="B33" s="1459">
        <v>269</v>
      </c>
      <c r="C33" s="1459">
        <v>221</v>
      </c>
      <c r="D33" s="1459">
        <f t="shared" si="9"/>
        <v>221</v>
      </c>
      <c r="E33" s="1459">
        <v>373</v>
      </c>
      <c r="F33" s="1460">
        <v>196</v>
      </c>
      <c r="G33" s="3319">
        <v>2010</v>
      </c>
      <c r="H33" s="1472">
        <v>4</v>
      </c>
      <c r="I33" s="1472">
        <v>5.72</v>
      </c>
      <c r="J33" s="1472">
        <v>6.57</v>
      </c>
      <c r="K33" s="1472">
        <v>5.72</v>
      </c>
      <c r="L33" s="1473">
        <v>2.72</v>
      </c>
      <c r="N33" s="1462">
        <f t="shared" si="11"/>
        <v>5.7200000000000001E-2</v>
      </c>
      <c r="O33" s="1463">
        <f t="shared" si="11"/>
        <v>6.5700000000000008E-2</v>
      </c>
      <c r="P33" s="1463">
        <f t="shared" si="11"/>
        <v>5.7200000000000001E-2</v>
      </c>
      <c r="Q33" s="1463">
        <f t="shared" si="11"/>
        <v>2.7200000000000002E-2</v>
      </c>
      <c r="R33" s="1464"/>
      <c r="S33" s="1465"/>
      <c r="T33" s="1466"/>
      <c r="U33" s="1466"/>
      <c r="V33" s="1466"/>
      <c r="X33" s="1466"/>
      <c r="Y33" s="1466"/>
      <c r="Z33" s="1466"/>
    </row>
    <row r="34" spans="1:26">
      <c r="A34" s="1450" t="s">
        <v>1177</v>
      </c>
      <c r="B34" s="1467">
        <f t="shared" ref="B34:C36" si="21">B33/(1+N33)</f>
        <v>254.44570563753314</v>
      </c>
      <c r="C34" s="1467">
        <f t="shared" si="21"/>
        <v>207.37543398705074</v>
      </c>
      <c r="D34" s="1467">
        <f t="shared" si="9"/>
        <v>207.37543398705074</v>
      </c>
      <c r="E34" s="1467">
        <f t="shared" ref="E34:F36" si="22">E33/(1+P33)</f>
        <v>352.81876655315932</v>
      </c>
      <c r="F34" s="1467">
        <f t="shared" si="22"/>
        <v>190.809968847352</v>
      </c>
      <c r="G34" s="3320">
        <v>2010</v>
      </c>
      <c r="H34" s="1477">
        <v>3</v>
      </c>
      <c r="I34" s="1477">
        <v>4.7300000000000004</v>
      </c>
      <c r="J34" s="1477">
        <v>3.9</v>
      </c>
      <c r="K34" s="1477">
        <v>5.03</v>
      </c>
      <c r="L34" s="1478">
        <v>4.21</v>
      </c>
      <c r="N34" s="1462">
        <f t="shared" si="11"/>
        <v>4.7300000000000002E-2</v>
      </c>
      <c r="O34" s="1463">
        <f t="shared" si="11"/>
        <v>3.9E-2</v>
      </c>
      <c r="P34" s="1463">
        <f t="shared" si="11"/>
        <v>5.0300000000000004E-2</v>
      </c>
      <c r="Q34" s="1463">
        <f t="shared" si="11"/>
        <v>4.2099999999999999E-2</v>
      </c>
      <c r="R34" s="1464"/>
      <c r="S34" s="1462"/>
      <c r="T34" s="1463"/>
      <c r="U34" s="1463"/>
      <c r="V34" s="1463"/>
    </row>
    <row r="35" spans="1:26">
      <c r="A35" s="1450" t="s">
        <v>1178</v>
      </c>
      <c r="B35" s="1467">
        <f t="shared" si="21"/>
        <v>242.95398227588385</v>
      </c>
      <c r="C35" s="1467">
        <f t="shared" si="21"/>
        <v>199.59137053614126</v>
      </c>
      <c r="D35" s="1467">
        <f t="shared" si="9"/>
        <v>199.59137053614126</v>
      </c>
      <c r="E35" s="1467">
        <f t="shared" si="22"/>
        <v>335.92189522342125</v>
      </c>
      <c r="F35" s="1467">
        <f t="shared" si="22"/>
        <v>183.10139991109489</v>
      </c>
      <c r="G35" s="3320">
        <v>2010</v>
      </c>
      <c r="H35" s="1454">
        <v>2</v>
      </c>
      <c r="I35" s="1454">
        <v>4.6900000000000004</v>
      </c>
      <c r="J35" s="1454">
        <v>3.55</v>
      </c>
      <c r="K35" s="1454">
        <v>5.07</v>
      </c>
      <c r="L35" s="1469">
        <v>4.2300000000000004</v>
      </c>
      <c r="N35" s="1462">
        <f t="shared" si="11"/>
        <v>4.6900000000000004E-2</v>
      </c>
      <c r="O35" s="1463">
        <f t="shared" si="11"/>
        <v>3.5499999999999997E-2</v>
      </c>
      <c r="P35" s="1463">
        <f t="shared" si="11"/>
        <v>5.0700000000000002E-2</v>
      </c>
      <c r="Q35" s="1463">
        <f t="shared" si="11"/>
        <v>4.2300000000000004E-2</v>
      </c>
      <c r="R35" s="1464"/>
      <c r="S35" s="1462"/>
      <c r="T35" s="1463"/>
      <c r="U35" s="1463"/>
      <c r="V35" s="1463"/>
    </row>
    <row r="36" spans="1:26" ht="13.5" thickBot="1">
      <c r="A36" s="1450" t="s">
        <v>1179</v>
      </c>
      <c r="B36" s="1467">
        <f t="shared" si="21"/>
        <v>232.06990378821649</v>
      </c>
      <c r="C36" s="1467">
        <f t="shared" si="21"/>
        <v>192.74878854286936</v>
      </c>
      <c r="D36" s="1467">
        <f t="shared" si="9"/>
        <v>192.74878854286936</v>
      </c>
      <c r="E36" s="1467">
        <f t="shared" si="22"/>
        <v>319.71247284992984</v>
      </c>
      <c r="F36" s="1467">
        <f t="shared" si="22"/>
        <v>175.67053622862409</v>
      </c>
      <c r="G36" s="3321">
        <v>2010</v>
      </c>
      <c r="H36" s="1453">
        <v>1</v>
      </c>
      <c r="I36" s="1453">
        <v>5.4</v>
      </c>
      <c r="J36" s="1453">
        <v>3.2</v>
      </c>
      <c r="K36" s="1453">
        <v>6.16</v>
      </c>
      <c r="L36" s="1468">
        <v>4.51</v>
      </c>
      <c r="N36" s="1462">
        <f t="shared" si="11"/>
        <v>5.4000000000000006E-2</v>
      </c>
      <c r="O36" s="1463">
        <f t="shared" si="11"/>
        <v>3.2000000000000001E-2</v>
      </c>
      <c r="P36" s="1463">
        <f t="shared" si="11"/>
        <v>6.1600000000000002E-2</v>
      </c>
      <c r="Q36" s="1463">
        <f t="shared" si="11"/>
        <v>4.5100000000000001E-2</v>
      </c>
      <c r="R36" s="1464"/>
      <c r="S36" s="1470">
        <f>B36/B37-1</f>
        <v>5.4863199037347599E-2</v>
      </c>
      <c r="T36" s="1471">
        <f>C36/C37-1</f>
        <v>3.0742184721226584E-2</v>
      </c>
      <c r="U36" s="1471">
        <f>E36/E37-1</f>
        <v>6.2167683886810154E-2</v>
      </c>
      <c r="V36" s="1471">
        <f>F36/F37-1</f>
        <v>4.5657953741810031E-2</v>
      </c>
      <c r="X36" s="1449"/>
      <c r="Y36" s="1449"/>
      <c r="Z36" s="1449"/>
    </row>
    <row r="37" spans="1:26" ht="13.5" thickBot="1">
      <c r="A37" s="1450" t="s">
        <v>1180</v>
      </c>
      <c r="B37" s="1459">
        <v>220</v>
      </c>
      <c r="C37" s="1459">
        <v>187</v>
      </c>
      <c r="D37" s="1459">
        <f t="shared" si="9"/>
        <v>187</v>
      </c>
      <c r="E37" s="1459">
        <v>301</v>
      </c>
      <c r="F37" s="1460">
        <v>168</v>
      </c>
      <c r="G37" s="3319">
        <v>2009</v>
      </c>
      <c r="H37" s="1472">
        <v>4</v>
      </c>
      <c r="I37" s="1472">
        <v>2.2999999999999998</v>
      </c>
      <c r="J37" s="1472">
        <v>1.04</v>
      </c>
      <c r="K37" s="1472">
        <v>2.84</v>
      </c>
      <c r="L37" s="1473">
        <v>0.67</v>
      </c>
      <c r="N37" s="1474">
        <f t="shared" si="11"/>
        <v>2.3E-2</v>
      </c>
      <c r="O37" s="1475">
        <f t="shared" si="11"/>
        <v>1.04E-2</v>
      </c>
      <c r="P37" s="1475">
        <f t="shared" si="11"/>
        <v>2.8399999999999998E-2</v>
      </c>
      <c r="Q37" s="1475">
        <f t="shared" si="11"/>
        <v>6.7000000000000002E-3</v>
      </c>
      <c r="R37" s="1464"/>
      <c r="S37" s="1465"/>
      <c r="T37" s="1466"/>
      <c r="U37" s="1466"/>
      <c r="V37" s="1466"/>
      <c r="X37" s="1466"/>
      <c r="Y37" s="1466"/>
      <c r="Z37" s="1466"/>
    </row>
    <row r="38" spans="1:26">
      <c r="A38" s="1450" t="s">
        <v>1181</v>
      </c>
      <c r="B38" s="1467">
        <f t="shared" ref="B38:C40" si="23">B37/(1+N37)</f>
        <v>215.05376344086022</v>
      </c>
      <c r="C38" s="1467">
        <f t="shared" si="23"/>
        <v>185.0752177355503</v>
      </c>
      <c r="D38" s="1467">
        <f t="shared" si="9"/>
        <v>185.0752177355503</v>
      </c>
      <c r="E38" s="1467">
        <f t="shared" ref="E38:F40" si="24">E37/(1+P37)</f>
        <v>292.68767016725008</v>
      </c>
      <c r="F38" s="1467">
        <f t="shared" si="24"/>
        <v>166.88189132810174</v>
      </c>
      <c r="G38" s="3320">
        <v>2009</v>
      </c>
      <c r="H38" s="1477">
        <v>3</v>
      </c>
      <c r="I38" s="1477">
        <v>2.1</v>
      </c>
      <c r="J38" s="1477">
        <v>1.86</v>
      </c>
      <c r="K38" s="1477">
        <v>2.29</v>
      </c>
      <c r="L38" s="1478">
        <v>0.85</v>
      </c>
      <c r="N38" s="1462">
        <f t="shared" si="11"/>
        <v>2.1000000000000001E-2</v>
      </c>
      <c r="O38" s="1479">
        <f t="shared" si="11"/>
        <v>1.8600000000000002E-2</v>
      </c>
      <c r="P38" s="1479">
        <f t="shared" si="11"/>
        <v>2.29E-2</v>
      </c>
      <c r="Q38" s="1479">
        <f t="shared" si="11"/>
        <v>8.5000000000000006E-3</v>
      </c>
      <c r="R38" s="1464"/>
      <c r="S38" s="1462"/>
      <c r="T38" s="1463"/>
      <c r="U38" s="1463"/>
      <c r="V38" s="1463"/>
    </row>
    <row r="39" spans="1:26">
      <c r="A39" s="1450" t="s">
        <v>1182</v>
      </c>
      <c r="B39" s="1467">
        <f t="shared" si="23"/>
        <v>210.630522469011</v>
      </c>
      <c r="C39" s="1467">
        <f t="shared" si="23"/>
        <v>181.69567812247232</v>
      </c>
      <c r="D39" s="1467">
        <f t="shared" si="9"/>
        <v>181.69567812247232</v>
      </c>
      <c r="E39" s="1467">
        <f t="shared" si="24"/>
        <v>286.13517466736738</v>
      </c>
      <c r="F39" s="1467">
        <f t="shared" si="24"/>
        <v>165.47535084591149</v>
      </c>
      <c r="G39" s="3320">
        <v>2009</v>
      </c>
      <c r="H39" s="1454">
        <v>2</v>
      </c>
      <c r="I39" s="1454">
        <v>0.86</v>
      </c>
      <c r="J39" s="1454">
        <v>-1.1299999999999999</v>
      </c>
      <c r="K39" s="1454">
        <v>1.79</v>
      </c>
      <c r="L39" s="1469">
        <v>-2.0699999999999998</v>
      </c>
      <c r="N39" s="1462">
        <f t="shared" si="11"/>
        <v>8.6E-3</v>
      </c>
      <c r="O39" s="1479">
        <f t="shared" si="11"/>
        <v>-1.1299999999999999E-2</v>
      </c>
      <c r="P39" s="1479">
        <f t="shared" si="11"/>
        <v>1.7899999999999999E-2</v>
      </c>
      <c r="Q39" s="1479">
        <f t="shared" si="11"/>
        <v>-2.07E-2</v>
      </c>
      <c r="R39" s="1464"/>
      <c r="S39" s="1462"/>
      <c r="T39" s="1463"/>
      <c r="U39" s="1463"/>
      <c r="V39" s="1463"/>
    </row>
    <row r="40" spans="1:26">
      <c r="A40" s="1450" t="s">
        <v>1183</v>
      </c>
      <c r="B40" s="1467">
        <f t="shared" si="23"/>
        <v>208.83454537875372</v>
      </c>
      <c r="C40" s="1467">
        <f t="shared" si="23"/>
        <v>183.77230517090351</v>
      </c>
      <c r="D40" s="1467">
        <f t="shared" si="9"/>
        <v>183.77230517090351</v>
      </c>
      <c r="E40" s="1467">
        <f t="shared" si="24"/>
        <v>281.10342338870947</v>
      </c>
      <c r="F40" s="1467">
        <f t="shared" si="24"/>
        <v>168.97309388942256</v>
      </c>
      <c r="G40" s="3321">
        <v>2009</v>
      </c>
      <c r="H40" s="1453">
        <v>1</v>
      </c>
      <c r="I40" s="1453">
        <v>-2.64</v>
      </c>
      <c r="J40" s="1453">
        <v>-2.5299999999999998</v>
      </c>
      <c r="K40" s="1453">
        <v>-3.02</v>
      </c>
      <c r="L40" s="1468">
        <v>1.52</v>
      </c>
      <c r="N40" s="1470">
        <f t="shared" si="11"/>
        <v>-2.64E-2</v>
      </c>
      <c r="O40" s="1471">
        <f t="shared" si="11"/>
        <v>-2.53E-2</v>
      </c>
      <c r="P40" s="1471">
        <f t="shared" si="11"/>
        <v>-3.0200000000000001E-2</v>
      </c>
      <c r="Q40" s="1471">
        <f t="shared" si="11"/>
        <v>1.52E-2</v>
      </c>
      <c r="R40" s="1464"/>
      <c r="S40" s="1470">
        <f>B40/B41-1</f>
        <v>-2.4137638417038754E-2</v>
      </c>
      <c r="T40" s="1471">
        <f>C40/C41-1</f>
        <v>-2.248773845264096E-2</v>
      </c>
      <c r="U40" s="1471">
        <f>E40/E41-1</f>
        <v>-2.7323794502735366E-2</v>
      </c>
      <c r="V40" s="1471">
        <f>F40/F41-1</f>
        <v>1.7910204153148035E-2</v>
      </c>
      <c r="X40" s="1449"/>
      <c r="Y40" s="1449"/>
      <c r="Z40" s="1449"/>
    </row>
    <row r="41" spans="1:26" ht="13.5" thickBot="1">
      <c r="A41" s="1450" t="s">
        <v>1184</v>
      </c>
      <c r="B41" s="1501">
        <v>214</v>
      </c>
      <c r="C41" s="1501">
        <v>188</v>
      </c>
      <c r="D41" s="1501">
        <f t="shared" si="9"/>
        <v>188</v>
      </c>
      <c r="E41" s="1501">
        <v>289</v>
      </c>
      <c r="F41" s="1502">
        <v>166</v>
      </c>
      <c r="G41" s="3319">
        <v>2008</v>
      </c>
      <c r="H41" s="1472">
        <v>4</v>
      </c>
      <c r="I41" s="1472">
        <v>1.73</v>
      </c>
      <c r="J41" s="1472">
        <v>0.03</v>
      </c>
      <c r="K41" s="1472">
        <v>2.59</v>
      </c>
      <c r="L41" s="1473">
        <v>-1.66</v>
      </c>
      <c r="N41" s="1462">
        <f t="shared" si="11"/>
        <v>1.7299999999999999E-2</v>
      </c>
      <c r="O41" s="1463">
        <f t="shared" si="11"/>
        <v>2.9999999999999997E-4</v>
      </c>
      <c r="P41" s="1463">
        <f t="shared" si="11"/>
        <v>2.5899999999999999E-2</v>
      </c>
      <c r="Q41" s="1463">
        <f t="shared" si="11"/>
        <v>-1.66E-2</v>
      </c>
      <c r="R41" s="1464"/>
      <c r="S41" s="1465"/>
      <c r="T41" s="1466"/>
      <c r="U41" s="1466"/>
      <c r="V41" s="1466"/>
      <c r="X41" s="1466"/>
      <c r="Y41" s="1466"/>
      <c r="Z41" s="1466"/>
    </row>
    <row r="42" spans="1:26">
      <c r="A42" s="1450" t="s">
        <v>1185</v>
      </c>
      <c r="B42" s="1467">
        <f t="shared" ref="B42:C44" si="25">B41/(1+N41)</f>
        <v>210.36075887152265</v>
      </c>
      <c r="C42" s="1467">
        <f t="shared" si="25"/>
        <v>187.94361691492554</v>
      </c>
      <c r="D42" s="1467">
        <f t="shared" si="9"/>
        <v>187.94361691492554</v>
      </c>
      <c r="E42" s="1467">
        <f t="shared" ref="E42:F44" si="26">E41/(1+P41)</f>
        <v>281.70386977288234</v>
      </c>
      <c r="F42" s="1467">
        <f t="shared" si="26"/>
        <v>168.80211511083994</v>
      </c>
      <c r="G42" s="3320">
        <v>2008</v>
      </c>
      <c r="H42" s="1477">
        <v>3</v>
      </c>
      <c r="I42" s="1477">
        <v>1.96</v>
      </c>
      <c r="J42" s="1477">
        <v>2.36</v>
      </c>
      <c r="K42" s="1477">
        <v>1.82</v>
      </c>
      <c r="L42" s="1478">
        <v>2.2200000000000002</v>
      </c>
      <c r="N42" s="1462">
        <f t="shared" si="11"/>
        <v>1.9599999999999999E-2</v>
      </c>
      <c r="O42" s="1463">
        <f t="shared" si="11"/>
        <v>2.3599999999999999E-2</v>
      </c>
      <c r="P42" s="1463">
        <f t="shared" si="11"/>
        <v>1.8200000000000001E-2</v>
      </c>
      <c r="Q42" s="1463">
        <f t="shared" si="11"/>
        <v>2.2200000000000001E-2</v>
      </c>
      <c r="R42" s="1464"/>
      <c r="S42" s="1462"/>
      <c r="T42" s="1463"/>
      <c r="U42" s="1463"/>
      <c r="V42" s="1463"/>
    </row>
    <row r="43" spans="1:26">
      <c r="A43" s="1450" t="s">
        <v>1186</v>
      </c>
      <c r="B43" s="1467">
        <f t="shared" si="25"/>
        <v>206.31694671589116</v>
      </c>
      <c r="C43" s="1467">
        <f t="shared" si="25"/>
        <v>183.61041121036101</v>
      </c>
      <c r="D43" s="1467">
        <f t="shared" si="9"/>
        <v>183.61041121036101</v>
      </c>
      <c r="E43" s="1467">
        <f t="shared" si="26"/>
        <v>276.66850301795557</v>
      </c>
      <c r="F43" s="1467">
        <f t="shared" si="26"/>
        <v>165.1360938278614</v>
      </c>
      <c r="G43" s="3320">
        <v>2008</v>
      </c>
      <c r="H43" s="1454">
        <v>2</v>
      </c>
      <c r="I43" s="1454">
        <v>4.93</v>
      </c>
      <c r="J43" s="1454">
        <v>7.38</v>
      </c>
      <c r="K43" s="1454">
        <v>3.98</v>
      </c>
      <c r="L43" s="1469">
        <v>6.86</v>
      </c>
      <c r="N43" s="1462">
        <f t="shared" si="11"/>
        <v>4.9299999999999997E-2</v>
      </c>
      <c r="O43" s="1463">
        <f t="shared" si="11"/>
        <v>7.3800000000000004E-2</v>
      </c>
      <c r="P43" s="1463">
        <f t="shared" si="11"/>
        <v>3.9800000000000002E-2</v>
      </c>
      <c r="Q43" s="1463">
        <f t="shared" si="11"/>
        <v>6.8600000000000008E-2</v>
      </c>
      <c r="R43" s="1464"/>
      <c r="S43" s="1462"/>
      <c r="T43" s="1463"/>
      <c r="U43" s="1463"/>
      <c r="V43" s="1463"/>
    </row>
    <row r="44" spans="1:26" s="1507" customFormat="1" ht="13.5" thickBot="1">
      <c r="A44" s="1450" t="s">
        <v>1187</v>
      </c>
      <c r="B44" s="1504">
        <f t="shared" si="25"/>
        <v>196.62341248059772</v>
      </c>
      <c r="C44" s="1504">
        <f t="shared" si="25"/>
        <v>170.99125648199012</v>
      </c>
      <c r="D44" s="1504">
        <f t="shared" si="9"/>
        <v>170.99125648199012</v>
      </c>
      <c r="E44" s="1504">
        <f t="shared" si="26"/>
        <v>266.07857570490052</v>
      </c>
      <c r="F44" s="1504">
        <f t="shared" si="26"/>
        <v>154.53499328828505</v>
      </c>
      <c r="G44" s="3321">
        <v>2008</v>
      </c>
      <c r="H44" s="1505">
        <v>1</v>
      </c>
      <c r="I44" s="1505">
        <v>4.1399999999999997</v>
      </c>
      <c r="J44" s="1505">
        <v>3.45</v>
      </c>
      <c r="K44" s="1505">
        <v>4.95</v>
      </c>
      <c r="L44" s="1506">
        <v>4.82</v>
      </c>
      <c r="N44" s="1508">
        <f t="shared" si="11"/>
        <v>4.1399999999999999E-2</v>
      </c>
      <c r="O44" s="1509">
        <f t="shared" si="11"/>
        <v>3.4500000000000003E-2</v>
      </c>
      <c r="P44" s="1509">
        <f t="shared" si="11"/>
        <v>4.9500000000000002E-2</v>
      </c>
      <c r="Q44" s="1509">
        <f t="shared" si="11"/>
        <v>4.82E-2</v>
      </c>
      <c r="R44" s="1510"/>
      <c r="S44" s="1508">
        <f>B44/B45-1</f>
        <v>4.5869215322328349E-2</v>
      </c>
      <c r="T44" s="1509">
        <f>C44/C45-1</f>
        <v>3.6310645345394743E-2</v>
      </c>
      <c r="U44" s="1509">
        <f>E44/E45-1</f>
        <v>4.7553447657088688E-2</v>
      </c>
      <c r="V44" s="1509">
        <f>F44/F45-1</f>
        <v>4.4155360055980086E-2</v>
      </c>
      <c r="X44" s="1511"/>
      <c r="Y44" s="1511"/>
      <c r="Z44" s="1511"/>
    </row>
    <row r="45" spans="1:26" ht="13.5" thickBot="1">
      <c r="A45" s="1450" t="s">
        <v>1188</v>
      </c>
      <c r="B45" s="1459">
        <v>188</v>
      </c>
      <c r="C45" s="1459">
        <v>165</v>
      </c>
      <c r="D45" s="1459">
        <f t="shared" si="9"/>
        <v>165</v>
      </c>
      <c r="E45" s="1459">
        <v>254</v>
      </c>
      <c r="F45" s="1460">
        <v>148</v>
      </c>
      <c r="G45" s="3319">
        <v>2007</v>
      </c>
      <c r="H45" s="1512">
        <v>4</v>
      </c>
      <c r="I45" s="1512">
        <v>5.51</v>
      </c>
      <c r="J45" s="1512">
        <v>4.8899999999999997</v>
      </c>
      <c r="K45" s="1512">
        <v>6.43</v>
      </c>
      <c r="L45" s="1513">
        <v>5.36</v>
      </c>
      <c r="N45" s="1514">
        <f t="shared" ref="N45:O48" si="27">B45/B46-1</f>
        <v>4.1339718365245526E-2</v>
      </c>
      <c r="O45" s="1515">
        <f t="shared" si="27"/>
        <v>4.0324492593776018E-2</v>
      </c>
      <c r="P45" s="1515">
        <f t="shared" ref="P45:Q48" si="28">E45/E46-1</f>
        <v>6.1625555347990968E-2</v>
      </c>
      <c r="Q45" s="1515">
        <f t="shared" si="28"/>
        <v>4.6757569250590603E-2</v>
      </c>
      <c r="R45" s="1464"/>
      <c r="S45" s="1465"/>
      <c r="T45" s="1466"/>
      <c r="U45" s="1466"/>
      <c r="V45" s="1466"/>
      <c r="X45" s="1466"/>
      <c r="Y45" s="1466"/>
      <c r="Z45" s="1466"/>
    </row>
    <row r="46" spans="1:26">
      <c r="A46" s="1450" t="s">
        <v>1189</v>
      </c>
      <c r="B46" s="1467">
        <f t="shared" ref="B46:C48" si="29">B47+(B$45-B$49)*I46/SUM(I$45:I$48)</f>
        <v>180.5366651097618</v>
      </c>
      <c r="C46" s="1467">
        <f t="shared" si="29"/>
        <v>158.60435967302453</v>
      </c>
      <c r="D46" s="1467">
        <f t="shared" si="9"/>
        <v>158.60435967302453</v>
      </c>
      <c r="E46" s="1467">
        <f t="shared" ref="E46:F48" si="30">E47+(E$45-E$49)*K46/SUM(K$45:K$48)</f>
        <v>239.25573260785075</v>
      </c>
      <c r="F46" s="1467">
        <f t="shared" si="30"/>
        <v>141.38899430740037</v>
      </c>
      <c r="G46" s="3320">
        <v>2007</v>
      </c>
      <c r="H46" s="1477">
        <v>3</v>
      </c>
      <c r="I46" s="1477">
        <v>8.65</v>
      </c>
      <c r="J46" s="1477">
        <v>8.06</v>
      </c>
      <c r="K46" s="1477">
        <v>9.94</v>
      </c>
      <c r="L46" s="1478">
        <v>5.8</v>
      </c>
      <c r="N46" s="1514">
        <f t="shared" si="27"/>
        <v>6.940217571740015E-2</v>
      </c>
      <c r="O46" s="1515">
        <f t="shared" si="27"/>
        <v>7.1197482471153428E-2</v>
      </c>
      <c r="P46" s="1515">
        <f t="shared" si="28"/>
        <v>0.10529679922579582</v>
      </c>
      <c r="Q46" s="1515">
        <f t="shared" si="28"/>
        <v>5.3292245059512133E-2</v>
      </c>
      <c r="R46" s="1464"/>
      <c r="S46" s="1462"/>
      <c r="T46" s="1463"/>
      <c r="U46" s="1463"/>
      <c r="V46" s="1463"/>
      <c r="X46" s="1516"/>
      <c r="Y46" s="1516"/>
      <c r="Z46" s="1516"/>
    </row>
    <row r="47" spans="1:26">
      <c r="A47" s="1450" t="s">
        <v>1190</v>
      </c>
      <c r="B47" s="1467">
        <f t="shared" si="29"/>
        <v>168.82017748715555</v>
      </c>
      <c r="C47" s="1467">
        <f t="shared" si="29"/>
        <v>148.06267029972753</v>
      </c>
      <c r="D47" s="1467">
        <f t="shared" si="9"/>
        <v>148.06267029972753</v>
      </c>
      <c r="E47" s="1467">
        <f t="shared" si="30"/>
        <v>216.46288379323747</v>
      </c>
      <c r="F47" s="1467">
        <f t="shared" si="30"/>
        <v>134.23529411764704</v>
      </c>
      <c r="G47" s="3320">
        <v>2007</v>
      </c>
      <c r="H47" s="1454">
        <v>2</v>
      </c>
      <c r="I47" s="1454">
        <v>3.67</v>
      </c>
      <c r="J47" s="1454">
        <v>2.3199999999999998</v>
      </c>
      <c r="K47" s="1454">
        <v>5.0199999999999996</v>
      </c>
      <c r="L47" s="1469">
        <v>6.71</v>
      </c>
      <c r="N47" s="1514">
        <f t="shared" si="27"/>
        <v>3.0339138143848032E-2</v>
      </c>
      <c r="O47" s="1515">
        <f t="shared" si="27"/>
        <v>2.0922341588790472E-2</v>
      </c>
      <c r="P47" s="1515">
        <f t="shared" si="28"/>
        <v>5.6164796592717003E-2</v>
      </c>
      <c r="Q47" s="1515">
        <f t="shared" si="28"/>
        <v>6.5704536723887319E-2</v>
      </c>
      <c r="R47" s="1464"/>
      <c r="S47" s="1462"/>
      <c r="T47" s="1463"/>
      <c r="U47" s="1463"/>
      <c r="V47" s="1463"/>
      <c r="X47" s="1516"/>
      <c r="Y47" s="1516"/>
      <c r="Z47" s="1516"/>
    </row>
    <row r="48" spans="1:26">
      <c r="A48" s="1450" t="s">
        <v>1191</v>
      </c>
      <c r="B48" s="1467">
        <f t="shared" si="29"/>
        <v>163.84913591779542</v>
      </c>
      <c r="C48" s="1467">
        <f t="shared" si="29"/>
        <v>145.0283378746594</v>
      </c>
      <c r="D48" s="1467">
        <f t="shared" si="9"/>
        <v>145.0283378746594</v>
      </c>
      <c r="E48" s="1467">
        <f t="shared" si="30"/>
        <v>204.95180722891567</v>
      </c>
      <c r="F48" s="1467">
        <f t="shared" si="30"/>
        <v>125.95920303605313</v>
      </c>
      <c r="G48" s="3321">
        <v>2007</v>
      </c>
      <c r="H48" s="1453">
        <v>1</v>
      </c>
      <c r="I48" s="1453">
        <v>3.58</v>
      </c>
      <c r="J48" s="1453">
        <v>3.08</v>
      </c>
      <c r="K48" s="1453">
        <v>4.34</v>
      </c>
      <c r="L48" s="1468">
        <v>3.21</v>
      </c>
      <c r="N48" s="1517">
        <f t="shared" si="27"/>
        <v>3.0497710174814063E-2</v>
      </c>
      <c r="O48" s="1518">
        <f t="shared" si="27"/>
        <v>2.8569772160704998E-2</v>
      </c>
      <c r="P48" s="1518">
        <f t="shared" si="28"/>
        <v>5.1034908866234296E-2</v>
      </c>
      <c r="Q48" s="1518">
        <f t="shared" si="28"/>
        <v>3.245248390207478E-2</v>
      </c>
      <c r="R48" s="1464"/>
      <c r="S48" s="1470">
        <f>B48/B49-1</f>
        <v>3.0497710174814063E-2</v>
      </c>
      <c r="T48" s="1471">
        <f>C48/C49-1</f>
        <v>2.8569772160704998E-2</v>
      </c>
      <c r="U48" s="1471">
        <f>E48/E49-1</f>
        <v>5.1034908866234296E-2</v>
      </c>
      <c r="V48" s="1471">
        <f>F48/F49-1</f>
        <v>3.245248390207478E-2</v>
      </c>
      <c r="X48" s="1516"/>
      <c r="Y48" s="1516"/>
      <c r="Z48" s="1516"/>
    </row>
    <row r="49" spans="1:26" ht="13.5" thickBot="1">
      <c r="A49" s="1450" t="s">
        <v>1192</v>
      </c>
      <c r="B49" s="1480">
        <v>159</v>
      </c>
      <c r="C49" s="1480">
        <v>141</v>
      </c>
      <c r="D49" s="1480">
        <f t="shared" si="9"/>
        <v>141</v>
      </c>
      <c r="E49" s="1480">
        <v>195</v>
      </c>
      <c r="F49" s="1481">
        <v>122</v>
      </c>
      <c r="G49" s="3319">
        <v>2006</v>
      </c>
      <c r="H49" s="1472">
        <v>4</v>
      </c>
      <c r="I49" s="1472">
        <v>3.79</v>
      </c>
      <c r="J49" s="1472">
        <v>2.21</v>
      </c>
      <c r="K49" s="1472">
        <v>5.65</v>
      </c>
      <c r="L49" s="1473">
        <v>5.41</v>
      </c>
      <c r="N49" s="1514">
        <f t="shared" ref="N49:O52" si="31">I49/SUM(I$49:I$52)*(B$49/B$53-1)</f>
        <v>7.245466462748526E-2</v>
      </c>
      <c r="O49" s="1515">
        <f t="shared" si="31"/>
        <v>2.3237230038062766E-2</v>
      </c>
      <c r="P49" s="1515">
        <f t="shared" ref="P49:Q52" si="32">K49/SUM(K$49:K$52)*(E$49/E$53-1)</f>
        <v>0.16146893866323722</v>
      </c>
      <c r="Q49" s="1515">
        <f t="shared" si="32"/>
        <v>5.0755230321793784E-2</v>
      </c>
      <c r="R49" s="1464"/>
      <c r="S49" s="1465"/>
      <c r="T49" s="1466"/>
      <c r="U49" s="1466"/>
      <c r="V49" s="1466"/>
      <c r="X49" s="1516"/>
      <c r="Y49" s="1516"/>
      <c r="Z49" s="1516"/>
    </row>
    <row r="50" spans="1:26">
      <c r="A50" s="1450" t="s">
        <v>1193</v>
      </c>
      <c r="B50" s="1467">
        <f t="shared" ref="B50:C52" si="33">B51+(B$49-B$53)*I50/SUM(I$49:I$52)</f>
        <v>149.00125628140702</v>
      </c>
      <c r="C50" s="1467">
        <f t="shared" si="33"/>
        <v>137.95592286501378</v>
      </c>
      <c r="D50" s="1467">
        <f t="shared" si="9"/>
        <v>137.95592286501378</v>
      </c>
      <c r="E50" s="1467">
        <f t="shared" ref="E50:F52" si="34">E51+(E$49-E$53)*K50/SUM(K$49:K$52)</f>
        <v>169.97231450719823</v>
      </c>
      <c r="F50" s="1467">
        <f t="shared" si="34"/>
        <v>116.21390374331551</v>
      </c>
      <c r="G50" s="3320">
        <v>2006</v>
      </c>
      <c r="H50" s="1477">
        <v>3</v>
      </c>
      <c r="I50" s="1477">
        <v>0.92</v>
      </c>
      <c r="J50" s="1477">
        <v>1.08</v>
      </c>
      <c r="K50" s="1477">
        <v>0.73</v>
      </c>
      <c r="L50" s="1478">
        <v>1.08</v>
      </c>
      <c r="N50" s="1514">
        <f t="shared" si="31"/>
        <v>1.7587939698492462E-2</v>
      </c>
      <c r="O50" s="1515">
        <f t="shared" si="31"/>
        <v>1.1355750425840628E-2</v>
      </c>
      <c r="P50" s="1515">
        <f t="shared" si="32"/>
        <v>2.0862358446754544E-2</v>
      </c>
      <c r="Q50" s="1515">
        <f t="shared" si="32"/>
        <v>1.0132282578103011E-2</v>
      </c>
      <c r="R50" s="1464"/>
      <c r="S50" s="1462"/>
      <c r="T50" s="1463"/>
      <c r="U50" s="1463"/>
      <c r="V50" s="1463"/>
      <c r="X50" s="1516"/>
      <c r="Y50" s="1516"/>
      <c r="Z50" s="1516"/>
    </row>
    <row r="51" spans="1:26">
      <c r="A51" s="1450" t="s">
        <v>1194</v>
      </c>
      <c r="B51" s="1467">
        <f t="shared" si="33"/>
        <v>146.57412060301507</v>
      </c>
      <c r="C51" s="1467">
        <f t="shared" si="33"/>
        <v>136.46831955922866</v>
      </c>
      <c r="D51" s="1467">
        <f t="shared" si="9"/>
        <v>136.46831955922866</v>
      </c>
      <c r="E51" s="1467">
        <f t="shared" si="34"/>
        <v>166.73864894795128</v>
      </c>
      <c r="F51" s="1467">
        <f t="shared" si="34"/>
        <v>115.05882352941177</v>
      </c>
      <c r="G51" s="3320">
        <v>2006</v>
      </c>
      <c r="H51" s="1454">
        <v>2</v>
      </c>
      <c r="I51" s="1454">
        <v>0.96</v>
      </c>
      <c r="J51" s="1454">
        <v>0.25</v>
      </c>
      <c r="K51" s="1454">
        <v>1.9</v>
      </c>
      <c r="L51" s="1469">
        <v>0.95</v>
      </c>
      <c r="N51" s="1514">
        <f t="shared" si="31"/>
        <v>1.8352632728861701E-2</v>
      </c>
      <c r="O51" s="1515">
        <f t="shared" si="31"/>
        <v>2.6286459319075526E-3</v>
      </c>
      <c r="P51" s="1515">
        <f t="shared" si="32"/>
        <v>5.4299289107991269E-2</v>
      </c>
      <c r="Q51" s="1515">
        <f t="shared" si="32"/>
        <v>8.9126559714794995E-3</v>
      </c>
      <c r="R51" s="1464"/>
      <c r="S51" s="1462"/>
      <c r="T51" s="1463"/>
      <c r="U51" s="1463"/>
      <c r="V51" s="1463"/>
      <c r="X51" s="1516"/>
      <c r="Y51" s="1516"/>
      <c r="Z51" s="1516"/>
    </row>
    <row r="52" spans="1:26">
      <c r="A52" s="1450" t="s">
        <v>1195</v>
      </c>
      <c r="B52" s="1467">
        <f t="shared" si="33"/>
        <v>144.04145728643215</v>
      </c>
      <c r="C52" s="1467">
        <f t="shared" si="33"/>
        <v>136.12396694214877</v>
      </c>
      <c r="D52" s="1467">
        <f t="shared" si="9"/>
        <v>136.12396694214877</v>
      </c>
      <c r="E52" s="1467">
        <f t="shared" si="34"/>
        <v>158.32225913621264</v>
      </c>
      <c r="F52" s="1467">
        <f t="shared" si="34"/>
        <v>114.04278074866311</v>
      </c>
      <c r="G52" s="3321">
        <v>2006</v>
      </c>
      <c r="H52" s="1453">
        <v>1</v>
      </c>
      <c r="I52" s="1453">
        <v>2.29</v>
      </c>
      <c r="J52" s="1453">
        <v>3.72</v>
      </c>
      <c r="K52" s="1453">
        <v>0.75</v>
      </c>
      <c r="L52" s="1468">
        <v>0.04</v>
      </c>
      <c r="N52" s="1517">
        <f t="shared" si="31"/>
        <v>4.3778675988638847E-2</v>
      </c>
      <c r="O52" s="1518">
        <f t="shared" si="31"/>
        <v>3.9114251466784385E-2</v>
      </c>
      <c r="P52" s="1518">
        <f t="shared" si="32"/>
        <v>2.1433929911049188E-2</v>
      </c>
      <c r="Q52" s="1518">
        <f t="shared" si="32"/>
        <v>3.7526972511492629E-4</v>
      </c>
      <c r="R52" s="1464"/>
      <c r="S52" s="1470">
        <f>B52/B53-1</f>
        <v>4.3778675988638716E-2</v>
      </c>
      <c r="T52" s="1471">
        <f>C52/C53-1</f>
        <v>3.91142514667846E-2</v>
      </c>
      <c r="U52" s="1471">
        <f>E52/E53-1</f>
        <v>2.143392991104931E-2</v>
      </c>
      <c r="V52" s="1471">
        <f>F52/F53-1</f>
        <v>3.7526972511492396E-4</v>
      </c>
      <c r="X52" s="1516"/>
      <c r="Y52" s="1516"/>
      <c r="Z52" s="1516"/>
    </row>
    <row r="53" spans="1:26" ht="13.5" thickBot="1">
      <c r="A53" s="1450" t="s">
        <v>1196</v>
      </c>
      <c r="B53" s="1480">
        <v>138</v>
      </c>
      <c r="C53" s="1480">
        <v>131</v>
      </c>
      <c r="D53" s="1480">
        <f t="shared" si="9"/>
        <v>131</v>
      </c>
      <c r="E53" s="1480">
        <v>155</v>
      </c>
      <c r="F53" s="1481">
        <v>114</v>
      </c>
      <c r="G53" s="3319">
        <v>2005</v>
      </c>
      <c r="H53" s="1472">
        <v>4</v>
      </c>
      <c r="I53" s="1472">
        <v>3.29</v>
      </c>
      <c r="J53" s="1472">
        <v>1.44</v>
      </c>
      <c r="K53" s="1472">
        <v>0.66</v>
      </c>
      <c r="L53" s="1473">
        <v>7.78</v>
      </c>
      <c r="N53" s="1514">
        <f t="shared" ref="N53:O56" si="35">I53/SUM(I$53:I$56)*(B$53/B$57-1)</f>
        <v>9.9404603216919935E-2</v>
      </c>
      <c r="O53" s="1515">
        <f t="shared" si="35"/>
        <v>4.7636550760861554E-2</v>
      </c>
      <c r="P53" s="1515">
        <f t="shared" ref="P53:Q56" si="36">K53/SUM(K$53:K$56)*(E$53/E$57-1)</f>
        <v>8.3756345177664976E-2</v>
      </c>
      <c r="Q53" s="1515">
        <f t="shared" si="36"/>
        <v>5.2148766661559584E-2</v>
      </c>
      <c r="R53" s="1464"/>
      <c r="S53" s="1465"/>
      <c r="T53" s="1466"/>
      <c r="U53" s="1466"/>
      <c r="V53" s="1466"/>
      <c r="X53" s="1516"/>
      <c r="Y53" s="1516"/>
      <c r="Z53" s="1516"/>
    </row>
    <row r="54" spans="1:26">
      <c r="A54" s="1450" t="s">
        <v>1197</v>
      </c>
      <c r="B54" s="1467">
        <f t="shared" ref="B54:C56" si="37">B55+(B$53-B$57)*I54/SUM(I$53:I$56)</f>
        <v>125.9720430107527</v>
      </c>
      <c r="C54" s="1467">
        <f t="shared" si="37"/>
        <v>125.1883408071749</v>
      </c>
      <c r="D54" s="1467">
        <f t="shared" si="9"/>
        <v>125.1883408071749</v>
      </c>
      <c r="E54" s="1467">
        <f t="shared" ref="E54:F56" si="38">E55+(E$53-E$57)*K54/SUM(K$53:K$56)</f>
        <v>144.61421319796952</v>
      </c>
      <c r="F54" s="1467">
        <f t="shared" si="38"/>
        <v>108.42008196721311</v>
      </c>
      <c r="G54" s="3320">
        <v>2005</v>
      </c>
      <c r="H54" s="1477">
        <v>3</v>
      </c>
      <c r="I54" s="1477">
        <v>0.46</v>
      </c>
      <c r="J54" s="1477">
        <v>0.32</v>
      </c>
      <c r="K54" s="1477">
        <v>0.42</v>
      </c>
      <c r="L54" s="1478">
        <v>0.64</v>
      </c>
      <c r="N54" s="1514">
        <f t="shared" si="35"/>
        <v>1.3898515951301874E-2</v>
      </c>
      <c r="O54" s="1515">
        <f t="shared" si="35"/>
        <v>1.0585900169080346E-2</v>
      </c>
      <c r="P54" s="1515">
        <f t="shared" si="36"/>
        <v>5.3299492385786795E-2</v>
      </c>
      <c r="Q54" s="1515">
        <f t="shared" si="36"/>
        <v>4.2898728359123568E-3</v>
      </c>
      <c r="R54" s="1464"/>
      <c r="S54" s="1462"/>
      <c r="T54" s="1463"/>
      <c r="U54" s="1463"/>
      <c r="V54" s="1463"/>
      <c r="X54" s="1516"/>
      <c r="Y54" s="1516"/>
      <c r="Z54" s="1516"/>
    </row>
    <row r="55" spans="1:26">
      <c r="A55" s="1450" t="s">
        <v>1198</v>
      </c>
      <c r="B55" s="1467">
        <f t="shared" si="37"/>
        <v>124.29032258064517</v>
      </c>
      <c r="C55" s="1467">
        <f t="shared" si="37"/>
        <v>123.8968609865471</v>
      </c>
      <c r="D55" s="1467">
        <f t="shared" si="9"/>
        <v>123.8968609865471</v>
      </c>
      <c r="E55" s="1467">
        <f t="shared" si="38"/>
        <v>138.00507614213197</v>
      </c>
      <c r="F55" s="1467">
        <f t="shared" si="38"/>
        <v>107.96106557377048</v>
      </c>
      <c r="G55" s="3320">
        <v>2005</v>
      </c>
      <c r="H55" s="1454">
        <v>2</v>
      </c>
      <c r="I55" s="1454">
        <v>0.47</v>
      </c>
      <c r="J55" s="1454">
        <v>0.1</v>
      </c>
      <c r="K55" s="1454">
        <v>0.52</v>
      </c>
      <c r="L55" s="1469">
        <v>0.79</v>
      </c>
      <c r="N55" s="1514">
        <f t="shared" si="35"/>
        <v>1.420065760241713E-2</v>
      </c>
      <c r="O55" s="1515">
        <f t="shared" si="35"/>
        <v>3.3080938028376083E-3</v>
      </c>
      <c r="P55" s="1515">
        <f t="shared" si="36"/>
        <v>6.598984771573603E-2</v>
      </c>
      <c r="Q55" s="1515">
        <f t="shared" si="36"/>
        <v>5.2953117818293153E-3</v>
      </c>
      <c r="R55" s="1464"/>
      <c r="S55" s="1462"/>
      <c r="T55" s="1463"/>
      <c r="U55" s="1463"/>
      <c r="V55" s="1463"/>
      <c r="X55" s="1516"/>
      <c r="Y55" s="1516"/>
      <c r="Z55" s="1516"/>
    </row>
    <row r="56" spans="1:26">
      <c r="A56" s="1450" t="s">
        <v>1199</v>
      </c>
      <c r="B56" s="1467">
        <f t="shared" si="37"/>
        <v>122.57204301075269</v>
      </c>
      <c r="C56" s="1467">
        <f t="shared" si="37"/>
        <v>123.4932735426009</v>
      </c>
      <c r="D56" s="1467">
        <f t="shared" si="9"/>
        <v>123.4932735426009</v>
      </c>
      <c r="E56" s="1467">
        <f t="shared" si="38"/>
        <v>129.82233502538071</v>
      </c>
      <c r="F56" s="1467">
        <f t="shared" si="38"/>
        <v>107.39446721311475</v>
      </c>
      <c r="G56" s="3321">
        <v>2005</v>
      </c>
      <c r="H56" s="1453">
        <v>1</v>
      </c>
      <c r="I56" s="1453">
        <v>0.43</v>
      </c>
      <c r="J56" s="1453">
        <v>0.37</v>
      </c>
      <c r="K56" s="1453">
        <v>0.37</v>
      </c>
      <c r="L56" s="1468">
        <v>0.55000000000000004</v>
      </c>
      <c r="N56" s="1517">
        <f t="shared" si="35"/>
        <v>1.2992090997956099E-2</v>
      </c>
      <c r="O56" s="1518">
        <f t="shared" si="35"/>
        <v>1.2239947070499151E-2</v>
      </c>
      <c r="P56" s="1518">
        <f t="shared" si="36"/>
        <v>4.6954314720812178E-2</v>
      </c>
      <c r="Q56" s="1518">
        <f t="shared" si="36"/>
        <v>3.6866094683621815E-3</v>
      </c>
      <c r="R56" s="1464"/>
      <c r="S56" s="1470">
        <f>B56/B57-1</f>
        <v>1.2992090997956174E-2</v>
      </c>
      <c r="T56" s="1471">
        <f>C56/C57-1</f>
        <v>1.2239947070499246E-2</v>
      </c>
      <c r="U56" s="1471">
        <f>E56/E57-1</f>
        <v>4.695431472081224E-2</v>
      </c>
      <c r="V56" s="1471">
        <f>F56/F57-1</f>
        <v>3.6866094683620787E-3</v>
      </c>
      <c r="X56" s="1516"/>
      <c r="Y56" s="1516"/>
      <c r="Z56" s="1516"/>
    </row>
    <row r="57" spans="1:26" ht="13.5" thickBot="1">
      <c r="A57" s="1450" t="s">
        <v>1200</v>
      </c>
      <c r="B57" s="1501">
        <v>121</v>
      </c>
      <c r="C57" s="1501">
        <v>122</v>
      </c>
      <c r="D57" s="1501">
        <f t="shared" si="9"/>
        <v>122</v>
      </c>
      <c r="E57" s="1501">
        <v>124</v>
      </c>
      <c r="F57" s="1502">
        <v>107</v>
      </c>
      <c r="G57" s="3319">
        <v>2004</v>
      </c>
      <c r="H57" s="1472">
        <v>4</v>
      </c>
      <c r="I57" s="1472">
        <v>0.33</v>
      </c>
      <c r="J57" s="1472">
        <v>0.5</v>
      </c>
      <c r="K57" s="1472">
        <v>0.5</v>
      </c>
      <c r="L57" s="1473">
        <v>0</v>
      </c>
      <c r="N57" s="1514">
        <f t="shared" ref="N57:O60" si="39">I57/SUM(I$57:I$60)*(B$57/B$61-1)</f>
        <v>1.3391770148526898E-2</v>
      </c>
      <c r="O57" s="1515">
        <f t="shared" si="39"/>
        <v>1.063264221158958E-2</v>
      </c>
      <c r="P57" s="1515">
        <f t="shared" ref="P57:Q60" si="40">K57/SUM(K$57:K$60)*(E$57/E$61-1)</f>
        <v>2.2244466688911134E-2</v>
      </c>
      <c r="Q57" s="1515">
        <f t="shared" si="40"/>
        <v>0</v>
      </c>
      <c r="R57" s="1464"/>
      <c r="S57" s="1465"/>
      <c r="T57" s="1466"/>
      <c r="U57" s="1466"/>
      <c r="V57" s="1466"/>
      <c r="X57" s="1516"/>
      <c r="Y57" s="1516"/>
      <c r="Z57" s="1516"/>
    </row>
    <row r="58" spans="1:26">
      <c r="A58" s="1450" t="s">
        <v>1201</v>
      </c>
      <c r="B58" s="1467">
        <f t="shared" ref="B58:C60" si="41">B59+(B$57-B$61)*I58/SUM(I$57:I$60)</f>
        <v>119.51351351351352</v>
      </c>
      <c r="C58" s="1467">
        <f t="shared" si="41"/>
        <v>120.7878787878788</v>
      </c>
      <c r="D58" s="1467">
        <f t="shared" si="9"/>
        <v>120.7878787878788</v>
      </c>
      <c r="E58" s="1467">
        <f t="shared" ref="E58:F60" si="42">E59+(E$57-E$61)*K58/SUM(K$57:K$60)</f>
        <v>121.5975975975976</v>
      </c>
      <c r="F58" s="1467">
        <f t="shared" si="42"/>
        <v>107</v>
      </c>
      <c r="G58" s="3320">
        <v>2004</v>
      </c>
      <c r="H58" s="1477">
        <v>3</v>
      </c>
      <c r="I58" s="1477">
        <v>0.56000000000000005</v>
      </c>
      <c r="J58" s="1477">
        <v>0.8</v>
      </c>
      <c r="K58" s="1477">
        <v>0.83</v>
      </c>
      <c r="L58" s="1478">
        <v>0.06</v>
      </c>
      <c r="N58" s="1514">
        <f t="shared" si="39"/>
        <v>2.2725428130833527E-2</v>
      </c>
      <c r="O58" s="1515">
        <f t="shared" si="39"/>
        <v>1.7012227538543329E-2</v>
      </c>
      <c r="P58" s="1515">
        <f t="shared" si="40"/>
        <v>3.6925814703592477E-2</v>
      </c>
      <c r="Q58" s="1515">
        <f t="shared" si="40"/>
        <v>2.8846153846153744E-2</v>
      </c>
      <c r="R58" s="1464"/>
      <c r="S58" s="1462"/>
      <c r="T58" s="1463"/>
      <c r="U58" s="1463"/>
      <c r="V58" s="1463"/>
      <c r="X58" s="1516"/>
      <c r="Y58" s="1516"/>
      <c r="Z58" s="1516"/>
    </row>
    <row r="59" spans="1:26">
      <c r="A59" s="1450" t="s">
        <v>1202</v>
      </c>
      <c r="B59" s="1467">
        <f t="shared" si="41"/>
        <v>116.99099099099099</v>
      </c>
      <c r="C59" s="1467">
        <f t="shared" si="41"/>
        <v>118.84848484848486</v>
      </c>
      <c r="D59" s="1467">
        <f t="shared" si="9"/>
        <v>118.84848484848486</v>
      </c>
      <c r="E59" s="1467">
        <f t="shared" si="42"/>
        <v>117.60960960960961</v>
      </c>
      <c r="F59" s="1467">
        <f t="shared" si="42"/>
        <v>104</v>
      </c>
      <c r="G59" s="3320">
        <v>2004</v>
      </c>
      <c r="H59" s="1454">
        <v>2</v>
      </c>
      <c r="I59" s="1454">
        <v>1</v>
      </c>
      <c r="J59" s="1454">
        <v>1.5</v>
      </c>
      <c r="K59" s="1454">
        <v>1.5</v>
      </c>
      <c r="L59" s="1469">
        <v>0</v>
      </c>
      <c r="N59" s="1514">
        <f t="shared" si="39"/>
        <v>4.0581121662202721E-2</v>
      </c>
      <c r="O59" s="1515">
        <f t="shared" si="39"/>
        <v>3.1897926634768738E-2</v>
      </c>
      <c r="P59" s="1515">
        <f t="shared" si="40"/>
        <v>6.6733400066733395E-2</v>
      </c>
      <c r="Q59" s="1515">
        <f t="shared" si="40"/>
        <v>0</v>
      </c>
      <c r="R59" s="1464"/>
      <c r="S59" s="1462"/>
      <c r="T59" s="1463"/>
      <c r="U59" s="1463"/>
      <c r="V59" s="1463"/>
      <c r="X59" s="1516"/>
      <c r="Y59" s="1516"/>
      <c r="Z59" s="1516"/>
    </row>
    <row r="60" spans="1:26" s="1507" customFormat="1" ht="13.5" thickBot="1">
      <c r="A60" s="1450" t="s">
        <v>1203</v>
      </c>
      <c r="B60" s="1504">
        <f t="shared" si="41"/>
        <v>112.48648648648648</v>
      </c>
      <c r="C60" s="1504">
        <f t="shared" si="41"/>
        <v>115.21212121212122</v>
      </c>
      <c r="D60" s="1504">
        <f t="shared" si="9"/>
        <v>115.21212121212122</v>
      </c>
      <c r="E60" s="1504">
        <f t="shared" si="42"/>
        <v>110.4024024024024</v>
      </c>
      <c r="F60" s="1504">
        <f t="shared" si="42"/>
        <v>104</v>
      </c>
      <c r="G60" s="3321">
        <v>2004</v>
      </c>
      <c r="H60" s="1505">
        <v>1</v>
      </c>
      <c r="I60" s="1505">
        <v>0.33</v>
      </c>
      <c r="J60" s="1505">
        <v>0.5</v>
      </c>
      <c r="K60" s="1505">
        <v>0.5</v>
      </c>
      <c r="L60" s="1506">
        <v>0</v>
      </c>
      <c r="N60" s="1519">
        <f t="shared" si="39"/>
        <v>1.3391770148526898E-2</v>
      </c>
      <c r="O60" s="1520">
        <f t="shared" si="39"/>
        <v>1.063264221158958E-2</v>
      </c>
      <c r="P60" s="1520">
        <f t="shared" si="40"/>
        <v>2.2244466688911134E-2</v>
      </c>
      <c r="Q60" s="1520">
        <f t="shared" si="40"/>
        <v>0</v>
      </c>
      <c r="R60" s="1510"/>
      <c r="S60" s="1508">
        <f>B60/B61-1</f>
        <v>1.3391770148526883E-2</v>
      </c>
      <c r="T60" s="1509">
        <f>C60/C61-1</f>
        <v>1.063264221158966E-2</v>
      </c>
      <c r="U60" s="1509">
        <f>E60/E61-1</f>
        <v>2.2244466688911224E-2</v>
      </c>
      <c r="V60" s="1509">
        <f>F60/F61-1</f>
        <v>0</v>
      </c>
      <c r="X60" s="1521"/>
      <c r="Y60" s="1521"/>
      <c r="Z60" s="1521"/>
    </row>
    <row r="61" spans="1:26" ht="13.5" thickBot="1">
      <c r="A61" s="1450" t="s">
        <v>1204</v>
      </c>
      <c r="B61" s="1522">
        <v>111</v>
      </c>
      <c r="C61" s="1522">
        <v>114</v>
      </c>
      <c r="D61" s="1522">
        <f t="shared" si="9"/>
        <v>114</v>
      </c>
      <c r="E61" s="1522">
        <v>108</v>
      </c>
      <c r="F61" s="1523">
        <v>104</v>
      </c>
      <c r="G61" s="3319">
        <v>2003</v>
      </c>
      <c r="H61" s="1512">
        <v>4</v>
      </c>
      <c r="I61" s="1524"/>
      <c r="J61" s="1524"/>
      <c r="K61" s="1524"/>
      <c r="L61" s="1524"/>
      <c r="N61" s="1525"/>
      <c r="O61" s="1524"/>
      <c r="P61" s="1524"/>
      <c r="Q61" s="1524"/>
      <c r="S61" s="1525"/>
      <c r="T61" s="1524"/>
      <c r="U61" s="1524"/>
      <c r="V61" s="1524"/>
      <c r="X61" s="1516"/>
      <c r="Y61" s="1516"/>
      <c r="Z61" s="1516"/>
    </row>
    <row r="62" spans="1:26">
      <c r="A62" s="1450" t="s">
        <v>1205</v>
      </c>
      <c r="B62" s="1526">
        <f t="shared" ref="B62:C64" si="43">B63+(B$61-B$65)/4</f>
        <v>109.75</v>
      </c>
      <c r="C62" s="1526">
        <f t="shared" si="43"/>
        <v>112.25</v>
      </c>
      <c r="D62" s="1526">
        <f t="shared" si="9"/>
        <v>112.25</v>
      </c>
      <c r="E62" s="1526">
        <f t="shared" ref="E62:F64" si="44">E63+(E$61-E$65)/4</f>
        <v>107.25</v>
      </c>
      <c r="F62" s="1526">
        <f t="shared" si="44"/>
        <v>103.5</v>
      </c>
      <c r="G62" s="3320">
        <v>2003</v>
      </c>
      <c r="H62" s="1477">
        <v>3</v>
      </c>
      <c r="I62" s="1524"/>
      <c r="J62" s="1524"/>
      <c r="K62" s="1524"/>
      <c r="L62" s="1524"/>
      <c r="X62" s="1516"/>
      <c r="Y62" s="1516"/>
      <c r="Z62" s="1516"/>
    </row>
    <row r="63" spans="1:26">
      <c r="A63" s="1450" t="s">
        <v>1206</v>
      </c>
      <c r="B63" s="1526">
        <f t="shared" si="43"/>
        <v>108.5</v>
      </c>
      <c r="C63" s="1526">
        <f t="shared" si="43"/>
        <v>110.5</v>
      </c>
      <c r="D63" s="1526">
        <f t="shared" si="9"/>
        <v>110.5</v>
      </c>
      <c r="E63" s="1526">
        <f t="shared" si="44"/>
        <v>106.5</v>
      </c>
      <c r="F63" s="1526">
        <f t="shared" si="44"/>
        <v>103</v>
      </c>
      <c r="G63" s="3320">
        <v>2003</v>
      </c>
      <c r="H63" s="1454">
        <v>2</v>
      </c>
      <c r="I63" s="1524"/>
      <c r="J63" s="1524"/>
      <c r="K63" s="1524"/>
      <c r="L63" s="1524"/>
      <c r="X63" s="1516"/>
      <c r="Y63" s="1516"/>
      <c r="Z63" s="1516"/>
    </row>
    <row r="64" spans="1:26" ht="13.5" thickBot="1">
      <c r="A64" s="1450" t="s">
        <v>1207</v>
      </c>
      <c r="B64" s="1526">
        <f t="shared" si="43"/>
        <v>107.25</v>
      </c>
      <c r="C64" s="1526">
        <f t="shared" si="43"/>
        <v>108.75</v>
      </c>
      <c r="D64" s="1526">
        <f t="shared" si="9"/>
        <v>108.75</v>
      </c>
      <c r="E64" s="1526">
        <f t="shared" si="44"/>
        <v>105.75</v>
      </c>
      <c r="F64" s="1526">
        <f t="shared" si="44"/>
        <v>102.5</v>
      </c>
      <c r="G64" s="3321">
        <v>2003</v>
      </c>
      <c r="H64" s="1527">
        <v>1</v>
      </c>
      <c r="I64" s="1524"/>
      <c r="J64" s="1524"/>
      <c r="K64" s="1524"/>
      <c r="L64" s="1524"/>
      <c r="S64" s="1462"/>
      <c r="T64" s="1463"/>
      <c r="U64" s="1463"/>
      <c r="X64" s="1516"/>
      <c r="Y64" s="1516"/>
      <c r="Z64" s="1516"/>
    </row>
    <row r="65" spans="1:26" ht="13.5" thickBot="1">
      <c r="A65" s="1450" t="s">
        <v>1208</v>
      </c>
      <c r="B65" s="1528">
        <v>106</v>
      </c>
      <c r="C65" s="1528">
        <v>107</v>
      </c>
      <c r="D65" s="1528">
        <f t="shared" si="9"/>
        <v>107</v>
      </c>
      <c r="E65" s="1528">
        <v>105</v>
      </c>
      <c r="F65" s="1529">
        <v>102</v>
      </c>
      <c r="G65" s="3319">
        <v>2002</v>
      </c>
      <c r="H65" s="1472">
        <v>4</v>
      </c>
      <c r="I65" s="1524"/>
      <c r="J65" s="1524"/>
      <c r="K65" s="1524"/>
      <c r="L65" s="1524"/>
      <c r="N65" s="1525"/>
      <c r="O65" s="1524"/>
      <c r="P65" s="1524"/>
      <c r="Q65" s="1524"/>
      <c r="S65" s="1525"/>
      <c r="T65" s="1524"/>
      <c r="U65" s="1524"/>
      <c r="V65" s="1524"/>
      <c r="X65" s="1516"/>
      <c r="Y65" s="1516"/>
      <c r="Z65" s="1516"/>
    </row>
    <row r="66" spans="1:26">
      <c r="A66" s="1450" t="s">
        <v>1209</v>
      </c>
      <c r="B66" s="1526">
        <f t="shared" ref="B66:C68" si="45">B67+(B$65-B$69)/4</f>
        <v>105</v>
      </c>
      <c r="C66" s="1526">
        <f t="shared" si="45"/>
        <v>106</v>
      </c>
      <c r="D66" s="1526">
        <f t="shared" si="9"/>
        <v>106</v>
      </c>
      <c r="E66" s="1526">
        <f t="shared" ref="E66:F68" si="46">E67+(E$65-E$69)/4</f>
        <v>104.5</v>
      </c>
      <c r="F66" s="1526">
        <f t="shared" si="46"/>
        <v>101.5</v>
      </c>
      <c r="G66" s="3320">
        <v>2002</v>
      </c>
      <c r="H66" s="1477">
        <v>3</v>
      </c>
      <c r="I66" s="1524"/>
      <c r="J66" s="1524"/>
      <c r="K66" s="1524"/>
      <c r="L66" s="1524"/>
      <c r="X66" s="1516"/>
      <c r="Y66" s="1516"/>
      <c r="Z66" s="1516"/>
    </row>
    <row r="67" spans="1:26">
      <c r="A67" s="1450" t="s">
        <v>1210</v>
      </c>
      <c r="B67" s="1526">
        <f t="shared" si="45"/>
        <v>104</v>
      </c>
      <c r="C67" s="1526">
        <f t="shared" si="45"/>
        <v>105</v>
      </c>
      <c r="D67" s="1526">
        <f t="shared" si="9"/>
        <v>105</v>
      </c>
      <c r="E67" s="1526">
        <f t="shared" si="46"/>
        <v>104</v>
      </c>
      <c r="F67" s="1526">
        <f t="shared" si="46"/>
        <v>101</v>
      </c>
      <c r="G67" s="3320">
        <v>2002</v>
      </c>
      <c r="H67" s="1454">
        <v>2</v>
      </c>
      <c r="I67" s="1524"/>
      <c r="J67" s="1524"/>
      <c r="K67" s="1524"/>
      <c r="L67" s="1524"/>
      <c r="X67" s="1516"/>
      <c r="Y67" s="1516"/>
      <c r="Z67" s="1516"/>
    </row>
    <row r="68" spans="1:26" s="1488" customFormat="1" ht="13.5" thickBot="1">
      <c r="A68" s="1484" t="s">
        <v>1211</v>
      </c>
      <c r="B68" s="1530">
        <f t="shared" si="45"/>
        <v>103</v>
      </c>
      <c r="C68" s="1530">
        <f t="shared" si="45"/>
        <v>104</v>
      </c>
      <c r="D68" s="1530">
        <f t="shared" si="9"/>
        <v>104</v>
      </c>
      <c r="E68" s="1530">
        <f t="shared" si="46"/>
        <v>103.5</v>
      </c>
      <c r="F68" s="1530">
        <f t="shared" si="46"/>
        <v>100.5</v>
      </c>
      <c r="G68" s="3321">
        <v>2002</v>
      </c>
      <c r="H68" s="1531">
        <v>1</v>
      </c>
      <c r="I68" s="1532"/>
      <c r="J68" s="1532"/>
      <c r="K68" s="1532"/>
      <c r="L68" s="1532"/>
      <c r="N68" s="1533"/>
      <c r="S68" s="1533"/>
      <c r="X68" s="1534"/>
      <c r="Y68" s="1534"/>
      <c r="Z68" s="1534"/>
    </row>
    <row r="69" spans="1:26" ht="13.5" thickBot="1">
      <c r="B69" s="1535">
        <v>102</v>
      </c>
      <c r="C69" s="1536">
        <v>103</v>
      </c>
      <c r="D69" s="1536">
        <f t="shared" si="9"/>
        <v>103</v>
      </c>
      <c r="E69" s="1536">
        <v>103</v>
      </c>
      <c r="F69" s="1537">
        <v>100</v>
      </c>
      <c r="I69" s="1524"/>
      <c r="J69" s="1524"/>
      <c r="K69" s="1524"/>
      <c r="L69" s="1524"/>
      <c r="N69" s="1525"/>
      <c r="O69" s="1524"/>
      <c r="P69" s="1524"/>
      <c r="Q69" s="1524"/>
      <c r="S69" s="1525"/>
      <c r="T69" s="1524"/>
      <c r="U69" s="1524"/>
      <c r="V69" s="1524"/>
      <c r="X69" s="1466"/>
      <c r="Y69" s="1466"/>
      <c r="Z69" s="1466"/>
    </row>
    <row r="71" spans="1:26" s="1539" customFormat="1">
      <c r="A71" s="1538" t="s">
        <v>1212</v>
      </c>
      <c r="G71" s="1540"/>
      <c r="N71" s="1540"/>
      <c r="S71" s="1540"/>
    </row>
    <row r="72" spans="1:26" s="1539" customFormat="1">
      <c r="A72" s="1539" t="s">
        <v>1213</v>
      </c>
      <c r="G72" s="1540"/>
      <c r="N72" s="1540"/>
      <c r="S72" s="1540"/>
    </row>
    <row r="73" spans="1:26" s="1539" customFormat="1">
      <c r="A73" s="1539" t="s">
        <v>1214</v>
      </c>
      <c r="G73" s="1540"/>
      <c r="I73" s="1541"/>
      <c r="J73" s="1541"/>
      <c r="K73" s="1541"/>
      <c r="L73" s="1541"/>
      <c r="N73" s="1542"/>
      <c r="O73" s="1541"/>
      <c r="P73" s="1541"/>
      <c r="Q73" s="1541"/>
      <c r="S73" s="1542"/>
      <c r="T73" s="1541"/>
      <c r="U73" s="1541"/>
      <c r="V73" s="1541"/>
    </row>
    <row r="74" spans="1:26" s="1539" customFormat="1">
      <c r="A74" s="1539" t="s">
        <v>1215</v>
      </c>
      <c r="G74" s="1540"/>
      <c r="N74" s="1540"/>
      <c r="S74" s="1540"/>
    </row>
    <row r="81" spans="7:22" ht="13.5" thickBot="1"/>
    <row r="82" spans="7:22">
      <c r="G82" s="1461"/>
      <c r="S82" s="1543" t="s">
        <v>1216</v>
      </c>
      <c r="T82" s="1544" t="s">
        <v>1217</v>
      </c>
      <c r="U82" s="1544" t="s">
        <v>1218</v>
      </c>
      <c r="V82" s="1544" t="s">
        <v>1219</v>
      </c>
    </row>
    <row r="83" spans="7:22">
      <c r="G83" s="1461"/>
      <c r="N83" s="1465"/>
      <c r="O83" s="1466"/>
      <c r="P83" s="1466"/>
      <c r="Q83" s="1466"/>
      <c r="S83" s="1545">
        <v>2006</v>
      </c>
      <c r="T83" s="1546">
        <v>15.1</v>
      </c>
      <c r="U83" s="1546">
        <v>7.43</v>
      </c>
      <c r="V83" s="1546">
        <v>26.26</v>
      </c>
    </row>
    <row r="84" spans="7:22">
      <c r="G84" s="1461"/>
      <c r="N84" s="1465"/>
      <c r="O84" s="1466"/>
      <c r="P84" s="1466"/>
      <c r="Q84" s="1466"/>
      <c r="S84" s="1547">
        <v>2005</v>
      </c>
      <c r="T84" s="1548">
        <v>13.9</v>
      </c>
      <c r="U84" s="1548">
        <v>7.49</v>
      </c>
      <c r="V84" s="1548">
        <v>24.92</v>
      </c>
    </row>
    <row r="85" spans="7:22">
      <c r="G85" s="1461"/>
      <c r="N85" s="1465"/>
      <c r="O85" s="1466"/>
      <c r="P85" s="1466"/>
      <c r="Q85" s="1466"/>
      <c r="S85" s="1545">
        <v>2004</v>
      </c>
      <c r="T85" s="1546">
        <v>9.48</v>
      </c>
      <c r="U85" s="1546">
        <v>7.2</v>
      </c>
      <c r="V85" s="1546">
        <v>14.68</v>
      </c>
    </row>
    <row r="86" spans="7:22">
      <c r="G86" s="1461"/>
      <c r="N86" s="1465"/>
      <c r="O86" s="1466"/>
      <c r="P86" s="1466"/>
      <c r="Q86" s="1466"/>
      <c r="S86" s="1547">
        <v>2003</v>
      </c>
      <c r="T86" s="1548">
        <v>4.5</v>
      </c>
      <c r="U86" s="1548">
        <v>6.12</v>
      </c>
      <c r="V86" s="1548">
        <v>2.34</v>
      </c>
    </row>
    <row r="87" spans="7:22" ht="13.5" thickBot="1">
      <c r="G87" s="1461"/>
      <c r="N87" s="1465"/>
      <c r="O87" s="1466"/>
      <c r="P87" s="1466"/>
      <c r="Q87" s="1466"/>
      <c r="S87" s="1549">
        <v>2002</v>
      </c>
      <c r="T87" s="1550">
        <v>3.59</v>
      </c>
      <c r="U87" s="1550">
        <v>4.54</v>
      </c>
      <c r="V87" s="1550">
        <v>2.5499999999999998</v>
      </c>
    </row>
    <row r="88" spans="7:22">
      <c r="G88" s="1461"/>
      <c r="N88" s="1465"/>
      <c r="O88" s="1466"/>
      <c r="P88" s="1466"/>
      <c r="Q88" s="1466"/>
    </row>
    <row r="89" spans="7:22">
      <c r="G89" s="1461"/>
      <c r="N89" s="1465"/>
      <c r="O89" s="1466"/>
      <c r="P89" s="1466"/>
      <c r="Q89" s="1466"/>
    </row>
    <row r="90" spans="7:22">
      <c r="G90" s="1461"/>
      <c r="N90" s="1465"/>
      <c r="O90" s="1466"/>
      <c r="P90" s="1466"/>
      <c r="Q90" s="1466"/>
    </row>
    <row r="91" spans="7:22">
      <c r="G91" s="1461"/>
      <c r="N91" s="1465"/>
      <c r="O91" s="1466"/>
      <c r="P91" s="1466"/>
      <c r="Q91" s="1466"/>
    </row>
    <row r="92" spans="7:22">
      <c r="G92" s="1461"/>
      <c r="N92" s="1465"/>
      <c r="O92" s="1466"/>
      <c r="P92" s="1466"/>
      <c r="Q92" s="1466"/>
    </row>
    <row r="93" spans="7:22">
      <c r="G93" s="1461"/>
      <c r="N93" s="1465"/>
      <c r="O93" s="1466"/>
      <c r="P93" s="1466"/>
      <c r="Q93" s="1466"/>
    </row>
    <row r="94" spans="7:22">
      <c r="G94" s="1461"/>
      <c r="N94" s="1465"/>
      <c r="O94" s="1466"/>
      <c r="P94" s="1466"/>
      <c r="Q94" s="1466"/>
    </row>
    <row r="95" spans="7:22">
      <c r="G95" s="1461"/>
      <c r="N95" s="1465"/>
      <c r="O95" s="1466"/>
      <c r="P95" s="1466"/>
      <c r="Q95" s="1466"/>
    </row>
    <row r="96" spans="7:22">
      <c r="G96" s="1461"/>
      <c r="N96" s="1465"/>
      <c r="O96" s="1466"/>
      <c r="P96" s="1466"/>
      <c r="Q96" s="1466"/>
    </row>
    <row r="97" spans="7:19">
      <c r="G97" s="1461"/>
      <c r="N97" s="1465"/>
      <c r="O97" s="1466"/>
      <c r="P97" s="1466"/>
      <c r="Q97" s="1466"/>
    </row>
    <row r="98" spans="7:19">
      <c r="G98" s="1461"/>
      <c r="N98" s="1465"/>
      <c r="O98" s="1466"/>
      <c r="P98" s="1466"/>
      <c r="Q98" s="1466"/>
      <c r="S98" s="1461"/>
    </row>
    <row r="99" spans="7:19">
      <c r="G99" s="1461"/>
      <c r="N99" s="1465"/>
      <c r="O99" s="1466"/>
      <c r="P99" s="1466"/>
      <c r="Q99" s="1466"/>
      <c r="S99" s="1461"/>
    </row>
    <row r="100" spans="7:19">
      <c r="G100" s="1461"/>
      <c r="N100" s="1465"/>
      <c r="O100" s="1466"/>
      <c r="P100" s="1466"/>
      <c r="Q100" s="1466"/>
      <c r="S100" s="1461"/>
    </row>
    <row r="101" spans="7:19">
      <c r="G101" s="1461"/>
      <c r="N101" s="1465"/>
      <c r="O101" s="1466"/>
      <c r="P101" s="1466"/>
      <c r="Q101" s="1466"/>
      <c r="S101" s="1461"/>
    </row>
    <row r="102" spans="7:19">
      <c r="G102" s="1461"/>
      <c r="N102" s="1465"/>
      <c r="O102" s="1466"/>
      <c r="P102" s="1466"/>
      <c r="Q102" s="1466"/>
      <c r="S102" s="1461"/>
    </row>
    <row r="103" spans="7:19">
      <c r="G103" s="1461"/>
      <c r="N103" s="1465"/>
      <c r="O103" s="1466"/>
      <c r="P103" s="1466"/>
      <c r="Q103" s="1466"/>
      <c r="S103" s="1461"/>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1577"/>
  <sheetViews>
    <sheetView zoomScale="90" zoomScaleNormal="90" workbookViewId="0">
      <pane ySplit="24" topLeftCell="A1521" activePane="bottomLeft" state="frozen"/>
      <selection activeCell="C50" sqref="C50"/>
      <selection pane="bottomLeft" activeCell="U23" sqref="U2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8"/>
    <col min="20" max="45" width="9" style="788"/>
    <col min="46" max="16384" width="9" style="138"/>
  </cols>
  <sheetData>
    <row r="1" spans="1:45" ht="14.25" customHeight="1" thickBot="1">
      <c r="A1" s="155"/>
      <c r="B1" s="1200" t="s">
        <v>3004</v>
      </c>
      <c r="C1" s="3328" t="s">
        <v>3005</v>
      </c>
      <c r="D1" s="3329"/>
      <c r="E1" s="3329"/>
      <c r="F1" s="3329"/>
      <c r="G1" s="3329"/>
      <c r="H1" s="3329"/>
      <c r="I1" s="3329"/>
      <c r="J1" s="3329"/>
      <c r="K1" s="3329"/>
      <c r="L1" s="3329"/>
      <c r="M1" s="3329"/>
      <c r="N1" s="3329"/>
      <c r="O1" s="3329"/>
      <c r="P1" s="3329"/>
      <c r="Q1" s="3329"/>
      <c r="R1" s="3329"/>
      <c r="S1" s="3330"/>
      <c r="T1" s="1200" t="s">
        <v>3006</v>
      </c>
    </row>
    <row r="2" spans="1:45" s="702" customFormat="1" ht="38.25">
      <c r="A2" s="1201"/>
      <c r="B2" s="698" t="s">
        <v>3007</v>
      </c>
      <c r="C2" s="699" t="str">
        <f t="shared" ref="C2:L2" si="0">C3&amp;"(含)"&amp;"-"&amp;D3</f>
        <v>0(含)-100</v>
      </c>
      <c r="D2" s="700" t="str">
        <f t="shared" si="0"/>
        <v>100(含)-200</v>
      </c>
      <c r="E2" s="700" t="str">
        <f t="shared" si="0"/>
        <v>200(含)-300</v>
      </c>
      <c r="F2" s="700" t="str">
        <f t="shared" si="0"/>
        <v>300(含)-400</v>
      </c>
      <c r="G2" s="700" t="str">
        <f t="shared" si="0"/>
        <v>400(含)-</v>
      </c>
      <c r="H2" s="700" t="str">
        <f t="shared" si="0"/>
        <v>(含)-</v>
      </c>
      <c r="I2" s="700" t="str">
        <f t="shared" si="0"/>
        <v>(含)-</v>
      </c>
      <c r="J2" s="700" t="str">
        <f t="shared" si="0"/>
        <v>(含)-</v>
      </c>
      <c r="K2" s="700" t="str">
        <f t="shared" si="0"/>
        <v>(含)-</v>
      </c>
      <c r="L2" s="700" t="str">
        <f t="shared" si="0"/>
        <v>(含)-</v>
      </c>
      <c r="M2" s="700" t="str">
        <f t="shared" ref="M2:R2" si="1">M3&amp;"(含)"&amp;"-"&amp;N3</f>
        <v>(含)-</v>
      </c>
      <c r="N2" s="700" t="str">
        <f t="shared" si="1"/>
        <v>(含)-</v>
      </c>
      <c r="O2" s="700" t="str">
        <f t="shared" si="1"/>
        <v>(含)-</v>
      </c>
      <c r="P2" s="700" t="str">
        <f t="shared" si="1"/>
        <v>(含)-</v>
      </c>
      <c r="Q2" s="700" t="str">
        <f t="shared" si="1"/>
        <v>(含)-</v>
      </c>
      <c r="R2" s="700" t="str">
        <f t="shared" si="1"/>
        <v>(含)-</v>
      </c>
      <c r="S2" s="1202" t="str">
        <f>S3&amp;"(含)"&amp;"-"</f>
        <v>(含)-</v>
      </c>
      <c r="T2" s="701"/>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7" customFormat="1">
      <c r="A3" s="1203"/>
      <c r="B3" s="703"/>
      <c r="C3" s="704">
        <v>0</v>
      </c>
      <c r="D3" s="705">
        <v>100</v>
      </c>
      <c r="E3" s="705">
        <v>200</v>
      </c>
      <c r="F3" s="1694">
        <v>300</v>
      </c>
      <c r="G3" s="1694">
        <v>400</v>
      </c>
      <c r="H3" s="1694"/>
      <c r="I3" s="1694"/>
      <c r="J3" s="1694"/>
      <c r="K3" s="1694"/>
      <c r="L3" s="1695"/>
      <c r="M3" s="1696"/>
      <c r="N3" s="1696"/>
      <c r="O3" s="1694"/>
      <c r="P3" s="1694"/>
      <c r="Q3" s="1694"/>
      <c r="R3" s="1694"/>
      <c r="S3" s="1697"/>
      <c r="T3" s="706"/>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7" customFormat="1" ht="13.5" thickBot="1">
      <c r="A4" s="1204"/>
      <c r="B4" s="1205"/>
      <c r="C4" s="1206">
        <v>100</v>
      </c>
      <c r="D4" s="1207">
        <v>99</v>
      </c>
      <c r="E4" s="1207">
        <v>98</v>
      </c>
      <c r="F4" s="1698">
        <v>97</v>
      </c>
      <c r="G4" s="1698">
        <v>96</v>
      </c>
      <c r="H4" s="1698"/>
      <c r="I4" s="1698"/>
      <c r="J4" s="1698"/>
      <c r="K4" s="1698"/>
      <c r="L4" s="1698"/>
      <c r="M4" s="1699"/>
      <c r="N4" s="1699"/>
      <c r="O4" s="1698"/>
      <c r="P4" s="1698"/>
      <c r="Q4" s="1698"/>
      <c r="R4" s="1698"/>
      <c r="S4" s="1700"/>
      <c r="T4" s="121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7" customFormat="1">
      <c r="A5" s="1211"/>
      <c r="B5" s="2931" t="s">
        <v>3108</v>
      </c>
      <c r="C5" s="2932" t="s">
        <v>3109</v>
      </c>
      <c r="D5" s="2933" t="s">
        <v>3110</v>
      </c>
      <c r="E5" s="1213"/>
      <c r="F5" s="1701"/>
      <c r="G5" s="1701"/>
      <c r="H5" s="1701"/>
      <c r="I5" s="1701"/>
      <c r="J5" s="1701"/>
      <c r="K5" s="1701"/>
      <c r="L5" s="1702"/>
      <c r="M5" s="1703"/>
      <c r="N5" s="1703"/>
      <c r="O5" s="1701"/>
      <c r="P5" s="1701"/>
      <c r="Q5" s="1701"/>
      <c r="R5" s="1701"/>
      <c r="S5" s="1704"/>
      <c r="T5" s="1215">
        <v>5</v>
      </c>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7" customFormat="1" ht="13.5" thickBot="1">
      <c r="A6" s="1211"/>
      <c r="B6" s="1112"/>
      <c r="C6" s="1118">
        <v>100</v>
      </c>
      <c r="D6" s="1115">
        <f>C6-$T5</f>
        <v>95</v>
      </c>
      <c r="E6" s="1115">
        <f t="shared" ref="E6:S6" si="2">D6-$T5</f>
        <v>90</v>
      </c>
      <c r="F6" s="1705">
        <f t="shared" si="2"/>
        <v>85</v>
      </c>
      <c r="G6" s="1705">
        <f t="shared" si="2"/>
        <v>80</v>
      </c>
      <c r="H6" s="1705">
        <f t="shared" si="2"/>
        <v>75</v>
      </c>
      <c r="I6" s="1705">
        <f t="shared" si="2"/>
        <v>70</v>
      </c>
      <c r="J6" s="1705">
        <f t="shared" si="2"/>
        <v>65</v>
      </c>
      <c r="K6" s="1705">
        <f t="shared" si="2"/>
        <v>60</v>
      </c>
      <c r="L6" s="1705">
        <f t="shared" si="2"/>
        <v>55</v>
      </c>
      <c r="M6" s="1705">
        <f t="shared" si="2"/>
        <v>50</v>
      </c>
      <c r="N6" s="1705">
        <f t="shared" si="2"/>
        <v>45</v>
      </c>
      <c r="O6" s="1705">
        <f t="shared" si="2"/>
        <v>40</v>
      </c>
      <c r="P6" s="1705">
        <f t="shared" si="2"/>
        <v>35</v>
      </c>
      <c r="Q6" s="1705">
        <f t="shared" si="2"/>
        <v>30</v>
      </c>
      <c r="R6" s="1705">
        <f t="shared" si="2"/>
        <v>25</v>
      </c>
      <c r="S6" s="1705">
        <f t="shared" si="2"/>
        <v>20</v>
      </c>
      <c r="T6" s="1114"/>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7" customFormat="1">
      <c r="A7" s="1211"/>
      <c r="B7" s="1760" t="s">
        <v>3008</v>
      </c>
      <c r="C7" s="1117"/>
      <c r="D7" s="1111"/>
      <c r="E7" s="1111"/>
      <c r="F7" s="1706"/>
      <c r="G7" s="1706"/>
      <c r="H7" s="1706"/>
      <c r="I7" s="1706"/>
      <c r="J7" s="1706"/>
      <c r="K7" s="1706"/>
      <c r="L7" s="1706"/>
      <c r="M7" s="1707"/>
      <c r="N7" s="1708"/>
      <c r="O7" s="1709"/>
      <c r="P7" s="1710"/>
      <c r="Q7" s="1711"/>
      <c r="R7" s="1712"/>
      <c r="S7" s="1713"/>
      <c r="T7" s="708"/>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7" customFormat="1" ht="13.5" thickBot="1">
      <c r="A8" s="1211"/>
      <c r="B8" s="1112"/>
      <c r="C8" s="1118">
        <v>100</v>
      </c>
      <c r="D8" s="1115">
        <f>C8-$T7</f>
        <v>100</v>
      </c>
      <c r="E8" s="1115">
        <f t="shared" ref="E8:S8" si="3">D8-$T7</f>
        <v>100</v>
      </c>
      <c r="F8" s="1705">
        <f t="shared" si="3"/>
        <v>100</v>
      </c>
      <c r="G8" s="1705">
        <f t="shared" si="3"/>
        <v>100</v>
      </c>
      <c r="H8" s="1705">
        <f t="shared" si="3"/>
        <v>100</v>
      </c>
      <c r="I8" s="1705">
        <f t="shared" si="3"/>
        <v>100</v>
      </c>
      <c r="J8" s="1705">
        <f t="shared" si="3"/>
        <v>100</v>
      </c>
      <c r="K8" s="1705">
        <f t="shared" si="3"/>
        <v>100</v>
      </c>
      <c r="L8" s="1705">
        <f t="shared" si="3"/>
        <v>100</v>
      </c>
      <c r="M8" s="1705">
        <f t="shared" si="3"/>
        <v>100</v>
      </c>
      <c r="N8" s="1705">
        <f t="shared" si="3"/>
        <v>100</v>
      </c>
      <c r="O8" s="1705">
        <f t="shared" si="3"/>
        <v>100</v>
      </c>
      <c r="P8" s="1705">
        <f t="shared" si="3"/>
        <v>100</v>
      </c>
      <c r="Q8" s="1705">
        <f t="shared" si="3"/>
        <v>100</v>
      </c>
      <c r="R8" s="1705">
        <f t="shared" si="3"/>
        <v>100</v>
      </c>
      <c r="S8" s="1705">
        <f t="shared" si="3"/>
        <v>100</v>
      </c>
      <c r="T8" s="1114"/>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7" customFormat="1">
      <c r="A9" s="1211"/>
      <c r="B9" s="1760" t="s">
        <v>3009</v>
      </c>
      <c r="C9" s="1117"/>
      <c r="D9" s="1111"/>
      <c r="E9" s="1111"/>
      <c r="F9" s="1706"/>
      <c r="G9" s="1706"/>
      <c r="H9" s="1706"/>
      <c r="I9" s="1706"/>
      <c r="J9" s="1706"/>
      <c r="K9" s="1706"/>
      <c r="L9" s="1714"/>
      <c r="M9" s="1707"/>
      <c r="N9" s="1708"/>
      <c r="O9" s="1709"/>
      <c r="P9" s="1710"/>
      <c r="Q9" s="1711"/>
      <c r="R9" s="1712"/>
      <c r="S9" s="1713"/>
      <c r="T9" s="708"/>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7" customFormat="1" ht="13.5" thickBot="1">
      <c r="A10" s="1211"/>
      <c r="B10" s="1205"/>
      <c r="C10" s="1216">
        <v>100</v>
      </c>
      <c r="D10" s="1217">
        <f>C10-$T9</f>
        <v>100</v>
      </c>
      <c r="E10" s="1217">
        <f t="shared" ref="E10:S10" si="4">D10-$T9</f>
        <v>100</v>
      </c>
      <c r="F10" s="1715">
        <f t="shared" si="4"/>
        <v>100</v>
      </c>
      <c r="G10" s="1715">
        <f t="shared" si="4"/>
        <v>100</v>
      </c>
      <c r="H10" s="1715">
        <f t="shared" si="4"/>
        <v>100</v>
      </c>
      <c r="I10" s="1715">
        <f t="shared" si="4"/>
        <v>100</v>
      </c>
      <c r="J10" s="1715">
        <f t="shared" si="4"/>
        <v>100</v>
      </c>
      <c r="K10" s="1715">
        <f t="shared" si="4"/>
        <v>100</v>
      </c>
      <c r="L10" s="1715">
        <f t="shared" si="4"/>
        <v>100</v>
      </c>
      <c r="M10" s="1715">
        <f t="shared" si="4"/>
        <v>100</v>
      </c>
      <c r="N10" s="1715">
        <f t="shared" si="4"/>
        <v>100</v>
      </c>
      <c r="O10" s="1715">
        <f t="shared" si="4"/>
        <v>100</v>
      </c>
      <c r="P10" s="1715">
        <f t="shared" si="4"/>
        <v>100</v>
      </c>
      <c r="Q10" s="1715">
        <f t="shared" si="4"/>
        <v>100</v>
      </c>
      <c r="R10" s="1715">
        <f t="shared" si="4"/>
        <v>100</v>
      </c>
      <c r="S10" s="1715">
        <f t="shared" si="4"/>
        <v>100</v>
      </c>
      <c r="T10" s="1210"/>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7" customFormat="1">
      <c r="A11" s="1211"/>
      <c r="B11" s="1759" t="s">
        <v>3010</v>
      </c>
      <c r="C11" s="1212"/>
      <c r="D11" s="1213"/>
      <c r="E11" s="1213"/>
      <c r="F11" s="1213"/>
      <c r="G11" s="1213"/>
      <c r="H11" s="1213"/>
      <c r="I11" s="1213"/>
      <c r="J11" s="1213"/>
      <c r="K11" s="1213"/>
      <c r="L11" s="1213"/>
      <c r="M11" s="1214"/>
      <c r="N11" s="1218"/>
      <c r="O11" s="1219"/>
      <c r="P11" s="1220"/>
      <c r="Q11" s="1221"/>
      <c r="R11" s="1222"/>
      <c r="S11" s="1223"/>
      <c r="T11" s="1215"/>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7" customFormat="1" ht="13.5" thickBot="1">
      <c r="A12" s="1211"/>
      <c r="B12" s="1112"/>
      <c r="C12" s="1118">
        <v>100</v>
      </c>
      <c r="D12" s="1115">
        <f>C12-$T11</f>
        <v>100</v>
      </c>
      <c r="E12" s="1115">
        <f t="shared" ref="E12:S12" si="5">D12-$T11</f>
        <v>100</v>
      </c>
      <c r="F12" s="1115">
        <f t="shared" si="5"/>
        <v>100</v>
      </c>
      <c r="G12" s="1115">
        <f t="shared" si="5"/>
        <v>100</v>
      </c>
      <c r="H12" s="1115">
        <f t="shared" si="5"/>
        <v>100</v>
      </c>
      <c r="I12" s="1115">
        <f t="shared" si="5"/>
        <v>100</v>
      </c>
      <c r="J12" s="1115">
        <f t="shared" si="5"/>
        <v>100</v>
      </c>
      <c r="K12" s="1115">
        <f t="shared" si="5"/>
        <v>100</v>
      </c>
      <c r="L12" s="1115">
        <f t="shared" si="5"/>
        <v>100</v>
      </c>
      <c r="M12" s="1115">
        <f t="shared" si="5"/>
        <v>100</v>
      </c>
      <c r="N12" s="1115">
        <f t="shared" si="5"/>
        <v>100</v>
      </c>
      <c r="O12" s="1115">
        <f t="shared" si="5"/>
        <v>100</v>
      </c>
      <c r="P12" s="1115">
        <f t="shared" si="5"/>
        <v>100</v>
      </c>
      <c r="Q12" s="1115">
        <f t="shared" si="5"/>
        <v>100</v>
      </c>
      <c r="R12" s="1115">
        <f>Q12-$T11</f>
        <v>100</v>
      </c>
      <c r="S12" s="1115">
        <f t="shared" si="5"/>
        <v>100</v>
      </c>
      <c r="T12" s="1114"/>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7" customFormat="1">
      <c r="A13" s="1211"/>
      <c r="B13" s="1759" t="s">
        <v>3011</v>
      </c>
      <c r="C13" s="1212"/>
      <c r="D13" s="1213"/>
      <c r="E13" s="1213"/>
      <c r="F13" s="1213"/>
      <c r="G13" s="1213"/>
      <c r="H13" s="1213"/>
      <c r="I13" s="1213"/>
      <c r="J13" s="1213"/>
      <c r="K13" s="1213"/>
      <c r="L13" s="1213"/>
      <c r="M13" s="1214"/>
      <c r="N13" s="1218"/>
      <c r="O13" s="1219"/>
      <c r="P13" s="1220"/>
      <c r="Q13" s="1221"/>
      <c r="R13" s="1222"/>
      <c r="S13" s="1223"/>
      <c r="T13" s="1224"/>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7" customFormat="1">
      <c r="A15" s="1211"/>
      <c r="B15" s="1759" t="s">
        <v>3012</v>
      </c>
      <c r="C15" s="1212"/>
      <c r="D15" s="1213"/>
      <c r="E15" s="1213"/>
      <c r="F15" s="1213"/>
      <c r="G15" s="1213"/>
      <c r="H15" s="1213"/>
      <c r="I15" s="1213"/>
      <c r="J15" s="1213"/>
      <c r="K15" s="1213"/>
      <c r="L15" s="1213"/>
      <c r="M15" s="1214"/>
      <c r="N15" s="1218"/>
      <c r="O15" s="1219"/>
      <c r="P15" s="1220"/>
      <c r="Q15" s="1221"/>
      <c r="R15" s="1222"/>
      <c r="S15" s="1223"/>
      <c r="T15" s="1224"/>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2" customFormat="1">
      <c r="A17" s="2903" t="s">
        <v>3013</v>
      </c>
      <c r="B17" s="2904" t="s">
        <v>3014</v>
      </c>
      <c r="C17" s="1227">
        <v>1</v>
      </c>
      <c r="D17" s="1228">
        <v>2</v>
      </c>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89"/>
      <c r="AS17" s="789"/>
    </row>
    <row r="18" spans="1:45" s="702" customFormat="1" ht="13.5" thickBot="1">
      <c r="A18" s="1237"/>
      <c r="B18" s="1238"/>
      <c r="C18" s="1239">
        <v>100</v>
      </c>
      <c r="D18" s="1240">
        <v>70</v>
      </c>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89"/>
      <c r="AS18" s="789"/>
    </row>
    <row r="19" spans="1:45">
      <c r="A19" s="137"/>
      <c r="B19" s="168"/>
      <c r="C19" s="168"/>
      <c r="D19" s="2905" t="s">
        <v>3015</v>
      </c>
      <c r="E19" s="1782"/>
      <c r="F19" s="1782"/>
      <c r="G19" s="1782"/>
      <c r="H19" s="1276"/>
      <c r="I19" s="168"/>
      <c r="J19" s="168"/>
      <c r="K19" s="168"/>
      <c r="L19" s="168"/>
      <c r="M19" s="168"/>
      <c r="N19" s="168"/>
      <c r="O19" s="168"/>
      <c r="P19" s="168"/>
      <c r="Q19" s="168"/>
      <c r="R19" s="781"/>
      <c r="S19" s="137"/>
    </row>
    <row r="20" spans="1:45" ht="16.5" thickBot="1">
      <c r="A20" s="710" t="s">
        <v>3016</v>
      </c>
      <c r="B20" s="338">
        <f ca="1">IF(D20="——",S22,S22-F20)</f>
        <v>264915</v>
      </c>
      <c r="C20" s="168"/>
      <c r="D20" s="2906" t="s">
        <v>70</v>
      </c>
      <c r="E20" s="1783"/>
      <c r="F20" s="1200" t="e">
        <f ca="1">SUMIF(INDIRECT("'"&amp;H20&amp;"'"&amp;"!A:A"),"承租人权益价值",INDIRECT("'"&amp;H20&amp;"'"&amp;"!c:c"))</f>
        <v>#REF!</v>
      </c>
      <c r="G20" s="1200" t="s">
        <v>3017</v>
      </c>
      <c r="H20" s="2907" t="s">
        <v>3107</v>
      </c>
      <c r="I20" s="168"/>
      <c r="J20" s="168"/>
      <c r="K20" s="168"/>
      <c r="L20" s="168"/>
      <c r="M20" s="168"/>
      <c r="N20" s="168"/>
      <c r="O20" s="168"/>
      <c r="P20" s="168"/>
      <c r="Q20" s="168"/>
      <c r="R20" s="781"/>
      <c r="S20" s="137"/>
    </row>
    <row r="21" spans="1:45" ht="15.75">
      <c r="A21" s="710" t="s">
        <v>3018</v>
      </c>
      <c r="B21" s="338">
        <f ca="1">R22</f>
        <v>17130</v>
      </c>
      <c r="C21" s="168"/>
      <c r="D21" s="168"/>
      <c r="E21" s="168"/>
      <c r="F21" s="168"/>
      <c r="G21" s="168"/>
      <c r="H21" s="168"/>
      <c r="I21" s="168"/>
      <c r="J21" s="168"/>
      <c r="K21" s="168"/>
      <c r="L21" s="168"/>
      <c r="M21" s="168"/>
      <c r="N21" s="168"/>
      <c r="O21" s="168"/>
      <c r="P21" s="168"/>
      <c r="Q21" s="168"/>
      <c r="R21" s="781"/>
      <c r="S21" s="137"/>
    </row>
    <row r="22" spans="1:45">
      <c r="A22" s="361" t="s">
        <v>3019</v>
      </c>
      <c r="B22" s="24">
        <f>SUM(B24:B10000)</f>
        <v>154651.20000000138</v>
      </c>
      <c r="C22" s="3107" t="s">
        <v>33</v>
      </c>
      <c r="D22" s="3108"/>
      <c r="E22" s="3108"/>
      <c r="F22" s="3108"/>
      <c r="G22" s="3108"/>
      <c r="H22" s="3108"/>
      <c r="I22" s="3108"/>
      <c r="J22" s="3108"/>
      <c r="K22" s="3108"/>
      <c r="L22" s="3108"/>
      <c r="M22" s="3108"/>
      <c r="N22" s="3108"/>
      <c r="O22" s="3108"/>
      <c r="P22" s="3108"/>
      <c r="Q22" s="3327"/>
      <c r="R22" s="711">
        <f ca="1">ROUND(S22*10000/B22,0)</f>
        <v>17130</v>
      </c>
      <c r="S22" s="24">
        <f ca="1">SUM(S24:S10000)</f>
        <v>264915</v>
      </c>
    </row>
    <row r="23" spans="1:45" s="12" customFormat="1" ht="24">
      <c r="A23" s="11" t="s">
        <v>3020</v>
      </c>
      <c r="B23" s="11" t="s">
        <v>3021</v>
      </c>
      <c r="C23" s="11" t="s">
        <v>3022</v>
      </c>
      <c r="D23" s="11" t="str">
        <f>B5</f>
        <v>位置</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2" t="s">
        <v>3023</v>
      </c>
      <c r="S23" s="11" t="s">
        <v>3024</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2992" t="str">
        <f>Sheet1!F5</f>
        <v>3-301</v>
      </c>
      <c r="B24" s="2992">
        <f>Sheet1!G5</f>
        <v>49.61</v>
      </c>
      <c r="C24" s="2993">
        <v>1</v>
      </c>
      <c r="D24" s="2994"/>
      <c r="E24" s="2993">
        <v>1</v>
      </c>
      <c r="F24" s="2994"/>
      <c r="G24" s="2993">
        <v>1</v>
      </c>
      <c r="H24" s="2994"/>
      <c r="I24" s="2993">
        <v>1</v>
      </c>
      <c r="J24" s="2994"/>
      <c r="K24" s="2993">
        <v>1</v>
      </c>
      <c r="L24" s="2994"/>
      <c r="M24" s="2993">
        <v>1</v>
      </c>
      <c r="N24" s="2994"/>
      <c r="O24" s="2993">
        <v>1</v>
      </c>
      <c r="P24" s="2994"/>
      <c r="Q24" s="2993">
        <v>1</v>
      </c>
      <c r="R24" s="2995">
        <f ca="1">结果表!G20</f>
        <v>17260</v>
      </c>
      <c r="S24" s="2993">
        <f t="shared" ref="S24:S54" ca="1" si="6">ROUND(R24*B24/10000,0)</f>
        <v>86</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2992" t="str">
        <f>Sheet1!F6</f>
        <v>3-302</v>
      </c>
      <c r="B25" s="2992">
        <f>Sheet1!G6</f>
        <v>50.63</v>
      </c>
      <c r="C25" s="11">
        <f>IF(B25="",1,(LOOKUP(B25,$3:$3,$4:$4)-LOOKUP($B$24,$3:$3,$4:$4)+100)/100)</f>
        <v>1</v>
      </c>
      <c r="D25" s="2994"/>
      <c r="E25" s="11">
        <f>(SUMIF($5:$5,D25,$6:$6)-SUMIF($5:$5,$D$24,$6:$6)+100)/100</f>
        <v>1</v>
      </c>
      <c r="F25" s="2994"/>
      <c r="G25" s="11">
        <f>(SUMIF($7:$7,F25,$8:$8)-SUMIF($7:$7,$F$24,$8:$8)+100)/100</f>
        <v>1</v>
      </c>
      <c r="H25" s="2994"/>
      <c r="I25" s="11">
        <f>(SUMIF($9:$9,H25,$10:$10)-SUMIF($9:$9,$H$24,$10:$10)+100)/100</f>
        <v>1</v>
      </c>
      <c r="J25" s="2994"/>
      <c r="K25" s="11">
        <f>(SUMIF($11:$11,J25,$12:$12)-SUMIF($11:$11,$J$24,$12:$12)+100)/100</f>
        <v>1</v>
      </c>
      <c r="L25" s="2994"/>
      <c r="M25" s="11">
        <f>(SUMIF($13:$13,L25,$14:$14)-SUMIF($13:$13,$L$24,$14:$14)+100)/100</f>
        <v>1</v>
      </c>
      <c r="N25" s="2994"/>
      <c r="O25" s="11">
        <f>(SUMIF($15:$15,N25,$16:$16)-SUMIF($15:$15,$N$24,$16:$16)+100)/100</f>
        <v>1</v>
      </c>
      <c r="P25" s="2994"/>
      <c r="Q25" s="11">
        <f>(SUMIF($17:$17,P25,$18:$18)-SUMIF($17:$17,$P$24,$18:$18)+100)/100</f>
        <v>1</v>
      </c>
      <c r="R25" s="712">
        <f ca="1">IF(B25="",0,ROUND($R$24*C25*E25*G25*I25*K25*M25*O25*Q25,0))</f>
        <v>17260</v>
      </c>
      <c r="S25" s="2959">
        <f t="shared" ca="1" si="6"/>
        <v>87</v>
      </c>
      <c r="U25" s="793" t="e">
        <f>Sheet1!#REF!</f>
        <v>#REF!</v>
      </c>
    </row>
    <row r="26" spans="1:45">
      <c r="A26" s="2992" t="str">
        <f>Sheet1!F7</f>
        <v>3-303</v>
      </c>
      <c r="B26" s="2992">
        <f>Sheet1!G7</f>
        <v>50.63</v>
      </c>
      <c r="C26" s="11">
        <f t="shared" ref="C26:C89" si="7">IF(B26="",1,(LOOKUP(B26,$3:$3,$4:$4)-LOOKUP($B$24,$3:$3,$4:$4)+100)/100)</f>
        <v>1</v>
      </c>
      <c r="D26" s="2994"/>
      <c r="E26" s="11">
        <f t="shared" ref="E26:E89" si="8">(SUMIF($5:$5,D26,$6:$6)-SUMIF($5:$5,$D$24,$6:$6)+100)/100</f>
        <v>1</v>
      </c>
      <c r="F26" s="2994"/>
      <c r="G26" s="11">
        <f t="shared" ref="G26:G89" si="9">(SUMIF($7:$7,F26,$8:$8)-SUMIF($7:$7,$F$24,$8:$8)+100)/100</f>
        <v>1</v>
      </c>
      <c r="H26" s="2994"/>
      <c r="I26" s="11">
        <f t="shared" ref="I26:I89" si="10">(SUMIF($9:$9,H26,$10:$10)-SUMIF($9:$9,$H$24,$10:$10)+100)/100</f>
        <v>1</v>
      </c>
      <c r="J26" s="2994"/>
      <c r="K26" s="11">
        <f t="shared" ref="K26:K89" si="11">(SUMIF($11:$11,J26,$12:$12)-SUMIF($11:$11,$J$24,$12:$12)+100)/100</f>
        <v>1</v>
      </c>
      <c r="L26" s="2994"/>
      <c r="M26" s="11">
        <f t="shared" ref="M26:M89" si="12">(SUMIF($13:$13,L26,$14:$14)-SUMIF($13:$13,$L$24,$14:$14)+100)/100</f>
        <v>1</v>
      </c>
      <c r="N26" s="2994"/>
      <c r="O26" s="11">
        <f t="shared" ref="O26:O89" si="13">(SUMIF($15:$15,N26,$16:$16)-SUMIF($15:$15,$N$24,$16:$16)+100)/100</f>
        <v>1</v>
      </c>
      <c r="P26" s="2994"/>
      <c r="Q26" s="11">
        <f t="shared" ref="Q26:Q89" si="14">(SUMIF($17:$17,P26,$18:$18)-SUMIF($17:$17,$P$24,$18:$18)+100)/100</f>
        <v>1</v>
      </c>
      <c r="R26" s="712">
        <f t="shared" ref="R26:R89" ca="1" si="15">IF(B26="",0,ROUND($R$24*C26*E26*G26*I26*K26*M26*O26*Q26,0))</f>
        <v>17260</v>
      </c>
      <c r="S26" s="2959">
        <f t="shared" ca="1" si="6"/>
        <v>87</v>
      </c>
      <c r="U26" s="793">
        <f>Sheet1!M7</f>
        <v>27155.46</v>
      </c>
    </row>
    <row r="27" spans="1:45">
      <c r="A27" s="2992" t="str">
        <f>Sheet1!F8</f>
        <v>3-304</v>
      </c>
      <c r="B27" s="2992">
        <f>Sheet1!G8</f>
        <v>50.63</v>
      </c>
      <c r="C27" s="11">
        <f t="shared" si="7"/>
        <v>1</v>
      </c>
      <c r="D27" s="2994"/>
      <c r="E27" s="11">
        <f t="shared" si="8"/>
        <v>1</v>
      </c>
      <c r="F27" s="2994"/>
      <c r="G27" s="11">
        <f t="shared" si="9"/>
        <v>1</v>
      </c>
      <c r="H27" s="2994"/>
      <c r="I27" s="11">
        <f t="shared" si="10"/>
        <v>1</v>
      </c>
      <c r="J27" s="2994"/>
      <c r="K27" s="11">
        <f t="shared" si="11"/>
        <v>1</v>
      </c>
      <c r="L27" s="2994"/>
      <c r="M27" s="11">
        <f t="shared" si="12"/>
        <v>1</v>
      </c>
      <c r="N27" s="2994"/>
      <c r="O27" s="11">
        <f t="shared" si="13"/>
        <v>1</v>
      </c>
      <c r="P27" s="2994"/>
      <c r="Q27" s="11">
        <f t="shared" si="14"/>
        <v>1</v>
      </c>
      <c r="R27" s="712">
        <f t="shared" ca="1" si="15"/>
        <v>17260</v>
      </c>
      <c r="S27" s="2959">
        <f t="shared" ca="1" si="6"/>
        <v>87</v>
      </c>
      <c r="U27" s="793">
        <f>Sheet1!M8</f>
        <v>0</v>
      </c>
    </row>
    <row r="28" spans="1:45">
      <c r="A28" s="2992" t="str">
        <f>Sheet1!F9</f>
        <v>3-305</v>
      </c>
      <c r="B28" s="2992">
        <f>Sheet1!G9</f>
        <v>50.63</v>
      </c>
      <c r="C28" s="11">
        <f t="shared" si="7"/>
        <v>1</v>
      </c>
      <c r="D28" s="2994"/>
      <c r="E28" s="11">
        <f t="shared" si="8"/>
        <v>1</v>
      </c>
      <c r="F28" s="2994"/>
      <c r="G28" s="11">
        <f t="shared" si="9"/>
        <v>1</v>
      </c>
      <c r="H28" s="2994"/>
      <c r="I28" s="11">
        <f t="shared" si="10"/>
        <v>1</v>
      </c>
      <c r="J28" s="2994"/>
      <c r="K28" s="11">
        <f t="shared" si="11"/>
        <v>1</v>
      </c>
      <c r="L28" s="2994"/>
      <c r="M28" s="11">
        <f t="shared" si="12"/>
        <v>1</v>
      </c>
      <c r="N28" s="2994"/>
      <c r="O28" s="11">
        <f t="shared" si="13"/>
        <v>1</v>
      </c>
      <c r="P28" s="2994"/>
      <c r="Q28" s="11">
        <f t="shared" si="14"/>
        <v>1</v>
      </c>
      <c r="R28" s="712">
        <f t="shared" ca="1" si="15"/>
        <v>17260</v>
      </c>
      <c r="S28" s="2959">
        <f t="shared" ca="1" si="6"/>
        <v>87</v>
      </c>
      <c r="U28" s="793">
        <f>Sheet1!M9</f>
        <v>0</v>
      </c>
    </row>
    <row r="29" spans="1:45">
      <c r="A29" s="2992" t="str">
        <f>Sheet1!F10</f>
        <v>3-306</v>
      </c>
      <c r="B29" s="2992">
        <f>Sheet1!G10</f>
        <v>50.63</v>
      </c>
      <c r="C29" s="11">
        <f t="shared" si="7"/>
        <v>1</v>
      </c>
      <c r="D29" s="2994"/>
      <c r="E29" s="11">
        <f t="shared" si="8"/>
        <v>1</v>
      </c>
      <c r="F29" s="2994"/>
      <c r="G29" s="11">
        <f t="shared" si="9"/>
        <v>1</v>
      </c>
      <c r="H29" s="2994"/>
      <c r="I29" s="11">
        <f t="shared" si="10"/>
        <v>1</v>
      </c>
      <c r="J29" s="2994"/>
      <c r="K29" s="11">
        <f t="shared" si="11"/>
        <v>1</v>
      </c>
      <c r="L29" s="2994"/>
      <c r="M29" s="11">
        <f t="shared" si="12"/>
        <v>1</v>
      </c>
      <c r="N29" s="2994"/>
      <c r="O29" s="11">
        <f t="shared" si="13"/>
        <v>1</v>
      </c>
      <c r="P29" s="2994"/>
      <c r="Q29" s="11">
        <f t="shared" si="14"/>
        <v>1</v>
      </c>
      <c r="R29" s="712">
        <f t="shared" ca="1" si="15"/>
        <v>17260</v>
      </c>
      <c r="S29" s="2959">
        <f t="shared" ca="1" si="6"/>
        <v>87</v>
      </c>
      <c r="U29" s="793">
        <f>Sheet1!M10</f>
        <v>0</v>
      </c>
    </row>
    <row r="30" spans="1:45">
      <c r="A30" s="2992" t="str">
        <f>Sheet1!F11</f>
        <v>3-307</v>
      </c>
      <c r="B30" s="2992">
        <f>Sheet1!G11</f>
        <v>50.63</v>
      </c>
      <c r="C30" s="11">
        <f t="shared" si="7"/>
        <v>1</v>
      </c>
      <c r="D30" s="2994"/>
      <c r="E30" s="11">
        <f t="shared" si="8"/>
        <v>1</v>
      </c>
      <c r="F30" s="2994"/>
      <c r="G30" s="11">
        <f t="shared" si="9"/>
        <v>1</v>
      </c>
      <c r="H30" s="2994"/>
      <c r="I30" s="11">
        <f t="shared" si="10"/>
        <v>1</v>
      </c>
      <c r="J30" s="2994"/>
      <c r="K30" s="11">
        <f t="shared" si="11"/>
        <v>1</v>
      </c>
      <c r="L30" s="2994"/>
      <c r="M30" s="11">
        <f t="shared" si="12"/>
        <v>1</v>
      </c>
      <c r="N30" s="2994"/>
      <c r="O30" s="11">
        <f t="shared" si="13"/>
        <v>1</v>
      </c>
      <c r="P30" s="2994"/>
      <c r="Q30" s="11">
        <f t="shared" si="14"/>
        <v>1</v>
      </c>
      <c r="R30" s="712">
        <f t="shared" ca="1" si="15"/>
        <v>17260</v>
      </c>
      <c r="S30" s="2959">
        <f t="shared" ca="1" si="6"/>
        <v>87</v>
      </c>
      <c r="U30" s="793">
        <f>Sheet1!M11</f>
        <v>0</v>
      </c>
    </row>
    <row r="31" spans="1:45">
      <c r="A31" s="2992" t="str">
        <f>Sheet1!F12</f>
        <v>3-308</v>
      </c>
      <c r="B31" s="2992">
        <f>Sheet1!G12</f>
        <v>50.63</v>
      </c>
      <c r="C31" s="11">
        <f t="shared" si="7"/>
        <v>1</v>
      </c>
      <c r="D31" s="2994"/>
      <c r="E31" s="11">
        <f t="shared" si="8"/>
        <v>1</v>
      </c>
      <c r="F31" s="2994"/>
      <c r="G31" s="11">
        <f t="shared" si="9"/>
        <v>1</v>
      </c>
      <c r="H31" s="2994"/>
      <c r="I31" s="11">
        <f t="shared" si="10"/>
        <v>1</v>
      </c>
      <c r="J31" s="2994"/>
      <c r="K31" s="11">
        <f t="shared" si="11"/>
        <v>1</v>
      </c>
      <c r="L31" s="2994"/>
      <c r="M31" s="11">
        <f t="shared" si="12"/>
        <v>1</v>
      </c>
      <c r="N31" s="2994"/>
      <c r="O31" s="11">
        <f t="shared" si="13"/>
        <v>1</v>
      </c>
      <c r="P31" s="2994"/>
      <c r="Q31" s="11">
        <f t="shared" si="14"/>
        <v>1</v>
      </c>
      <c r="R31" s="712">
        <f t="shared" ca="1" si="15"/>
        <v>17260</v>
      </c>
      <c r="S31" s="2959">
        <f t="shared" ca="1" si="6"/>
        <v>87</v>
      </c>
      <c r="U31" s="793">
        <f>Sheet1!M12</f>
        <v>0</v>
      </c>
    </row>
    <row r="32" spans="1:45">
      <c r="A32" s="2992" t="str">
        <f>Sheet1!F13</f>
        <v>3-309</v>
      </c>
      <c r="B32" s="2992">
        <f>Sheet1!G13</f>
        <v>50.63</v>
      </c>
      <c r="C32" s="11">
        <f t="shared" si="7"/>
        <v>1</v>
      </c>
      <c r="D32" s="2994"/>
      <c r="E32" s="11">
        <f t="shared" si="8"/>
        <v>1</v>
      </c>
      <c r="F32" s="2994"/>
      <c r="G32" s="11">
        <f t="shared" si="9"/>
        <v>1</v>
      </c>
      <c r="H32" s="2994"/>
      <c r="I32" s="11">
        <f t="shared" si="10"/>
        <v>1</v>
      </c>
      <c r="J32" s="2994"/>
      <c r="K32" s="11">
        <f t="shared" si="11"/>
        <v>1</v>
      </c>
      <c r="L32" s="2994"/>
      <c r="M32" s="11">
        <f t="shared" si="12"/>
        <v>1</v>
      </c>
      <c r="N32" s="2994"/>
      <c r="O32" s="11">
        <f t="shared" si="13"/>
        <v>1</v>
      </c>
      <c r="P32" s="2994"/>
      <c r="Q32" s="11">
        <f t="shared" si="14"/>
        <v>1</v>
      </c>
      <c r="R32" s="712">
        <f t="shared" ca="1" si="15"/>
        <v>17260</v>
      </c>
      <c r="S32" s="2959">
        <f t="shared" ca="1" si="6"/>
        <v>87</v>
      </c>
      <c r="U32" s="793">
        <f>Sheet1!M13</f>
        <v>0</v>
      </c>
    </row>
    <row r="33" spans="1:21">
      <c r="A33" s="2992" t="str">
        <f>Sheet1!F14</f>
        <v>3-310</v>
      </c>
      <c r="B33" s="2992">
        <f>Sheet1!G14</f>
        <v>50.63</v>
      </c>
      <c r="C33" s="11">
        <f t="shared" si="7"/>
        <v>1</v>
      </c>
      <c r="D33" s="2994"/>
      <c r="E33" s="11">
        <f t="shared" si="8"/>
        <v>1</v>
      </c>
      <c r="F33" s="2994"/>
      <c r="G33" s="11">
        <f t="shared" si="9"/>
        <v>1</v>
      </c>
      <c r="H33" s="2994"/>
      <c r="I33" s="11">
        <f t="shared" si="10"/>
        <v>1</v>
      </c>
      <c r="J33" s="2994"/>
      <c r="K33" s="11">
        <f t="shared" si="11"/>
        <v>1</v>
      </c>
      <c r="L33" s="2994"/>
      <c r="M33" s="11">
        <f t="shared" si="12"/>
        <v>1</v>
      </c>
      <c r="N33" s="2994"/>
      <c r="O33" s="11">
        <f t="shared" si="13"/>
        <v>1</v>
      </c>
      <c r="P33" s="2994"/>
      <c r="Q33" s="11">
        <f t="shared" si="14"/>
        <v>1</v>
      </c>
      <c r="R33" s="712">
        <f t="shared" ca="1" si="15"/>
        <v>17260</v>
      </c>
      <c r="S33" s="2959">
        <f t="shared" ca="1" si="6"/>
        <v>87</v>
      </c>
      <c r="U33" s="793">
        <f>Sheet1!M14</f>
        <v>0</v>
      </c>
    </row>
    <row r="34" spans="1:21">
      <c r="A34" s="2992" t="str">
        <f>Sheet1!F15</f>
        <v>3-311</v>
      </c>
      <c r="B34" s="2992">
        <f>Sheet1!G15</f>
        <v>50.63</v>
      </c>
      <c r="C34" s="11">
        <f t="shared" si="7"/>
        <v>1</v>
      </c>
      <c r="D34" s="2994"/>
      <c r="E34" s="11">
        <f t="shared" si="8"/>
        <v>1</v>
      </c>
      <c r="F34" s="2994"/>
      <c r="G34" s="11">
        <f t="shared" si="9"/>
        <v>1</v>
      </c>
      <c r="H34" s="2994"/>
      <c r="I34" s="11">
        <f t="shared" si="10"/>
        <v>1</v>
      </c>
      <c r="J34" s="2994"/>
      <c r="K34" s="11">
        <f t="shared" si="11"/>
        <v>1</v>
      </c>
      <c r="L34" s="2994"/>
      <c r="M34" s="11">
        <f t="shared" si="12"/>
        <v>1</v>
      </c>
      <c r="N34" s="2994"/>
      <c r="O34" s="11">
        <f t="shared" si="13"/>
        <v>1</v>
      </c>
      <c r="P34" s="2994"/>
      <c r="Q34" s="11">
        <f t="shared" si="14"/>
        <v>1</v>
      </c>
      <c r="R34" s="712">
        <f t="shared" ca="1" si="15"/>
        <v>17260</v>
      </c>
      <c r="S34" s="2959">
        <f t="shared" ca="1" si="6"/>
        <v>87</v>
      </c>
      <c r="U34" s="793">
        <f>Sheet1!M15</f>
        <v>0</v>
      </c>
    </row>
    <row r="35" spans="1:21">
      <c r="A35" s="2992" t="str">
        <f>Sheet1!F16</f>
        <v>3-312</v>
      </c>
      <c r="B35" s="2992">
        <f>Sheet1!G16</f>
        <v>49.53</v>
      </c>
      <c r="C35" s="11">
        <f t="shared" si="7"/>
        <v>1</v>
      </c>
      <c r="D35" s="2994"/>
      <c r="E35" s="11">
        <f t="shared" si="8"/>
        <v>1</v>
      </c>
      <c r="F35" s="2994"/>
      <c r="G35" s="11">
        <f t="shared" si="9"/>
        <v>1</v>
      </c>
      <c r="H35" s="2994"/>
      <c r="I35" s="11">
        <f t="shared" si="10"/>
        <v>1</v>
      </c>
      <c r="J35" s="2994"/>
      <c r="K35" s="11">
        <f t="shared" si="11"/>
        <v>1</v>
      </c>
      <c r="L35" s="2994"/>
      <c r="M35" s="11">
        <f t="shared" si="12"/>
        <v>1</v>
      </c>
      <c r="N35" s="2994"/>
      <c r="O35" s="11">
        <f t="shared" si="13"/>
        <v>1</v>
      </c>
      <c r="P35" s="2994"/>
      <c r="Q35" s="11">
        <f t="shared" si="14"/>
        <v>1</v>
      </c>
      <c r="R35" s="712">
        <f t="shared" ca="1" si="15"/>
        <v>17260</v>
      </c>
      <c r="S35" s="2959">
        <f t="shared" ca="1" si="6"/>
        <v>85</v>
      </c>
      <c r="U35" s="793">
        <f>Sheet1!M16</f>
        <v>0</v>
      </c>
    </row>
    <row r="36" spans="1:21">
      <c r="A36" s="2992" t="str">
        <f>Sheet1!F17</f>
        <v>3-313</v>
      </c>
      <c r="B36" s="2992">
        <f>Sheet1!G17</f>
        <v>55.7</v>
      </c>
      <c r="C36" s="11">
        <f t="shared" si="7"/>
        <v>1</v>
      </c>
      <c r="D36" s="2994"/>
      <c r="E36" s="11">
        <f t="shared" si="8"/>
        <v>1</v>
      </c>
      <c r="F36" s="2994"/>
      <c r="G36" s="11">
        <f t="shared" si="9"/>
        <v>1</v>
      </c>
      <c r="H36" s="2994"/>
      <c r="I36" s="11">
        <f t="shared" si="10"/>
        <v>1</v>
      </c>
      <c r="J36" s="2994"/>
      <c r="K36" s="11">
        <f t="shared" si="11"/>
        <v>1</v>
      </c>
      <c r="L36" s="2994"/>
      <c r="M36" s="11">
        <f t="shared" si="12"/>
        <v>1</v>
      </c>
      <c r="N36" s="2994"/>
      <c r="O36" s="11">
        <f t="shared" si="13"/>
        <v>1</v>
      </c>
      <c r="P36" s="2994"/>
      <c r="Q36" s="11">
        <f t="shared" si="14"/>
        <v>1</v>
      </c>
      <c r="R36" s="712">
        <f t="shared" ca="1" si="15"/>
        <v>17260</v>
      </c>
      <c r="S36" s="2959">
        <f t="shared" ca="1" si="6"/>
        <v>96</v>
      </c>
      <c r="U36" s="793">
        <f>Sheet1!M17</f>
        <v>0</v>
      </c>
    </row>
    <row r="37" spans="1:21">
      <c r="A37" s="2992" t="str">
        <f>Sheet1!F18</f>
        <v>3-314</v>
      </c>
      <c r="B37" s="2992">
        <f>Sheet1!G18</f>
        <v>60.21</v>
      </c>
      <c r="C37" s="11">
        <f t="shared" si="7"/>
        <v>1</v>
      </c>
      <c r="D37" s="2994"/>
      <c r="E37" s="11">
        <f t="shared" si="8"/>
        <v>1</v>
      </c>
      <c r="F37" s="2994"/>
      <c r="G37" s="11">
        <f t="shared" si="9"/>
        <v>1</v>
      </c>
      <c r="H37" s="2994"/>
      <c r="I37" s="11">
        <f t="shared" si="10"/>
        <v>1</v>
      </c>
      <c r="J37" s="2994"/>
      <c r="K37" s="11">
        <f t="shared" si="11"/>
        <v>1</v>
      </c>
      <c r="L37" s="2994"/>
      <c r="M37" s="11">
        <f t="shared" si="12"/>
        <v>1</v>
      </c>
      <c r="N37" s="2994"/>
      <c r="O37" s="11">
        <f t="shared" si="13"/>
        <v>1</v>
      </c>
      <c r="P37" s="2994"/>
      <c r="Q37" s="11">
        <f t="shared" si="14"/>
        <v>1</v>
      </c>
      <c r="R37" s="712">
        <f t="shared" ca="1" si="15"/>
        <v>17260</v>
      </c>
      <c r="S37" s="2959">
        <f t="shared" ca="1" si="6"/>
        <v>104</v>
      </c>
      <c r="U37" s="793">
        <f>Sheet1!M18</f>
        <v>0</v>
      </c>
    </row>
    <row r="38" spans="1:21">
      <c r="A38" s="2992" t="str">
        <f>Sheet1!F19</f>
        <v>3-315</v>
      </c>
      <c r="B38" s="2992">
        <f>Sheet1!G19</f>
        <v>58.75</v>
      </c>
      <c r="C38" s="11">
        <f t="shared" si="7"/>
        <v>1</v>
      </c>
      <c r="D38" s="2994"/>
      <c r="E38" s="11">
        <f t="shared" si="8"/>
        <v>1</v>
      </c>
      <c r="F38" s="2994"/>
      <c r="G38" s="11">
        <f t="shared" si="9"/>
        <v>1</v>
      </c>
      <c r="H38" s="2994"/>
      <c r="I38" s="11">
        <f t="shared" si="10"/>
        <v>1</v>
      </c>
      <c r="J38" s="2994"/>
      <c r="K38" s="11">
        <f t="shared" si="11"/>
        <v>1</v>
      </c>
      <c r="L38" s="2994"/>
      <c r="M38" s="11">
        <f t="shared" si="12"/>
        <v>1</v>
      </c>
      <c r="N38" s="2994"/>
      <c r="O38" s="11">
        <f t="shared" si="13"/>
        <v>1</v>
      </c>
      <c r="P38" s="2994"/>
      <c r="Q38" s="11">
        <f t="shared" si="14"/>
        <v>1</v>
      </c>
      <c r="R38" s="712">
        <f t="shared" ca="1" si="15"/>
        <v>17260</v>
      </c>
      <c r="S38" s="2959">
        <f t="shared" ca="1" si="6"/>
        <v>101</v>
      </c>
      <c r="U38" s="793">
        <f>Sheet1!M19</f>
        <v>0</v>
      </c>
    </row>
    <row r="39" spans="1:21">
      <c r="A39" s="2992" t="str">
        <f>Sheet1!F20</f>
        <v>3-316</v>
      </c>
      <c r="B39" s="2992">
        <f>Sheet1!G20</f>
        <v>61.88</v>
      </c>
      <c r="C39" s="11">
        <f t="shared" si="7"/>
        <v>1</v>
      </c>
      <c r="D39" s="2994"/>
      <c r="E39" s="11">
        <f t="shared" si="8"/>
        <v>1</v>
      </c>
      <c r="F39" s="2994"/>
      <c r="G39" s="11">
        <f t="shared" si="9"/>
        <v>1</v>
      </c>
      <c r="H39" s="2994"/>
      <c r="I39" s="11">
        <f t="shared" si="10"/>
        <v>1</v>
      </c>
      <c r="J39" s="2994"/>
      <c r="K39" s="11">
        <f t="shared" si="11"/>
        <v>1</v>
      </c>
      <c r="L39" s="2994"/>
      <c r="M39" s="11">
        <f t="shared" si="12"/>
        <v>1</v>
      </c>
      <c r="N39" s="2994"/>
      <c r="O39" s="11">
        <f t="shared" si="13"/>
        <v>1</v>
      </c>
      <c r="P39" s="2994"/>
      <c r="Q39" s="11">
        <f t="shared" si="14"/>
        <v>1</v>
      </c>
      <c r="R39" s="712">
        <f t="shared" ca="1" si="15"/>
        <v>17260</v>
      </c>
      <c r="S39" s="2959">
        <f t="shared" ca="1" si="6"/>
        <v>107</v>
      </c>
      <c r="U39" s="793">
        <f>Sheet1!M20</f>
        <v>0</v>
      </c>
    </row>
    <row r="40" spans="1:21">
      <c r="A40" s="2992" t="str">
        <f>Sheet1!F21</f>
        <v>3-317</v>
      </c>
      <c r="B40" s="2992">
        <f>Sheet1!G21</f>
        <v>61.41</v>
      </c>
      <c r="C40" s="11">
        <f t="shared" si="7"/>
        <v>1</v>
      </c>
      <c r="D40" s="2994"/>
      <c r="E40" s="11">
        <f t="shared" si="8"/>
        <v>1</v>
      </c>
      <c r="F40" s="2994"/>
      <c r="G40" s="11">
        <f t="shared" si="9"/>
        <v>1</v>
      </c>
      <c r="H40" s="2994"/>
      <c r="I40" s="11">
        <f t="shared" si="10"/>
        <v>1</v>
      </c>
      <c r="J40" s="2994"/>
      <c r="K40" s="11">
        <f t="shared" si="11"/>
        <v>1</v>
      </c>
      <c r="L40" s="2994"/>
      <c r="M40" s="11">
        <f t="shared" si="12"/>
        <v>1</v>
      </c>
      <c r="N40" s="2994"/>
      <c r="O40" s="11">
        <f t="shared" si="13"/>
        <v>1</v>
      </c>
      <c r="P40" s="2994"/>
      <c r="Q40" s="11">
        <f t="shared" si="14"/>
        <v>1</v>
      </c>
      <c r="R40" s="712">
        <f t="shared" ca="1" si="15"/>
        <v>17260</v>
      </c>
      <c r="S40" s="2959">
        <f t="shared" ca="1" si="6"/>
        <v>106</v>
      </c>
      <c r="U40" s="793">
        <f>Sheet1!M21</f>
        <v>0</v>
      </c>
    </row>
    <row r="41" spans="1:21">
      <c r="A41" s="2992" t="str">
        <f>Sheet1!F22</f>
        <v>3-318</v>
      </c>
      <c r="B41" s="2992">
        <f>Sheet1!G22</f>
        <v>61.41</v>
      </c>
      <c r="C41" s="11">
        <f t="shared" si="7"/>
        <v>1</v>
      </c>
      <c r="D41" s="2994"/>
      <c r="E41" s="11">
        <f t="shared" si="8"/>
        <v>1</v>
      </c>
      <c r="F41" s="2994"/>
      <c r="G41" s="11">
        <f t="shared" si="9"/>
        <v>1</v>
      </c>
      <c r="H41" s="2994"/>
      <c r="I41" s="11">
        <f t="shared" si="10"/>
        <v>1</v>
      </c>
      <c r="J41" s="2994"/>
      <c r="K41" s="11">
        <f t="shared" si="11"/>
        <v>1</v>
      </c>
      <c r="L41" s="2994"/>
      <c r="M41" s="11">
        <f t="shared" si="12"/>
        <v>1</v>
      </c>
      <c r="N41" s="2994"/>
      <c r="O41" s="11">
        <f t="shared" si="13"/>
        <v>1</v>
      </c>
      <c r="P41" s="2994"/>
      <c r="Q41" s="11">
        <f t="shared" si="14"/>
        <v>1</v>
      </c>
      <c r="R41" s="712">
        <f t="shared" ca="1" si="15"/>
        <v>17260</v>
      </c>
      <c r="S41" s="2959">
        <f t="shared" ca="1" si="6"/>
        <v>106</v>
      </c>
      <c r="U41" s="793">
        <f>Sheet1!M22</f>
        <v>0</v>
      </c>
    </row>
    <row r="42" spans="1:21">
      <c r="A42" s="2992" t="str">
        <f>Sheet1!F23</f>
        <v>3-319</v>
      </c>
      <c r="B42" s="2992">
        <f>Sheet1!G23</f>
        <v>61.41</v>
      </c>
      <c r="C42" s="11">
        <f t="shared" si="7"/>
        <v>1</v>
      </c>
      <c r="D42" s="2994"/>
      <c r="E42" s="11">
        <f t="shared" si="8"/>
        <v>1</v>
      </c>
      <c r="F42" s="2994"/>
      <c r="G42" s="11">
        <f t="shared" si="9"/>
        <v>1</v>
      </c>
      <c r="H42" s="2994"/>
      <c r="I42" s="11">
        <f t="shared" si="10"/>
        <v>1</v>
      </c>
      <c r="J42" s="2994"/>
      <c r="K42" s="11">
        <f t="shared" si="11"/>
        <v>1</v>
      </c>
      <c r="L42" s="2994"/>
      <c r="M42" s="11">
        <f t="shared" si="12"/>
        <v>1</v>
      </c>
      <c r="N42" s="2994"/>
      <c r="O42" s="11">
        <f t="shared" si="13"/>
        <v>1</v>
      </c>
      <c r="P42" s="2994"/>
      <c r="Q42" s="11">
        <f t="shared" si="14"/>
        <v>1</v>
      </c>
      <c r="R42" s="712">
        <f t="shared" ca="1" si="15"/>
        <v>17260</v>
      </c>
      <c r="S42" s="2959">
        <f t="shared" ca="1" si="6"/>
        <v>106</v>
      </c>
      <c r="U42" s="793">
        <f>Sheet1!M23</f>
        <v>0</v>
      </c>
    </row>
    <row r="43" spans="1:21">
      <c r="A43" s="2992" t="str">
        <f>Sheet1!F24</f>
        <v>4-301</v>
      </c>
      <c r="B43" s="2992">
        <f>Sheet1!G24</f>
        <v>65.760000000000005</v>
      </c>
      <c r="C43" s="11">
        <f t="shared" si="7"/>
        <v>1</v>
      </c>
      <c r="D43" s="2994"/>
      <c r="E43" s="11">
        <f t="shared" si="8"/>
        <v>1</v>
      </c>
      <c r="F43" s="2994"/>
      <c r="G43" s="11">
        <f t="shared" si="9"/>
        <v>1</v>
      </c>
      <c r="H43" s="2994"/>
      <c r="I43" s="11">
        <f t="shared" si="10"/>
        <v>1</v>
      </c>
      <c r="J43" s="2994"/>
      <c r="K43" s="11">
        <f t="shared" si="11"/>
        <v>1</v>
      </c>
      <c r="L43" s="2994"/>
      <c r="M43" s="11">
        <f t="shared" si="12"/>
        <v>1</v>
      </c>
      <c r="N43" s="2994"/>
      <c r="O43" s="11">
        <f t="shared" si="13"/>
        <v>1</v>
      </c>
      <c r="P43" s="2994"/>
      <c r="Q43" s="11">
        <f t="shared" si="14"/>
        <v>1</v>
      </c>
      <c r="R43" s="712">
        <f t="shared" ca="1" si="15"/>
        <v>17260</v>
      </c>
      <c r="S43" s="2959">
        <f t="shared" ca="1" si="6"/>
        <v>114</v>
      </c>
      <c r="U43" s="793">
        <f>Sheet1!M24</f>
        <v>0</v>
      </c>
    </row>
    <row r="44" spans="1:21">
      <c r="A44" s="2992" t="str">
        <f>Sheet1!F25</f>
        <v>4-302</v>
      </c>
      <c r="B44" s="2992">
        <f>Sheet1!G25</f>
        <v>59.41</v>
      </c>
      <c r="C44" s="11">
        <f t="shared" si="7"/>
        <v>1</v>
      </c>
      <c r="D44" s="2994"/>
      <c r="E44" s="11">
        <f t="shared" si="8"/>
        <v>1</v>
      </c>
      <c r="F44" s="2994"/>
      <c r="G44" s="11">
        <f t="shared" si="9"/>
        <v>1</v>
      </c>
      <c r="H44" s="2994"/>
      <c r="I44" s="11">
        <f t="shared" si="10"/>
        <v>1</v>
      </c>
      <c r="J44" s="2994"/>
      <c r="K44" s="11">
        <f t="shared" si="11"/>
        <v>1</v>
      </c>
      <c r="L44" s="2994"/>
      <c r="M44" s="11">
        <f t="shared" si="12"/>
        <v>1</v>
      </c>
      <c r="N44" s="2994"/>
      <c r="O44" s="11">
        <f t="shared" si="13"/>
        <v>1</v>
      </c>
      <c r="P44" s="2994"/>
      <c r="Q44" s="11">
        <f t="shared" si="14"/>
        <v>1</v>
      </c>
      <c r="R44" s="712">
        <f t="shared" ca="1" si="15"/>
        <v>17260</v>
      </c>
      <c r="S44" s="2959">
        <f t="shared" ca="1" si="6"/>
        <v>103</v>
      </c>
      <c r="U44" s="793">
        <f>Sheet1!M25</f>
        <v>0</v>
      </c>
    </row>
    <row r="45" spans="1:21">
      <c r="A45" s="2992" t="str">
        <f>Sheet1!F26</f>
        <v>4-303</v>
      </c>
      <c r="B45" s="2992">
        <f>Sheet1!G26</f>
        <v>60.69</v>
      </c>
      <c r="C45" s="11">
        <f t="shared" si="7"/>
        <v>1</v>
      </c>
      <c r="D45" s="2994"/>
      <c r="E45" s="11">
        <f t="shared" si="8"/>
        <v>1</v>
      </c>
      <c r="F45" s="2994"/>
      <c r="G45" s="11">
        <f t="shared" si="9"/>
        <v>1</v>
      </c>
      <c r="H45" s="2994"/>
      <c r="I45" s="11">
        <f t="shared" si="10"/>
        <v>1</v>
      </c>
      <c r="J45" s="2994"/>
      <c r="K45" s="11">
        <f t="shared" si="11"/>
        <v>1</v>
      </c>
      <c r="L45" s="2994"/>
      <c r="M45" s="11">
        <f t="shared" si="12"/>
        <v>1</v>
      </c>
      <c r="N45" s="2994"/>
      <c r="O45" s="11">
        <f t="shared" si="13"/>
        <v>1</v>
      </c>
      <c r="P45" s="2994"/>
      <c r="Q45" s="11">
        <f t="shared" si="14"/>
        <v>1</v>
      </c>
      <c r="R45" s="712">
        <f t="shared" ca="1" si="15"/>
        <v>17260</v>
      </c>
      <c r="S45" s="2959">
        <f t="shared" ca="1" si="6"/>
        <v>105</v>
      </c>
      <c r="U45" s="793">
        <f>Sheet1!M26</f>
        <v>0</v>
      </c>
    </row>
    <row r="46" spans="1:21">
      <c r="A46" s="2992" t="str">
        <f>Sheet1!F27</f>
        <v>4-304</v>
      </c>
      <c r="B46" s="2992">
        <f>Sheet1!G27</f>
        <v>60.69</v>
      </c>
      <c r="C46" s="11">
        <f t="shared" si="7"/>
        <v>1</v>
      </c>
      <c r="D46" s="2994"/>
      <c r="E46" s="11">
        <f t="shared" si="8"/>
        <v>1</v>
      </c>
      <c r="F46" s="2994"/>
      <c r="G46" s="11">
        <f t="shared" si="9"/>
        <v>1</v>
      </c>
      <c r="H46" s="2994"/>
      <c r="I46" s="11">
        <f t="shared" si="10"/>
        <v>1</v>
      </c>
      <c r="J46" s="2994"/>
      <c r="K46" s="11">
        <f t="shared" si="11"/>
        <v>1</v>
      </c>
      <c r="L46" s="2994"/>
      <c r="M46" s="11">
        <f t="shared" si="12"/>
        <v>1</v>
      </c>
      <c r="N46" s="2994"/>
      <c r="O46" s="11">
        <f t="shared" si="13"/>
        <v>1</v>
      </c>
      <c r="P46" s="2994"/>
      <c r="Q46" s="11">
        <f t="shared" si="14"/>
        <v>1</v>
      </c>
      <c r="R46" s="712">
        <f t="shared" ca="1" si="15"/>
        <v>17260</v>
      </c>
      <c r="S46" s="2959">
        <f t="shared" ca="1" si="6"/>
        <v>105</v>
      </c>
      <c r="U46" s="793">
        <f>Sheet1!M27</f>
        <v>0</v>
      </c>
    </row>
    <row r="47" spans="1:21">
      <c r="A47" s="2992" t="str">
        <f>Sheet1!F28</f>
        <v>4-305</v>
      </c>
      <c r="B47" s="2992">
        <f>Sheet1!G28</f>
        <v>60.69</v>
      </c>
      <c r="C47" s="11">
        <f t="shared" si="7"/>
        <v>1</v>
      </c>
      <c r="D47" s="2994"/>
      <c r="E47" s="11">
        <f t="shared" si="8"/>
        <v>1</v>
      </c>
      <c r="F47" s="2994"/>
      <c r="G47" s="11">
        <f t="shared" si="9"/>
        <v>1</v>
      </c>
      <c r="H47" s="2994"/>
      <c r="I47" s="11">
        <f t="shared" si="10"/>
        <v>1</v>
      </c>
      <c r="J47" s="2994"/>
      <c r="K47" s="11">
        <f t="shared" si="11"/>
        <v>1</v>
      </c>
      <c r="L47" s="2994"/>
      <c r="M47" s="11">
        <f t="shared" si="12"/>
        <v>1</v>
      </c>
      <c r="N47" s="2994"/>
      <c r="O47" s="11">
        <f t="shared" si="13"/>
        <v>1</v>
      </c>
      <c r="P47" s="2994"/>
      <c r="Q47" s="11">
        <f t="shared" si="14"/>
        <v>1</v>
      </c>
      <c r="R47" s="712">
        <f t="shared" ca="1" si="15"/>
        <v>17260</v>
      </c>
      <c r="S47" s="2959">
        <f t="shared" ca="1" si="6"/>
        <v>105</v>
      </c>
      <c r="U47" s="793">
        <f>Sheet1!M28</f>
        <v>0</v>
      </c>
    </row>
    <row r="48" spans="1:21">
      <c r="A48" s="2992" t="str">
        <f>Sheet1!F29</f>
        <v>4-306</v>
      </c>
      <c r="B48" s="2992">
        <f>Sheet1!G29</f>
        <v>60.69</v>
      </c>
      <c r="C48" s="11">
        <f t="shared" si="7"/>
        <v>1</v>
      </c>
      <c r="D48" s="2994"/>
      <c r="E48" s="11">
        <f t="shared" si="8"/>
        <v>1</v>
      </c>
      <c r="F48" s="2994"/>
      <c r="G48" s="11">
        <f t="shared" si="9"/>
        <v>1</v>
      </c>
      <c r="H48" s="2994"/>
      <c r="I48" s="11">
        <f t="shared" si="10"/>
        <v>1</v>
      </c>
      <c r="J48" s="2994"/>
      <c r="K48" s="11">
        <f t="shared" si="11"/>
        <v>1</v>
      </c>
      <c r="L48" s="2994"/>
      <c r="M48" s="11">
        <f t="shared" si="12"/>
        <v>1</v>
      </c>
      <c r="N48" s="2994"/>
      <c r="O48" s="11">
        <f t="shared" si="13"/>
        <v>1</v>
      </c>
      <c r="P48" s="2994"/>
      <c r="Q48" s="11">
        <f t="shared" si="14"/>
        <v>1</v>
      </c>
      <c r="R48" s="712">
        <f t="shared" ca="1" si="15"/>
        <v>17260</v>
      </c>
      <c r="S48" s="2959">
        <f t="shared" ca="1" si="6"/>
        <v>105</v>
      </c>
      <c r="U48" s="793">
        <f>Sheet1!M29</f>
        <v>0</v>
      </c>
    </row>
    <row r="49" spans="1:21">
      <c r="A49" s="2992" t="str">
        <f>Sheet1!F30</f>
        <v>4-307</v>
      </c>
      <c r="B49" s="2992">
        <f>Sheet1!G30</f>
        <v>60.69</v>
      </c>
      <c r="C49" s="11">
        <f t="shared" si="7"/>
        <v>1</v>
      </c>
      <c r="D49" s="2994"/>
      <c r="E49" s="11">
        <f t="shared" si="8"/>
        <v>1</v>
      </c>
      <c r="F49" s="2994"/>
      <c r="G49" s="11">
        <f t="shared" si="9"/>
        <v>1</v>
      </c>
      <c r="H49" s="2994"/>
      <c r="I49" s="11">
        <f t="shared" si="10"/>
        <v>1</v>
      </c>
      <c r="J49" s="2994"/>
      <c r="K49" s="11">
        <f t="shared" si="11"/>
        <v>1</v>
      </c>
      <c r="L49" s="2994"/>
      <c r="M49" s="11">
        <f t="shared" si="12"/>
        <v>1</v>
      </c>
      <c r="N49" s="2994"/>
      <c r="O49" s="11">
        <f t="shared" si="13"/>
        <v>1</v>
      </c>
      <c r="P49" s="2994"/>
      <c r="Q49" s="11">
        <f t="shared" si="14"/>
        <v>1</v>
      </c>
      <c r="R49" s="712">
        <f t="shared" ca="1" si="15"/>
        <v>17260</v>
      </c>
      <c r="S49" s="2959">
        <f t="shared" ca="1" si="6"/>
        <v>105</v>
      </c>
      <c r="U49" s="793">
        <f>Sheet1!M30</f>
        <v>0</v>
      </c>
    </row>
    <row r="50" spans="1:21">
      <c r="A50" s="2992" t="str">
        <f>Sheet1!F31</f>
        <v>4-308</v>
      </c>
      <c r="B50" s="2992">
        <f>Sheet1!G31</f>
        <v>60.69</v>
      </c>
      <c r="C50" s="11">
        <f t="shared" si="7"/>
        <v>1</v>
      </c>
      <c r="D50" s="2994"/>
      <c r="E50" s="11">
        <f t="shared" si="8"/>
        <v>1</v>
      </c>
      <c r="F50" s="2994"/>
      <c r="G50" s="11">
        <f t="shared" si="9"/>
        <v>1</v>
      </c>
      <c r="H50" s="2994"/>
      <c r="I50" s="11">
        <f t="shared" si="10"/>
        <v>1</v>
      </c>
      <c r="J50" s="2994"/>
      <c r="K50" s="11">
        <f t="shared" si="11"/>
        <v>1</v>
      </c>
      <c r="L50" s="2994"/>
      <c r="M50" s="11">
        <f t="shared" si="12"/>
        <v>1</v>
      </c>
      <c r="N50" s="2994"/>
      <c r="O50" s="11">
        <f t="shared" si="13"/>
        <v>1</v>
      </c>
      <c r="P50" s="2994"/>
      <c r="Q50" s="11">
        <f t="shared" si="14"/>
        <v>1</v>
      </c>
      <c r="R50" s="712">
        <f t="shared" ca="1" si="15"/>
        <v>17260</v>
      </c>
      <c r="S50" s="2959">
        <f t="shared" ca="1" si="6"/>
        <v>105</v>
      </c>
      <c r="U50" s="793">
        <f>Sheet1!M31</f>
        <v>0</v>
      </c>
    </row>
    <row r="51" spans="1:21">
      <c r="A51" s="2992" t="str">
        <f>Sheet1!F32</f>
        <v>4-309</v>
      </c>
      <c r="B51" s="2992">
        <f>Sheet1!G32</f>
        <v>60.69</v>
      </c>
      <c r="C51" s="11">
        <f t="shared" si="7"/>
        <v>1</v>
      </c>
      <c r="D51" s="2994"/>
      <c r="E51" s="11">
        <f t="shared" si="8"/>
        <v>1</v>
      </c>
      <c r="F51" s="2994"/>
      <c r="G51" s="11">
        <f t="shared" si="9"/>
        <v>1</v>
      </c>
      <c r="H51" s="2994"/>
      <c r="I51" s="11">
        <f t="shared" si="10"/>
        <v>1</v>
      </c>
      <c r="J51" s="2994"/>
      <c r="K51" s="11">
        <f t="shared" si="11"/>
        <v>1</v>
      </c>
      <c r="L51" s="2994"/>
      <c r="M51" s="11">
        <f t="shared" si="12"/>
        <v>1</v>
      </c>
      <c r="N51" s="2994"/>
      <c r="O51" s="11">
        <f t="shared" si="13"/>
        <v>1</v>
      </c>
      <c r="P51" s="2994"/>
      <c r="Q51" s="11">
        <f t="shared" si="14"/>
        <v>1</v>
      </c>
      <c r="R51" s="712">
        <f t="shared" ca="1" si="15"/>
        <v>17260</v>
      </c>
      <c r="S51" s="2959">
        <f t="shared" ca="1" si="6"/>
        <v>105</v>
      </c>
      <c r="U51" s="793">
        <f>Sheet1!M32</f>
        <v>0</v>
      </c>
    </row>
    <row r="52" spans="1:21">
      <c r="A52" s="2992" t="str">
        <f>Sheet1!F33</f>
        <v>4-310</v>
      </c>
      <c r="B52" s="2992">
        <f>Sheet1!G33</f>
        <v>60.69</v>
      </c>
      <c r="C52" s="11">
        <f t="shared" si="7"/>
        <v>1</v>
      </c>
      <c r="D52" s="2994"/>
      <c r="E52" s="11">
        <f t="shared" si="8"/>
        <v>1</v>
      </c>
      <c r="F52" s="2994"/>
      <c r="G52" s="11">
        <f t="shared" si="9"/>
        <v>1</v>
      </c>
      <c r="H52" s="2994"/>
      <c r="I52" s="11">
        <f t="shared" si="10"/>
        <v>1</v>
      </c>
      <c r="J52" s="2994"/>
      <c r="K52" s="11">
        <f t="shared" si="11"/>
        <v>1</v>
      </c>
      <c r="L52" s="2994"/>
      <c r="M52" s="11">
        <f t="shared" si="12"/>
        <v>1</v>
      </c>
      <c r="N52" s="2994"/>
      <c r="O52" s="11">
        <f t="shared" si="13"/>
        <v>1</v>
      </c>
      <c r="P52" s="2994"/>
      <c r="Q52" s="11">
        <f t="shared" si="14"/>
        <v>1</v>
      </c>
      <c r="R52" s="712">
        <f t="shared" ca="1" si="15"/>
        <v>17260</v>
      </c>
      <c r="S52" s="2959">
        <f t="shared" ca="1" si="6"/>
        <v>105</v>
      </c>
      <c r="U52" s="793">
        <f>Sheet1!M33</f>
        <v>0</v>
      </c>
    </row>
    <row r="53" spans="1:21">
      <c r="A53" s="2992" t="str">
        <f>Sheet1!F34</f>
        <v>4-311</v>
      </c>
      <c r="B53" s="2992">
        <f>Sheet1!G34</f>
        <v>60.69</v>
      </c>
      <c r="C53" s="11">
        <f t="shared" si="7"/>
        <v>1</v>
      </c>
      <c r="D53" s="2994"/>
      <c r="E53" s="11">
        <f t="shared" si="8"/>
        <v>1</v>
      </c>
      <c r="F53" s="2994"/>
      <c r="G53" s="11">
        <f t="shared" si="9"/>
        <v>1</v>
      </c>
      <c r="H53" s="2994"/>
      <c r="I53" s="11">
        <f t="shared" si="10"/>
        <v>1</v>
      </c>
      <c r="J53" s="2994"/>
      <c r="K53" s="11">
        <f t="shared" si="11"/>
        <v>1</v>
      </c>
      <c r="L53" s="2994"/>
      <c r="M53" s="11">
        <f t="shared" si="12"/>
        <v>1</v>
      </c>
      <c r="N53" s="2994"/>
      <c r="O53" s="11">
        <f t="shared" si="13"/>
        <v>1</v>
      </c>
      <c r="P53" s="2994"/>
      <c r="Q53" s="11">
        <f t="shared" si="14"/>
        <v>1</v>
      </c>
      <c r="R53" s="712">
        <f t="shared" ca="1" si="15"/>
        <v>17260</v>
      </c>
      <c r="S53" s="2959">
        <f t="shared" ca="1" si="6"/>
        <v>105</v>
      </c>
      <c r="U53" s="793">
        <f>Sheet1!M34</f>
        <v>0</v>
      </c>
    </row>
    <row r="54" spans="1:21">
      <c r="A54" s="2992" t="str">
        <f>Sheet1!F35</f>
        <v>4-312</v>
      </c>
      <c r="B54" s="2992">
        <f>Sheet1!G35</f>
        <v>48.86</v>
      </c>
      <c r="C54" s="11">
        <f t="shared" si="7"/>
        <v>1</v>
      </c>
      <c r="D54" s="2994"/>
      <c r="E54" s="11">
        <f t="shared" si="8"/>
        <v>1</v>
      </c>
      <c r="F54" s="2994"/>
      <c r="G54" s="11">
        <f t="shared" si="9"/>
        <v>1</v>
      </c>
      <c r="H54" s="2994"/>
      <c r="I54" s="11">
        <f t="shared" si="10"/>
        <v>1</v>
      </c>
      <c r="J54" s="2994"/>
      <c r="K54" s="11">
        <f t="shared" si="11"/>
        <v>1</v>
      </c>
      <c r="L54" s="2994"/>
      <c r="M54" s="11">
        <f t="shared" si="12"/>
        <v>1</v>
      </c>
      <c r="N54" s="2994"/>
      <c r="O54" s="11">
        <f t="shared" si="13"/>
        <v>1</v>
      </c>
      <c r="P54" s="2994"/>
      <c r="Q54" s="11">
        <f t="shared" si="14"/>
        <v>1</v>
      </c>
      <c r="R54" s="712">
        <f t="shared" ca="1" si="15"/>
        <v>17260</v>
      </c>
      <c r="S54" s="2959">
        <f t="shared" ca="1" si="6"/>
        <v>84</v>
      </c>
      <c r="U54" s="793">
        <f>Sheet1!M35</f>
        <v>0</v>
      </c>
    </row>
    <row r="55" spans="1:21">
      <c r="A55" s="2992" t="str">
        <f>Sheet1!F36</f>
        <v>4-313</v>
      </c>
      <c r="B55" s="2992">
        <f>Sheet1!G36</f>
        <v>48.86</v>
      </c>
      <c r="C55" s="11">
        <f t="shared" si="7"/>
        <v>1</v>
      </c>
      <c r="D55" s="2994"/>
      <c r="E55" s="11">
        <f t="shared" si="8"/>
        <v>1</v>
      </c>
      <c r="F55" s="2994"/>
      <c r="G55" s="11">
        <f t="shared" si="9"/>
        <v>1</v>
      </c>
      <c r="H55" s="2994"/>
      <c r="I55" s="11">
        <f t="shared" si="10"/>
        <v>1</v>
      </c>
      <c r="J55" s="2994"/>
      <c r="K55" s="11">
        <f t="shared" si="11"/>
        <v>1</v>
      </c>
      <c r="L55" s="2994"/>
      <c r="M55" s="11">
        <f t="shared" si="12"/>
        <v>1</v>
      </c>
      <c r="N55" s="2994"/>
      <c r="O55" s="11">
        <f t="shared" si="13"/>
        <v>1</v>
      </c>
      <c r="P55" s="2994"/>
      <c r="Q55" s="11">
        <f t="shared" si="14"/>
        <v>1</v>
      </c>
      <c r="R55" s="712">
        <f t="shared" ca="1" si="15"/>
        <v>17260</v>
      </c>
      <c r="S55" s="2959">
        <f t="shared" ref="S55:S77" ca="1" si="16">ROUND(R55*B55/10000,0)</f>
        <v>84</v>
      </c>
      <c r="U55" s="793">
        <f>Sheet1!M36</f>
        <v>0</v>
      </c>
    </row>
    <row r="56" spans="1:21">
      <c r="A56" s="2992" t="str">
        <f>Sheet1!F37</f>
        <v>4-314</v>
      </c>
      <c r="B56" s="2992">
        <f>Sheet1!G37</f>
        <v>48.86</v>
      </c>
      <c r="C56" s="11">
        <f t="shared" si="7"/>
        <v>1</v>
      </c>
      <c r="D56" s="2994"/>
      <c r="E56" s="11">
        <f t="shared" si="8"/>
        <v>1</v>
      </c>
      <c r="F56" s="2994"/>
      <c r="G56" s="11">
        <f t="shared" si="9"/>
        <v>1</v>
      </c>
      <c r="H56" s="2994"/>
      <c r="I56" s="11">
        <f t="shared" si="10"/>
        <v>1</v>
      </c>
      <c r="J56" s="2994"/>
      <c r="K56" s="11">
        <f t="shared" si="11"/>
        <v>1</v>
      </c>
      <c r="L56" s="2994"/>
      <c r="M56" s="11">
        <f t="shared" si="12"/>
        <v>1</v>
      </c>
      <c r="N56" s="2994"/>
      <c r="O56" s="11">
        <f t="shared" si="13"/>
        <v>1</v>
      </c>
      <c r="P56" s="2994"/>
      <c r="Q56" s="11">
        <f t="shared" si="14"/>
        <v>1</v>
      </c>
      <c r="R56" s="712">
        <f t="shared" ca="1" si="15"/>
        <v>17260</v>
      </c>
      <c r="S56" s="2959">
        <f t="shared" ca="1" si="16"/>
        <v>84</v>
      </c>
      <c r="U56" s="793">
        <f>Sheet1!M37</f>
        <v>0</v>
      </c>
    </row>
    <row r="57" spans="1:21">
      <c r="A57" s="2992" t="str">
        <f>Sheet1!F38</f>
        <v>4-315</v>
      </c>
      <c r="B57" s="2992">
        <f>Sheet1!G38</f>
        <v>54.87</v>
      </c>
      <c r="C57" s="11">
        <f t="shared" si="7"/>
        <v>1</v>
      </c>
      <c r="D57" s="2994"/>
      <c r="E57" s="11">
        <f t="shared" si="8"/>
        <v>1</v>
      </c>
      <c r="F57" s="2994"/>
      <c r="G57" s="11">
        <f t="shared" si="9"/>
        <v>1</v>
      </c>
      <c r="H57" s="2994"/>
      <c r="I57" s="11">
        <f t="shared" si="10"/>
        <v>1</v>
      </c>
      <c r="J57" s="2994"/>
      <c r="K57" s="11">
        <f t="shared" si="11"/>
        <v>1</v>
      </c>
      <c r="L57" s="2994"/>
      <c r="M57" s="11">
        <f t="shared" si="12"/>
        <v>1</v>
      </c>
      <c r="N57" s="2994"/>
      <c r="O57" s="11">
        <f t="shared" si="13"/>
        <v>1</v>
      </c>
      <c r="P57" s="2994"/>
      <c r="Q57" s="11">
        <f t="shared" si="14"/>
        <v>1</v>
      </c>
      <c r="R57" s="712">
        <f t="shared" ca="1" si="15"/>
        <v>17260</v>
      </c>
      <c r="S57" s="2959">
        <f t="shared" ca="1" si="16"/>
        <v>95</v>
      </c>
      <c r="U57" s="793">
        <f>Sheet1!M38</f>
        <v>0</v>
      </c>
    </row>
    <row r="58" spans="1:21">
      <c r="A58" s="2992" t="str">
        <f>Sheet1!F39</f>
        <v>4-316</v>
      </c>
      <c r="B58" s="2992">
        <f>Sheet1!G39</f>
        <v>88.13</v>
      </c>
      <c r="C58" s="11">
        <f t="shared" si="7"/>
        <v>1</v>
      </c>
      <c r="D58" s="2994"/>
      <c r="E58" s="11">
        <f t="shared" si="8"/>
        <v>1</v>
      </c>
      <c r="F58" s="2994"/>
      <c r="G58" s="11">
        <f t="shared" si="9"/>
        <v>1</v>
      </c>
      <c r="H58" s="2994"/>
      <c r="I58" s="11">
        <f t="shared" si="10"/>
        <v>1</v>
      </c>
      <c r="J58" s="2994"/>
      <c r="K58" s="11">
        <f t="shared" si="11"/>
        <v>1</v>
      </c>
      <c r="L58" s="2994"/>
      <c r="M58" s="11">
        <f t="shared" si="12"/>
        <v>1</v>
      </c>
      <c r="N58" s="2994"/>
      <c r="O58" s="11">
        <f t="shared" si="13"/>
        <v>1</v>
      </c>
      <c r="P58" s="2994"/>
      <c r="Q58" s="11">
        <f t="shared" si="14"/>
        <v>1</v>
      </c>
      <c r="R58" s="712">
        <f t="shared" ca="1" si="15"/>
        <v>17260</v>
      </c>
      <c r="S58" s="2959">
        <f t="shared" ca="1" si="16"/>
        <v>152</v>
      </c>
      <c r="U58" s="793">
        <f>Sheet1!M39</f>
        <v>0</v>
      </c>
    </row>
    <row r="59" spans="1:21">
      <c r="A59" s="2992" t="str">
        <f>Sheet1!F40</f>
        <v>4-317</v>
      </c>
      <c r="B59" s="2992">
        <f>Sheet1!G40</f>
        <v>5.81</v>
      </c>
      <c r="C59" s="11">
        <f t="shared" si="7"/>
        <v>1</v>
      </c>
      <c r="D59" s="2994"/>
      <c r="E59" s="11">
        <f t="shared" si="8"/>
        <v>1</v>
      </c>
      <c r="F59" s="2994"/>
      <c r="G59" s="11">
        <f t="shared" si="9"/>
        <v>1</v>
      </c>
      <c r="H59" s="2994"/>
      <c r="I59" s="11">
        <f t="shared" si="10"/>
        <v>1</v>
      </c>
      <c r="J59" s="2994"/>
      <c r="K59" s="11">
        <f t="shared" si="11"/>
        <v>1</v>
      </c>
      <c r="L59" s="2994"/>
      <c r="M59" s="11">
        <f t="shared" si="12"/>
        <v>1</v>
      </c>
      <c r="N59" s="2994"/>
      <c r="O59" s="11">
        <f t="shared" si="13"/>
        <v>1</v>
      </c>
      <c r="P59" s="2994"/>
      <c r="Q59" s="11">
        <f t="shared" si="14"/>
        <v>1</v>
      </c>
      <c r="R59" s="712">
        <f t="shared" ca="1" si="15"/>
        <v>17260</v>
      </c>
      <c r="S59" s="2959">
        <f t="shared" ca="1" si="16"/>
        <v>10</v>
      </c>
      <c r="U59" s="793">
        <f>Sheet1!M40</f>
        <v>0</v>
      </c>
    </row>
    <row r="60" spans="1:21">
      <c r="A60" s="2992">
        <f>Sheet1!F41</f>
        <v>402</v>
      </c>
      <c r="B60" s="2992">
        <f>Sheet1!G41</f>
        <v>434.15</v>
      </c>
      <c r="C60" s="11">
        <f t="shared" si="7"/>
        <v>0.96</v>
      </c>
      <c r="D60" s="2994"/>
      <c r="E60" s="11">
        <f t="shared" si="8"/>
        <v>1</v>
      </c>
      <c r="F60" s="2994"/>
      <c r="G60" s="11">
        <f t="shared" si="9"/>
        <v>1</v>
      </c>
      <c r="H60" s="2994"/>
      <c r="I60" s="11">
        <f t="shared" si="10"/>
        <v>1</v>
      </c>
      <c r="J60" s="2994"/>
      <c r="K60" s="11">
        <f t="shared" si="11"/>
        <v>1</v>
      </c>
      <c r="L60" s="2994"/>
      <c r="M60" s="11">
        <f t="shared" si="12"/>
        <v>1</v>
      </c>
      <c r="N60" s="2994"/>
      <c r="O60" s="11">
        <f t="shared" si="13"/>
        <v>1</v>
      </c>
      <c r="P60" s="2994"/>
      <c r="Q60" s="11">
        <f t="shared" si="14"/>
        <v>1</v>
      </c>
      <c r="R60" s="712">
        <f t="shared" ca="1" si="15"/>
        <v>16570</v>
      </c>
      <c r="S60" s="2959">
        <f t="shared" ca="1" si="16"/>
        <v>719</v>
      </c>
      <c r="U60" s="793">
        <f>Sheet1!M41</f>
        <v>0</v>
      </c>
    </row>
    <row r="61" spans="1:21">
      <c r="A61" s="2992" t="str">
        <f>Sheet1!F42</f>
        <v>3-401</v>
      </c>
      <c r="B61" s="2992">
        <f>Sheet1!G42</f>
        <v>49.61</v>
      </c>
      <c r="C61" s="11">
        <f t="shared" si="7"/>
        <v>1</v>
      </c>
      <c r="D61" s="2994"/>
      <c r="E61" s="11">
        <f t="shared" si="8"/>
        <v>1</v>
      </c>
      <c r="F61" s="2994"/>
      <c r="G61" s="11">
        <f t="shared" si="9"/>
        <v>1</v>
      </c>
      <c r="H61" s="2994"/>
      <c r="I61" s="11">
        <f t="shared" si="10"/>
        <v>1</v>
      </c>
      <c r="J61" s="2994"/>
      <c r="K61" s="11">
        <f t="shared" si="11"/>
        <v>1</v>
      </c>
      <c r="L61" s="2994"/>
      <c r="M61" s="11">
        <f t="shared" si="12"/>
        <v>1</v>
      </c>
      <c r="N61" s="2994"/>
      <c r="O61" s="11">
        <f t="shared" si="13"/>
        <v>1</v>
      </c>
      <c r="P61" s="2994"/>
      <c r="Q61" s="11">
        <f t="shared" si="14"/>
        <v>1</v>
      </c>
      <c r="R61" s="712">
        <f t="shared" ca="1" si="15"/>
        <v>17260</v>
      </c>
      <c r="S61" s="2959">
        <f t="shared" ca="1" si="16"/>
        <v>86</v>
      </c>
      <c r="U61" s="793">
        <f>Sheet1!M42</f>
        <v>0</v>
      </c>
    </row>
    <row r="62" spans="1:21">
      <c r="A62" s="2992" t="str">
        <f>Sheet1!F43</f>
        <v>3-402</v>
      </c>
      <c r="B62" s="2992">
        <f>Sheet1!G43</f>
        <v>50.63</v>
      </c>
      <c r="C62" s="11">
        <f t="shared" si="7"/>
        <v>1</v>
      </c>
      <c r="D62" s="2994"/>
      <c r="E62" s="11">
        <f t="shared" si="8"/>
        <v>1</v>
      </c>
      <c r="F62" s="2994"/>
      <c r="G62" s="11">
        <f t="shared" si="9"/>
        <v>1</v>
      </c>
      <c r="H62" s="2994"/>
      <c r="I62" s="11">
        <f t="shared" si="10"/>
        <v>1</v>
      </c>
      <c r="J62" s="2994"/>
      <c r="K62" s="11">
        <f t="shared" si="11"/>
        <v>1</v>
      </c>
      <c r="L62" s="2994"/>
      <c r="M62" s="11">
        <f t="shared" si="12"/>
        <v>1</v>
      </c>
      <c r="N62" s="2994"/>
      <c r="O62" s="11">
        <f t="shared" si="13"/>
        <v>1</v>
      </c>
      <c r="P62" s="2994"/>
      <c r="Q62" s="11">
        <f t="shared" si="14"/>
        <v>1</v>
      </c>
      <c r="R62" s="712">
        <f t="shared" ca="1" si="15"/>
        <v>17260</v>
      </c>
      <c r="S62" s="2959">
        <f t="shared" ca="1" si="16"/>
        <v>87</v>
      </c>
      <c r="U62" s="793">
        <f>Sheet1!M43</f>
        <v>0</v>
      </c>
    </row>
    <row r="63" spans="1:21">
      <c r="A63" s="2992" t="str">
        <f>Sheet1!F44</f>
        <v>3-403</v>
      </c>
      <c r="B63" s="2992">
        <f>Sheet1!G44</f>
        <v>50.63</v>
      </c>
      <c r="C63" s="11">
        <f t="shared" si="7"/>
        <v>1</v>
      </c>
      <c r="D63" s="2994"/>
      <c r="E63" s="11">
        <f t="shared" si="8"/>
        <v>1</v>
      </c>
      <c r="F63" s="2994"/>
      <c r="G63" s="11">
        <f t="shared" si="9"/>
        <v>1</v>
      </c>
      <c r="H63" s="2994"/>
      <c r="I63" s="11">
        <f t="shared" si="10"/>
        <v>1</v>
      </c>
      <c r="J63" s="2994"/>
      <c r="K63" s="11">
        <f t="shared" si="11"/>
        <v>1</v>
      </c>
      <c r="L63" s="2994"/>
      <c r="M63" s="11">
        <f t="shared" si="12"/>
        <v>1</v>
      </c>
      <c r="N63" s="2994"/>
      <c r="O63" s="11">
        <f t="shared" si="13"/>
        <v>1</v>
      </c>
      <c r="P63" s="2994"/>
      <c r="Q63" s="11">
        <f t="shared" si="14"/>
        <v>1</v>
      </c>
      <c r="R63" s="712">
        <f t="shared" ca="1" si="15"/>
        <v>17260</v>
      </c>
      <c r="S63" s="2959">
        <f t="shared" ca="1" si="16"/>
        <v>87</v>
      </c>
      <c r="U63" s="793">
        <f>Sheet1!M44</f>
        <v>0</v>
      </c>
    </row>
    <row r="64" spans="1:21">
      <c r="A64" s="2992" t="str">
        <f>Sheet1!F45</f>
        <v>3-404</v>
      </c>
      <c r="B64" s="2992">
        <f>Sheet1!G45</f>
        <v>50.63</v>
      </c>
      <c r="C64" s="11">
        <f t="shared" si="7"/>
        <v>1</v>
      </c>
      <c r="D64" s="2994"/>
      <c r="E64" s="11">
        <f t="shared" si="8"/>
        <v>1</v>
      </c>
      <c r="F64" s="2994"/>
      <c r="G64" s="11">
        <f t="shared" si="9"/>
        <v>1</v>
      </c>
      <c r="H64" s="2994"/>
      <c r="I64" s="11">
        <f t="shared" si="10"/>
        <v>1</v>
      </c>
      <c r="J64" s="2994"/>
      <c r="K64" s="11">
        <f t="shared" si="11"/>
        <v>1</v>
      </c>
      <c r="L64" s="2994"/>
      <c r="M64" s="11">
        <f t="shared" si="12"/>
        <v>1</v>
      </c>
      <c r="N64" s="2994"/>
      <c r="O64" s="11">
        <f t="shared" si="13"/>
        <v>1</v>
      </c>
      <c r="P64" s="2994"/>
      <c r="Q64" s="11">
        <f t="shared" si="14"/>
        <v>1</v>
      </c>
      <c r="R64" s="712">
        <f t="shared" ca="1" si="15"/>
        <v>17260</v>
      </c>
      <c r="S64" s="2959">
        <f t="shared" ca="1" si="16"/>
        <v>87</v>
      </c>
      <c r="U64" s="793">
        <f>Sheet1!M45</f>
        <v>0</v>
      </c>
    </row>
    <row r="65" spans="1:21">
      <c r="A65" s="2992" t="str">
        <f>Sheet1!F46</f>
        <v>3-405</v>
      </c>
      <c r="B65" s="2992">
        <f>Sheet1!G46</f>
        <v>50.63</v>
      </c>
      <c r="C65" s="11">
        <f t="shared" si="7"/>
        <v>1</v>
      </c>
      <c r="D65" s="2994"/>
      <c r="E65" s="11">
        <f t="shared" si="8"/>
        <v>1</v>
      </c>
      <c r="F65" s="2994"/>
      <c r="G65" s="11">
        <f t="shared" si="9"/>
        <v>1</v>
      </c>
      <c r="H65" s="2994"/>
      <c r="I65" s="11">
        <f t="shared" si="10"/>
        <v>1</v>
      </c>
      <c r="J65" s="2994"/>
      <c r="K65" s="11">
        <f t="shared" si="11"/>
        <v>1</v>
      </c>
      <c r="L65" s="2994"/>
      <c r="M65" s="11">
        <f t="shared" si="12"/>
        <v>1</v>
      </c>
      <c r="N65" s="2994"/>
      <c r="O65" s="11">
        <f t="shared" si="13"/>
        <v>1</v>
      </c>
      <c r="P65" s="2994"/>
      <c r="Q65" s="11">
        <f t="shared" si="14"/>
        <v>1</v>
      </c>
      <c r="R65" s="712">
        <f t="shared" ca="1" si="15"/>
        <v>17260</v>
      </c>
      <c r="S65" s="2959">
        <f t="shared" ca="1" si="16"/>
        <v>87</v>
      </c>
      <c r="U65" s="793">
        <f>Sheet1!M46</f>
        <v>0</v>
      </c>
    </row>
    <row r="66" spans="1:21">
      <c r="A66" s="2992" t="str">
        <f>Sheet1!F47</f>
        <v>3-406</v>
      </c>
      <c r="B66" s="2992">
        <f>Sheet1!G47</f>
        <v>50.63</v>
      </c>
      <c r="C66" s="11">
        <f t="shared" si="7"/>
        <v>1</v>
      </c>
      <c r="D66" s="2994"/>
      <c r="E66" s="11">
        <f t="shared" si="8"/>
        <v>1</v>
      </c>
      <c r="F66" s="2994"/>
      <c r="G66" s="11">
        <f t="shared" si="9"/>
        <v>1</v>
      </c>
      <c r="H66" s="2994"/>
      <c r="I66" s="11">
        <f t="shared" si="10"/>
        <v>1</v>
      </c>
      <c r="J66" s="2994"/>
      <c r="K66" s="11">
        <f t="shared" si="11"/>
        <v>1</v>
      </c>
      <c r="L66" s="2994"/>
      <c r="M66" s="11">
        <f t="shared" si="12"/>
        <v>1</v>
      </c>
      <c r="N66" s="2994"/>
      <c r="O66" s="11">
        <f t="shared" si="13"/>
        <v>1</v>
      </c>
      <c r="P66" s="2994"/>
      <c r="Q66" s="11">
        <f t="shared" si="14"/>
        <v>1</v>
      </c>
      <c r="R66" s="712">
        <f t="shared" ca="1" si="15"/>
        <v>17260</v>
      </c>
      <c r="S66" s="2959">
        <f t="shared" ca="1" si="16"/>
        <v>87</v>
      </c>
      <c r="U66" s="793">
        <f>Sheet1!M47</f>
        <v>0</v>
      </c>
    </row>
    <row r="67" spans="1:21">
      <c r="A67" s="2992" t="str">
        <f>Sheet1!F48</f>
        <v>3-407</v>
      </c>
      <c r="B67" s="2992">
        <f>Sheet1!G48</f>
        <v>50.63</v>
      </c>
      <c r="C67" s="11">
        <f t="shared" si="7"/>
        <v>1</v>
      </c>
      <c r="D67" s="2994"/>
      <c r="E67" s="11">
        <f t="shared" si="8"/>
        <v>1</v>
      </c>
      <c r="F67" s="2994"/>
      <c r="G67" s="11">
        <f t="shared" si="9"/>
        <v>1</v>
      </c>
      <c r="H67" s="2994"/>
      <c r="I67" s="11">
        <f t="shared" si="10"/>
        <v>1</v>
      </c>
      <c r="J67" s="2994"/>
      <c r="K67" s="11">
        <f t="shared" si="11"/>
        <v>1</v>
      </c>
      <c r="L67" s="2994"/>
      <c r="M67" s="11">
        <f t="shared" si="12"/>
        <v>1</v>
      </c>
      <c r="N67" s="2994"/>
      <c r="O67" s="11">
        <f t="shared" si="13"/>
        <v>1</v>
      </c>
      <c r="P67" s="2994"/>
      <c r="Q67" s="11">
        <f t="shared" si="14"/>
        <v>1</v>
      </c>
      <c r="R67" s="712">
        <f t="shared" ca="1" si="15"/>
        <v>17260</v>
      </c>
      <c r="S67" s="2959">
        <f t="shared" ca="1" si="16"/>
        <v>87</v>
      </c>
      <c r="U67" s="793">
        <f>Sheet1!M48</f>
        <v>0</v>
      </c>
    </row>
    <row r="68" spans="1:21">
      <c r="A68" s="2992" t="str">
        <f>Sheet1!F49</f>
        <v>3-408</v>
      </c>
      <c r="B68" s="2992">
        <f>Sheet1!G49</f>
        <v>50.63</v>
      </c>
      <c r="C68" s="11">
        <f t="shared" si="7"/>
        <v>1</v>
      </c>
      <c r="D68" s="2994"/>
      <c r="E68" s="11">
        <f t="shared" si="8"/>
        <v>1</v>
      </c>
      <c r="F68" s="2994"/>
      <c r="G68" s="11">
        <f t="shared" si="9"/>
        <v>1</v>
      </c>
      <c r="H68" s="2994"/>
      <c r="I68" s="11">
        <f t="shared" si="10"/>
        <v>1</v>
      </c>
      <c r="J68" s="2994"/>
      <c r="K68" s="11">
        <f t="shared" si="11"/>
        <v>1</v>
      </c>
      <c r="L68" s="2994"/>
      <c r="M68" s="11">
        <f t="shared" si="12"/>
        <v>1</v>
      </c>
      <c r="N68" s="2994"/>
      <c r="O68" s="11">
        <f t="shared" si="13"/>
        <v>1</v>
      </c>
      <c r="P68" s="2994"/>
      <c r="Q68" s="11">
        <f t="shared" si="14"/>
        <v>1</v>
      </c>
      <c r="R68" s="712">
        <f t="shared" ca="1" si="15"/>
        <v>17260</v>
      </c>
      <c r="S68" s="2959">
        <f t="shared" ca="1" si="16"/>
        <v>87</v>
      </c>
      <c r="U68" s="793">
        <f>Sheet1!M49</f>
        <v>0</v>
      </c>
    </row>
    <row r="69" spans="1:21">
      <c r="A69" s="2992" t="str">
        <f>Sheet1!F50</f>
        <v>3-409</v>
      </c>
      <c r="B69" s="2992">
        <f>Sheet1!G50</f>
        <v>50.63</v>
      </c>
      <c r="C69" s="11">
        <f t="shared" si="7"/>
        <v>1</v>
      </c>
      <c r="D69" s="2994"/>
      <c r="E69" s="11">
        <f t="shared" si="8"/>
        <v>1</v>
      </c>
      <c r="F69" s="2994"/>
      <c r="G69" s="11">
        <f t="shared" si="9"/>
        <v>1</v>
      </c>
      <c r="H69" s="2994"/>
      <c r="I69" s="11">
        <f t="shared" si="10"/>
        <v>1</v>
      </c>
      <c r="J69" s="2994"/>
      <c r="K69" s="11">
        <f t="shared" si="11"/>
        <v>1</v>
      </c>
      <c r="L69" s="2994"/>
      <c r="M69" s="11">
        <f t="shared" si="12"/>
        <v>1</v>
      </c>
      <c r="N69" s="2994"/>
      <c r="O69" s="11">
        <f t="shared" si="13"/>
        <v>1</v>
      </c>
      <c r="P69" s="2994"/>
      <c r="Q69" s="11">
        <f t="shared" si="14"/>
        <v>1</v>
      </c>
      <c r="R69" s="712">
        <f t="shared" ca="1" si="15"/>
        <v>17260</v>
      </c>
      <c r="S69" s="2959">
        <f t="shared" ca="1" si="16"/>
        <v>87</v>
      </c>
      <c r="U69" s="793">
        <f>Sheet1!M50</f>
        <v>0</v>
      </c>
    </row>
    <row r="70" spans="1:21">
      <c r="A70" s="2992" t="str">
        <f>Sheet1!F51</f>
        <v>3-410</v>
      </c>
      <c r="B70" s="2992">
        <f>Sheet1!G51</f>
        <v>50.63</v>
      </c>
      <c r="C70" s="11">
        <f t="shared" si="7"/>
        <v>1</v>
      </c>
      <c r="D70" s="2994"/>
      <c r="E70" s="11">
        <f t="shared" si="8"/>
        <v>1</v>
      </c>
      <c r="F70" s="2994"/>
      <c r="G70" s="11">
        <f t="shared" si="9"/>
        <v>1</v>
      </c>
      <c r="H70" s="2994"/>
      <c r="I70" s="11">
        <f t="shared" si="10"/>
        <v>1</v>
      </c>
      <c r="J70" s="2994"/>
      <c r="K70" s="11">
        <f t="shared" si="11"/>
        <v>1</v>
      </c>
      <c r="L70" s="2994"/>
      <c r="M70" s="11">
        <f t="shared" si="12"/>
        <v>1</v>
      </c>
      <c r="N70" s="2994"/>
      <c r="O70" s="11">
        <f t="shared" si="13"/>
        <v>1</v>
      </c>
      <c r="P70" s="2994"/>
      <c r="Q70" s="11">
        <f t="shared" si="14"/>
        <v>1</v>
      </c>
      <c r="R70" s="712">
        <f t="shared" ca="1" si="15"/>
        <v>17260</v>
      </c>
      <c r="S70" s="2959">
        <f t="shared" ca="1" si="16"/>
        <v>87</v>
      </c>
      <c r="U70" s="793">
        <f>Sheet1!M51</f>
        <v>0</v>
      </c>
    </row>
    <row r="71" spans="1:21">
      <c r="A71" s="2992" t="str">
        <f>Sheet1!F52</f>
        <v>3-411</v>
      </c>
      <c r="B71" s="2992">
        <f>Sheet1!G52</f>
        <v>50.63</v>
      </c>
      <c r="C71" s="11">
        <f t="shared" si="7"/>
        <v>1</v>
      </c>
      <c r="D71" s="2994"/>
      <c r="E71" s="11">
        <f t="shared" si="8"/>
        <v>1</v>
      </c>
      <c r="F71" s="2994"/>
      <c r="G71" s="11">
        <f t="shared" si="9"/>
        <v>1</v>
      </c>
      <c r="H71" s="2994"/>
      <c r="I71" s="11">
        <f t="shared" si="10"/>
        <v>1</v>
      </c>
      <c r="J71" s="2994"/>
      <c r="K71" s="11">
        <f t="shared" si="11"/>
        <v>1</v>
      </c>
      <c r="L71" s="2994"/>
      <c r="M71" s="11">
        <f t="shared" si="12"/>
        <v>1</v>
      </c>
      <c r="N71" s="2994"/>
      <c r="O71" s="11">
        <f t="shared" si="13"/>
        <v>1</v>
      </c>
      <c r="P71" s="2994"/>
      <c r="Q71" s="11">
        <f t="shared" si="14"/>
        <v>1</v>
      </c>
      <c r="R71" s="712">
        <f t="shared" ca="1" si="15"/>
        <v>17260</v>
      </c>
      <c r="S71" s="2959">
        <f t="shared" ca="1" si="16"/>
        <v>87</v>
      </c>
      <c r="U71" s="793">
        <f>Sheet1!M52</f>
        <v>0</v>
      </c>
    </row>
    <row r="72" spans="1:21">
      <c r="A72" s="2992" t="str">
        <f>Sheet1!F53</f>
        <v>3-412</v>
      </c>
      <c r="B72" s="2992">
        <f>Sheet1!G53</f>
        <v>49.53</v>
      </c>
      <c r="C72" s="11">
        <f t="shared" si="7"/>
        <v>1</v>
      </c>
      <c r="D72" s="2994"/>
      <c r="E72" s="11">
        <f t="shared" si="8"/>
        <v>1</v>
      </c>
      <c r="F72" s="2994"/>
      <c r="G72" s="11">
        <f t="shared" si="9"/>
        <v>1</v>
      </c>
      <c r="H72" s="2994"/>
      <c r="I72" s="11">
        <f t="shared" si="10"/>
        <v>1</v>
      </c>
      <c r="J72" s="2994"/>
      <c r="K72" s="11">
        <f t="shared" si="11"/>
        <v>1</v>
      </c>
      <c r="L72" s="2994"/>
      <c r="M72" s="11">
        <f t="shared" si="12"/>
        <v>1</v>
      </c>
      <c r="N72" s="2994"/>
      <c r="O72" s="11">
        <f t="shared" si="13"/>
        <v>1</v>
      </c>
      <c r="P72" s="2994"/>
      <c r="Q72" s="11">
        <f t="shared" si="14"/>
        <v>1</v>
      </c>
      <c r="R72" s="712">
        <f t="shared" ca="1" si="15"/>
        <v>17260</v>
      </c>
      <c r="S72" s="2959">
        <f t="shared" ca="1" si="16"/>
        <v>85</v>
      </c>
      <c r="U72" s="793">
        <f>Sheet1!M53</f>
        <v>0</v>
      </c>
    </row>
    <row r="73" spans="1:21">
      <c r="A73" s="2992" t="str">
        <f>Sheet1!F54</f>
        <v>3-413</v>
      </c>
      <c r="B73" s="2992">
        <f>Sheet1!G54</f>
        <v>55.7</v>
      </c>
      <c r="C73" s="11">
        <f t="shared" si="7"/>
        <v>1</v>
      </c>
      <c r="D73" s="2994"/>
      <c r="E73" s="11">
        <f t="shared" si="8"/>
        <v>1</v>
      </c>
      <c r="F73" s="2994"/>
      <c r="G73" s="11">
        <f t="shared" si="9"/>
        <v>1</v>
      </c>
      <c r="H73" s="2994"/>
      <c r="I73" s="11">
        <f t="shared" si="10"/>
        <v>1</v>
      </c>
      <c r="J73" s="2994"/>
      <c r="K73" s="11">
        <f t="shared" si="11"/>
        <v>1</v>
      </c>
      <c r="L73" s="2994"/>
      <c r="M73" s="11">
        <f t="shared" si="12"/>
        <v>1</v>
      </c>
      <c r="N73" s="2994"/>
      <c r="O73" s="11">
        <f t="shared" si="13"/>
        <v>1</v>
      </c>
      <c r="P73" s="2994"/>
      <c r="Q73" s="11">
        <f t="shared" si="14"/>
        <v>1</v>
      </c>
      <c r="R73" s="712">
        <f t="shared" ca="1" si="15"/>
        <v>17260</v>
      </c>
      <c r="S73" s="2959">
        <f t="shared" ca="1" si="16"/>
        <v>96</v>
      </c>
      <c r="U73" s="793">
        <f>Sheet1!M54</f>
        <v>0</v>
      </c>
    </row>
    <row r="74" spans="1:21">
      <c r="A74" s="2992" t="str">
        <f>Sheet1!F55</f>
        <v>3-414</v>
      </c>
      <c r="B74" s="2992">
        <f>Sheet1!G55</f>
        <v>60.21</v>
      </c>
      <c r="C74" s="11">
        <f t="shared" si="7"/>
        <v>1</v>
      </c>
      <c r="D74" s="2994"/>
      <c r="E74" s="11">
        <f t="shared" si="8"/>
        <v>1</v>
      </c>
      <c r="F74" s="2994"/>
      <c r="G74" s="11">
        <f t="shared" si="9"/>
        <v>1</v>
      </c>
      <c r="H74" s="2994"/>
      <c r="I74" s="11">
        <f t="shared" si="10"/>
        <v>1</v>
      </c>
      <c r="J74" s="2994"/>
      <c r="K74" s="11">
        <f t="shared" si="11"/>
        <v>1</v>
      </c>
      <c r="L74" s="2994"/>
      <c r="M74" s="11">
        <f t="shared" si="12"/>
        <v>1</v>
      </c>
      <c r="N74" s="2994"/>
      <c r="O74" s="11">
        <f t="shared" si="13"/>
        <v>1</v>
      </c>
      <c r="P74" s="2994"/>
      <c r="Q74" s="11">
        <f t="shared" si="14"/>
        <v>1</v>
      </c>
      <c r="R74" s="712">
        <f t="shared" ca="1" si="15"/>
        <v>17260</v>
      </c>
      <c r="S74" s="2959">
        <f t="shared" ca="1" si="16"/>
        <v>104</v>
      </c>
      <c r="U74" s="793">
        <f>Sheet1!M55</f>
        <v>0</v>
      </c>
    </row>
    <row r="75" spans="1:21">
      <c r="A75" s="2992" t="str">
        <f>Sheet1!F56</f>
        <v>3-415</v>
      </c>
      <c r="B75" s="2992">
        <f>Sheet1!G56</f>
        <v>58.75</v>
      </c>
      <c r="C75" s="11">
        <f t="shared" si="7"/>
        <v>1</v>
      </c>
      <c r="D75" s="2994"/>
      <c r="E75" s="11">
        <f t="shared" si="8"/>
        <v>1</v>
      </c>
      <c r="F75" s="2994"/>
      <c r="G75" s="11">
        <f t="shared" si="9"/>
        <v>1</v>
      </c>
      <c r="H75" s="2994"/>
      <c r="I75" s="11">
        <f t="shared" si="10"/>
        <v>1</v>
      </c>
      <c r="J75" s="2994"/>
      <c r="K75" s="11">
        <f t="shared" si="11"/>
        <v>1</v>
      </c>
      <c r="L75" s="2994"/>
      <c r="M75" s="11">
        <f t="shared" si="12"/>
        <v>1</v>
      </c>
      <c r="N75" s="2994"/>
      <c r="O75" s="11">
        <f t="shared" si="13"/>
        <v>1</v>
      </c>
      <c r="P75" s="2994"/>
      <c r="Q75" s="11">
        <f t="shared" si="14"/>
        <v>1</v>
      </c>
      <c r="R75" s="712">
        <f t="shared" ca="1" si="15"/>
        <v>17260</v>
      </c>
      <c r="S75" s="2959">
        <f t="shared" ca="1" si="16"/>
        <v>101</v>
      </c>
      <c r="U75" s="793">
        <f>Sheet1!M56</f>
        <v>0</v>
      </c>
    </row>
    <row r="76" spans="1:21">
      <c r="A76" s="2992" t="str">
        <f>Sheet1!F57</f>
        <v>3-416</v>
      </c>
      <c r="B76" s="2992">
        <f>Sheet1!G57</f>
        <v>61.88</v>
      </c>
      <c r="C76" s="11">
        <f t="shared" si="7"/>
        <v>1</v>
      </c>
      <c r="D76" s="2994"/>
      <c r="E76" s="11">
        <f t="shared" si="8"/>
        <v>1</v>
      </c>
      <c r="F76" s="2994"/>
      <c r="G76" s="11">
        <f t="shared" si="9"/>
        <v>1</v>
      </c>
      <c r="H76" s="2994"/>
      <c r="I76" s="11">
        <f t="shared" si="10"/>
        <v>1</v>
      </c>
      <c r="J76" s="2994"/>
      <c r="K76" s="11">
        <f t="shared" si="11"/>
        <v>1</v>
      </c>
      <c r="L76" s="2994"/>
      <c r="M76" s="11">
        <f t="shared" si="12"/>
        <v>1</v>
      </c>
      <c r="N76" s="2994"/>
      <c r="O76" s="11">
        <f t="shared" si="13"/>
        <v>1</v>
      </c>
      <c r="P76" s="2994"/>
      <c r="Q76" s="11">
        <f t="shared" si="14"/>
        <v>1</v>
      </c>
      <c r="R76" s="712">
        <f t="shared" ca="1" si="15"/>
        <v>17260</v>
      </c>
      <c r="S76" s="2959">
        <f t="shared" ca="1" si="16"/>
        <v>107</v>
      </c>
      <c r="U76" s="793">
        <f>Sheet1!M57</f>
        <v>0</v>
      </c>
    </row>
    <row r="77" spans="1:21">
      <c r="A77" s="2992" t="str">
        <f>Sheet1!F58</f>
        <v>3-417</v>
      </c>
      <c r="B77" s="2992">
        <f>Sheet1!G58</f>
        <v>61.41</v>
      </c>
      <c r="C77" s="11">
        <f t="shared" si="7"/>
        <v>1</v>
      </c>
      <c r="D77" s="2994"/>
      <c r="E77" s="11">
        <f t="shared" si="8"/>
        <v>1</v>
      </c>
      <c r="F77" s="2994"/>
      <c r="G77" s="11">
        <f t="shared" si="9"/>
        <v>1</v>
      </c>
      <c r="H77" s="2994"/>
      <c r="I77" s="11">
        <f t="shared" si="10"/>
        <v>1</v>
      </c>
      <c r="J77" s="2994"/>
      <c r="K77" s="11">
        <f t="shared" si="11"/>
        <v>1</v>
      </c>
      <c r="L77" s="2994"/>
      <c r="M77" s="11">
        <f t="shared" si="12"/>
        <v>1</v>
      </c>
      <c r="N77" s="2994"/>
      <c r="O77" s="11">
        <f t="shared" si="13"/>
        <v>1</v>
      </c>
      <c r="P77" s="2994"/>
      <c r="Q77" s="11">
        <f t="shared" si="14"/>
        <v>1</v>
      </c>
      <c r="R77" s="712">
        <f t="shared" ca="1" si="15"/>
        <v>17260</v>
      </c>
      <c r="S77" s="2959">
        <f t="shared" ca="1" si="16"/>
        <v>106</v>
      </c>
      <c r="U77" s="793">
        <f>Sheet1!M58</f>
        <v>0</v>
      </c>
    </row>
    <row r="78" spans="1:21">
      <c r="A78" s="2992" t="str">
        <f>Sheet1!F59</f>
        <v>3-418</v>
      </c>
      <c r="B78" s="2992">
        <f>Sheet1!G59</f>
        <v>61.41</v>
      </c>
      <c r="C78" s="11">
        <f t="shared" si="7"/>
        <v>1</v>
      </c>
      <c r="D78" s="2994"/>
      <c r="E78" s="11">
        <f t="shared" si="8"/>
        <v>1</v>
      </c>
      <c r="F78" s="2994"/>
      <c r="G78" s="11">
        <f t="shared" si="9"/>
        <v>1</v>
      </c>
      <c r="H78" s="2994"/>
      <c r="I78" s="11">
        <f t="shared" si="10"/>
        <v>1</v>
      </c>
      <c r="J78" s="2994"/>
      <c r="K78" s="11">
        <f t="shared" si="11"/>
        <v>1</v>
      </c>
      <c r="L78" s="2994"/>
      <c r="M78" s="11">
        <f t="shared" si="12"/>
        <v>1</v>
      </c>
      <c r="N78" s="2994"/>
      <c r="O78" s="11">
        <f t="shared" si="13"/>
        <v>1</v>
      </c>
      <c r="P78" s="2994"/>
      <c r="Q78" s="11">
        <f t="shared" si="14"/>
        <v>1</v>
      </c>
      <c r="R78" s="712">
        <f t="shared" ca="1" si="15"/>
        <v>17260</v>
      </c>
      <c r="S78" s="2959">
        <f t="shared" ref="S78:S122" ca="1" si="17">ROUND(R78*B78/10000,0)</f>
        <v>106</v>
      </c>
      <c r="U78" s="793">
        <f>Sheet1!M59</f>
        <v>0</v>
      </c>
    </row>
    <row r="79" spans="1:21">
      <c r="A79" s="2992" t="str">
        <f>Sheet1!F60</f>
        <v>3-419</v>
      </c>
      <c r="B79" s="2992">
        <f>Sheet1!G60</f>
        <v>61.41</v>
      </c>
      <c r="C79" s="11">
        <f t="shared" si="7"/>
        <v>1</v>
      </c>
      <c r="D79" s="2994"/>
      <c r="E79" s="11">
        <f t="shared" si="8"/>
        <v>1</v>
      </c>
      <c r="F79" s="2994"/>
      <c r="G79" s="11">
        <f t="shared" si="9"/>
        <v>1</v>
      </c>
      <c r="H79" s="2994"/>
      <c r="I79" s="11">
        <f t="shared" si="10"/>
        <v>1</v>
      </c>
      <c r="J79" s="2994"/>
      <c r="K79" s="11">
        <f t="shared" si="11"/>
        <v>1</v>
      </c>
      <c r="L79" s="2994"/>
      <c r="M79" s="11">
        <f t="shared" si="12"/>
        <v>1</v>
      </c>
      <c r="N79" s="2994"/>
      <c r="O79" s="11">
        <f t="shared" si="13"/>
        <v>1</v>
      </c>
      <c r="P79" s="2994"/>
      <c r="Q79" s="11">
        <f t="shared" si="14"/>
        <v>1</v>
      </c>
      <c r="R79" s="712">
        <f t="shared" ca="1" si="15"/>
        <v>17260</v>
      </c>
      <c r="S79" s="2959">
        <f t="shared" ca="1" si="17"/>
        <v>106</v>
      </c>
      <c r="U79" s="793">
        <f>Sheet1!M60</f>
        <v>0</v>
      </c>
    </row>
    <row r="80" spans="1:21">
      <c r="A80" s="2992" t="str">
        <f>Sheet1!F61</f>
        <v>4-401</v>
      </c>
      <c r="B80" s="2992">
        <f>Sheet1!G61</f>
        <v>65.760000000000005</v>
      </c>
      <c r="C80" s="11">
        <f t="shared" si="7"/>
        <v>1</v>
      </c>
      <c r="D80" s="2994"/>
      <c r="E80" s="11">
        <f t="shared" si="8"/>
        <v>1</v>
      </c>
      <c r="F80" s="2994"/>
      <c r="G80" s="11">
        <f t="shared" si="9"/>
        <v>1</v>
      </c>
      <c r="H80" s="2994"/>
      <c r="I80" s="11">
        <f t="shared" si="10"/>
        <v>1</v>
      </c>
      <c r="J80" s="2994"/>
      <c r="K80" s="11">
        <f t="shared" si="11"/>
        <v>1</v>
      </c>
      <c r="L80" s="2994"/>
      <c r="M80" s="11">
        <f t="shared" si="12"/>
        <v>1</v>
      </c>
      <c r="N80" s="2994"/>
      <c r="O80" s="11">
        <f t="shared" si="13"/>
        <v>1</v>
      </c>
      <c r="P80" s="2994"/>
      <c r="Q80" s="11">
        <f t="shared" si="14"/>
        <v>1</v>
      </c>
      <c r="R80" s="712">
        <f t="shared" ca="1" si="15"/>
        <v>17260</v>
      </c>
      <c r="S80" s="2959">
        <f t="shared" ca="1" si="17"/>
        <v>114</v>
      </c>
      <c r="U80" s="793">
        <f>Sheet1!M61</f>
        <v>0</v>
      </c>
    </row>
    <row r="81" spans="1:21">
      <c r="A81" s="2992" t="str">
        <f>Sheet1!F62</f>
        <v>4-402</v>
      </c>
      <c r="B81" s="2992">
        <f>Sheet1!G62</f>
        <v>59.41</v>
      </c>
      <c r="C81" s="11">
        <f t="shared" si="7"/>
        <v>1</v>
      </c>
      <c r="D81" s="2994"/>
      <c r="E81" s="11">
        <f t="shared" si="8"/>
        <v>1</v>
      </c>
      <c r="F81" s="2994"/>
      <c r="G81" s="11">
        <f t="shared" si="9"/>
        <v>1</v>
      </c>
      <c r="H81" s="2994"/>
      <c r="I81" s="11">
        <f t="shared" si="10"/>
        <v>1</v>
      </c>
      <c r="J81" s="2994"/>
      <c r="K81" s="11">
        <f t="shared" si="11"/>
        <v>1</v>
      </c>
      <c r="L81" s="2994"/>
      <c r="M81" s="11">
        <f t="shared" si="12"/>
        <v>1</v>
      </c>
      <c r="N81" s="2994"/>
      <c r="O81" s="11">
        <f t="shared" si="13"/>
        <v>1</v>
      </c>
      <c r="P81" s="2994"/>
      <c r="Q81" s="11">
        <f t="shared" si="14"/>
        <v>1</v>
      </c>
      <c r="R81" s="712">
        <f t="shared" ca="1" si="15"/>
        <v>17260</v>
      </c>
      <c r="S81" s="2959">
        <f t="shared" ca="1" si="17"/>
        <v>103</v>
      </c>
      <c r="U81" s="793">
        <f>Sheet1!M62</f>
        <v>0</v>
      </c>
    </row>
    <row r="82" spans="1:21">
      <c r="A82" s="2992" t="str">
        <f>Sheet1!F63</f>
        <v>4-403</v>
      </c>
      <c r="B82" s="2992">
        <f>Sheet1!G63</f>
        <v>60.69</v>
      </c>
      <c r="C82" s="11">
        <f t="shared" si="7"/>
        <v>1</v>
      </c>
      <c r="D82" s="2994"/>
      <c r="E82" s="11">
        <f t="shared" si="8"/>
        <v>1</v>
      </c>
      <c r="F82" s="2994"/>
      <c r="G82" s="11">
        <f t="shared" si="9"/>
        <v>1</v>
      </c>
      <c r="H82" s="2994"/>
      <c r="I82" s="11">
        <f t="shared" si="10"/>
        <v>1</v>
      </c>
      <c r="J82" s="2994"/>
      <c r="K82" s="11">
        <f t="shared" si="11"/>
        <v>1</v>
      </c>
      <c r="L82" s="2994"/>
      <c r="M82" s="11">
        <f t="shared" si="12"/>
        <v>1</v>
      </c>
      <c r="N82" s="2994"/>
      <c r="O82" s="11">
        <f t="shared" si="13"/>
        <v>1</v>
      </c>
      <c r="P82" s="2994"/>
      <c r="Q82" s="11">
        <f t="shared" si="14"/>
        <v>1</v>
      </c>
      <c r="R82" s="712">
        <f t="shared" ca="1" si="15"/>
        <v>17260</v>
      </c>
      <c r="S82" s="2959">
        <f t="shared" ca="1" si="17"/>
        <v>105</v>
      </c>
      <c r="U82" s="793">
        <f>Sheet1!M63</f>
        <v>0</v>
      </c>
    </row>
    <row r="83" spans="1:21">
      <c r="A83" s="2992" t="str">
        <f>Sheet1!F64</f>
        <v>4-404</v>
      </c>
      <c r="B83" s="2992">
        <f>Sheet1!G64</f>
        <v>60.69</v>
      </c>
      <c r="C83" s="11">
        <f t="shared" si="7"/>
        <v>1</v>
      </c>
      <c r="D83" s="2994"/>
      <c r="E83" s="11">
        <f t="shared" si="8"/>
        <v>1</v>
      </c>
      <c r="F83" s="2994"/>
      <c r="G83" s="11">
        <f t="shared" si="9"/>
        <v>1</v>
      </c>
      <c r="H83" s="2994"/>
      <c r="I83" s="11">
        <f t="shared" si="10"/>
        <v>1</v>
      </c>
      <c r="J83" s="2994"/>
      <c r="K83" s="11">
        <f t="shared" si="11"/>
        <v>1</v>
      </c>
      <c r="L83" s="2994"/>
      <c r="M83" s="11">
        <f t="shared" si="12"/>
        <v>1</v>
      </c>
      <c r="N83" s="2994"/>
      <c r="O83" s="11">
        <f t="shared" si="13"/>
        <v>1</v>
      </c>
      <c r="P83" s="2994"/>
      <c r="Q83" s="11">
        <f t="shared" si="14"/>
        <v>1</v>
      </c>
      <c r="R83" s="712">
        <f t="shared" ca="1" si="15"/>
        <v>17260</v>
      </c>
      <c r="S83" s="2959">
        <f t="shared" ca="1" si="17"/>
        <v>105</v>
      </c>
      <c r="U83" s="793">
        <f>Sheet1!M64</f>
        <v>0</v>
      </c>
    </row>
    <row r="84" spans="1:21">
      <c r="A84" s="2992" t="str">
        <f>Sheet1!F65</f>
        <v>4-405</v>
      </c>
      <c r="B84" s="2992">
        <f>Sheet1!G65</f>
        <v>60.69</v>
      </c>
      <c r="C84" s="11">
        <f t="shared" si="7"/>
        <v>1</v>
      </c>
      <c r="D84" s="2994"/>
      <c r="E84" s="11">
        <f t="shared" si="8"/>
        <v>1</v>
      </c>
      <c r="F84" s="2994"/>
      <c r="G84" s="11">
        <f t="shared" si="9"/>
        <v>1</v>
      </c>
      <c r="H84" s="2994"/>
      <c r="I84" s="11">
        <f t="shared" si="10"/>
        <v>1</v>
      </c>
      <c r="J84" s="2994"/>
      <c r="K84" s="11">
        <f t="shared" si="11"/>
        <v>1</v>
      </c>
      <c r="L84" s="2994"/>
      <c r="M84" s="11">
        <f t="shared" si="12"/>
        <v>1</v>
      </c>
      <c r="N84" s="2994"/>
      <c r="O84" s="11">
        <f t="shared" si="13"/>
        <v>1</v>
      </c>
      <c r="P84" s="2994"/>
      <c r="Q84" s="11">
        <f t="shared" si="14"/>
        <v>1</v>
      </c>
      <c r="R84" s="712">
        <f t="shared" ca="1" si="15"/>
        <v>17260</v>
      </c>
      <c r="S84" s="2959">
        <f t="shared" ca="1" si="17"/>
        <v>105</v>
      </c>
      <c r="U84" s="793"/>
    </row>
    <row r="85" spans="1:21">
      <c r="A85" s="2992" t="str">
        <f>Sheet1!F66</f>
        <v>4-406</v>
      </c>
      <c r="B85" s="2992">
        <f>Sheet1!G66</f>
        <v>60.69</v>
      </c>
      <c r="C85" s="11">
        <f t="shared" si="7"/>
        <v>1</v>
      </c>
      <c r="D85" s="2994"/>
      <c r="E85" s="11">
        <f t="shared" si="8"/>
        <v>1</v>
      </c>
      <c r="F85" s="2994"/>
      <c r="G85" s="11">
        <f t="shared" si="9"/>
        <v>1</v>
      </c>
      <c r="H85" s="2994"/>
      <c r="I85" s="11">
        <f t="shared" si="10"/>
        <v>1</v>
      </c>
      <c r="J85" s="2994"/>
      <c r="K85" s="11">
        <f t="shared" si="11"/>
        <v>1</v>
      </c>
      <c r="L85" s="2994"/>
      <c r="M85" s="11">
        <f t="shared" si="12"/>
        <v>1</v>
      </c>
      <c r="N85" s="2994"/>
      <c r="O85" s="11">
        <f t="shared" si="13"/>
        <v>1</v>
      </c>
      <c r="P85" s="2994"/>
      <c r="Q85" s="11">
        <f t="shared" si="14"/>
        <v>1</v>
      </c>
      <c r="R85" s="712">
        <f t="shared" ca="1" si="15"/>
        <v>17260</v>
      </c>
      <c r="S85" s="2959">
        <f t="shared" ca="1" si="17"/>
        <v>105</v>
      </c>
    </row>
    <row r="86" spans="1:21">
      <c r="A86" s="2992" t="str">
        <f>Sheet1!F67</f>
        <v>4-407</v>
      </c>
      <c r="B86" s="2992">
        <f>Sheet1!G67</f>
        <v>60.69</v>
      </c>
      <c r="C86" s="11">
        <f t="shared" si="7"/>
        <v>1</v>
      </c>
      <c r="D86" s="2994"/>
      <c r="E86" s="11">
        <f t="shared" si="8"/>
        <v>1</v>
      </c>
      <c r="F86" s="2994"/>
      <c r="G86" s="11">
        <f t="shared" si="9"/>
        <v>1</v>
      </c>
      <c r="H86" s="2994"/>
      <c r="I86" s="11">
        <f t="shared" si="10"/>
        <v>1</v>
      </c>
      <c r="J86" s="2994"/>
      <c r="K86" s="11">
        <f t="shared" si="11"/>
        <v>1</v>
      </c>
      <c r="L86" s="2994"/>
      <c r="M86" s="11">
        <f t="shared" si="12"/>
        <v>1</v>
      </c>
      <c r="N86" s="2994"/>
      <c r="O86" s="11">
        <f t="shared" si="13"/>
        <v>1</v>
      </c>
      <c r="P86" s="2994"/>
      <c r="Q86" s="11">
        <f t="shared" si="14"/>
        <v>1</v>
      </c>
      <c r="R86" s="712">
        <f t="shared" ca="1" si="15"/>
        <v>17260</v>
      </c>
      <c r="S86" s="2959">
        <f t="shared" ca="1" si="17"/>
        <v>105</v>
      </c>
    </row>
    <row r="87" spans="1:21">
      <c r="A87" s="2992" t="str">
        <f>Sheet1!F68</f>
        <v>4-408</v>
      </c>
      <c r="B87" s="2992">
        <f>Sheet1!G68</f>
        <v>60.69</v>
      </c>
      <c r="C87" s="11">
        <f t="shared" si="7"/>
        <v>1</v>
      </c>
      <c r="D87" s="2994"/>
      <c r="E87" s="11">
        <f t="shared" si="8"/>
        <v>1</v>
      </c>
      <c r="F87" s="2994"/>
      <c r="G87" s="11">
        <f t="shared" si="9"/>
        <v>1</v>
      </c>
      <c r="H87" s="2994"/>
      <c r="I87" s="11">
        <f t="shared" si="10"/>
        <v>1</v>
      </c>
      <c r="J87" s="2994"/>
      <c r="K87" s="11">
        <f t="shared" si="11"/>
        <v>1</v>
      </c>
      <c r="L87" s="2994"/>
      <c r="M87" s="11">
        <f t="shared" si="12"/>
        <v>1</v>
      </c>
      <c r="N87" s="2994"/>
      <c r="O87" s="11">
        <f t="shared" si="13"/>
        <v>1</v>
      </c>
      <c r="P87" s="2994"/>
      <c r="Q87" s="11">
        <f t="shared" si="14"/>
        <v>1</v>
      </c>
      <c r="R87" s="712">
        <f t="shared" ca="1" si="15"/>
        <v>17260</v>
      </c>
      <c r="S87" s="2959">
        <f t="shared" ca="1" si="17"/>
        <v>105</v>
      </c>
    </row>
    <row r="88" spans="1:21">
      <c r="A88" s="2992" t="str">
        <f>Sheet1!F69</f>
        <v>4-409</v>
      </c>
      <c r="B88" s="2992">
        <f>Sheet1!G69</f>
        <v>60.69</v>
      </c>
      <c r="C88" s="11">
        <f t="shared" si="7"/>
        <v>1</v>
      </c>
      <c r="D88" s="2994"/>
      <c r="E88" s="11">
        <f t="shared" si="8"/>
        <v>1</v>
      </c>
      <c r="F88" s="2994"/>
      <c r="G88" s="11">
        <f t="shared" si="9"/>
        <v>1</v>
      </c>
      <c r="H88" s="2994"/>
      <c r="I88" s="11">
        <f t="shared" si="10"/>
        <v>1</v>
      </c>
      <c r="J88" s="2994"/>
      <c r="K88" s="11">
        <f t="shared" si="11"/>
        <v>1</v>
      </c>
      <c r="L88" s="2994"/>
      <c r="M88" s="11">
        <f t="shared" si="12"/>
        <v>1</v>
      </c>
      <c r="N88" s="2994"/>
      <c r="O88" s="11">
        <f t="shared" si="13"/>
        <v>1</v>
      </c>
      <c r="P88" s="2994"/>
      <c r="Q88" s="11">
        <f t="shared" si="14"/>
        <v>1</v>
      </c>
      <c r="R88" s="712">
        <f t="shared" ca="1" si="15"/>
        <v>17260</v>
      </c>
      <c r="S88" s="2959">
        <f t="shared" ca="1" si="17"/>
        <v>105</v>
      </c>
    </row>
    <row r="89" spans="1:21">
      <c r="A89" s="2992" t="str">
        <f>Sheet1!F70</f>
        <v>4-410</v>
      </c>
      <c r="B89" s="2992">
        <f>Sheet1!G70</f>
        <v>60.69</v>
      </c>
      <c r="C89" s="11">
        <f t="shared" si="7"/>
        <v>1</v>
      </c>
      <c r="D89" s="2994"/>
      <c r="E89" s="11">
        <f t="shared" si="8"/>
        <v>1</v>
      </c>
      <c r="F89" s="2994"/>
      <c r="G89" s="11">
        <f t="shared" si="9"/>
        <v>1</v>
      </c>
      <c r="H89" s="2994"/>
      <c r="I89" s="11">
        <f t="shared" si="10"/>
        <v>1</v>
      </c>
      <c r="J89" s="2994"/>
      <c r="K89" s="11">
        <f t="shared" si="11"/>
        <v>1</v>
      </c>
      <c r="L89" s="2994"/>
      <c r="M89" s="11">
        <f t="shared" si="12"/>
        <v>1</v>
      </c>
      <c r="N89" s="2994"/>
      <c r="O89" s="11">
        <f t="shared" si="13"/>
        <v>1</v>
      </c>
      <c r="P89" s="2994"/>
      <c r="Q89" s="11">
        <f t="shared" si="14"/>
        <v>1</v>
      </c>
      <c r="R89" s="712">
        <f t="shared" ca="1" si="15"/>
        <v>17260</v>
      </c>
      <c r="S89" s="2959">
        <f t="shared" ca="1" si="17"/>
        <v>105</v>
      </c>
    </row>
    <row r="90" spans="1:21">
      <c r="A90" s="2992" t="str">
        <f>Sheet1!F71</f>
        <v>4-411</v>
      </c>
      <c r="B90" s="2992">
        <f>Sheet1!G71</f>
        <v>60.69</v>
      </c>
      <c r="C90" s="11">
        <f t="shared" ref="C90:C153" si="18">IF(B90="",1,(LOOKUP(B90,$3:$3,$4:$4)-LOOKUP($B$24,$3:$3,$4:$4)+100)/100)</f>
        <v>1</v>
      </c>
      <c r="D90" s="2994"/>
      <c r="E90" s="11">
        <f t="shared" ref="E90:E153" si="19">(SUMIF($5:$5,D90,$6:$6)-SUMIF($5:$5,$D$24,$6:$6)+100)/100</f>
        <v>1</v>
      </c>
      <c r="F90" s="2994"/>
      <c r="G90" s="11">
        <f t="shared" ref="G90:G153" si="20">(SUMIF($7:$7,F90,$8:$8)-SUMIF($7:$7,$F$24,$8:$8)+100)/100</f>
        <v>1</v>
      </c>
      <c r="H90" s="2994"/>
      <c r="I90" s="11">
        <f t="shared" ref="I90:I153" si="21">(SUMIF($9:$9,H90,$10:$10)-SUMIF($9:$9,$H$24,$10:$10)+100)/100</f>
        <v>1</v>
      </c>
      <c r="J90" s="2994"/>
      <c r="K90" s="11">
        <f t="shared" ref="K90:K153" si="22">(SUMIF($11:$11,J90,$12:$12)-SUMIF($11:$11,$J$24,$12:$12)+100)/100</f>
        <v>1</v>
      </c>
      <c r="L90" s="2994"/>
      <c r="M90" s="11">
        <f t="shared" ref="M90:M153" si="23">(SUMIF($13:$13,L90,$14:$14)-SUMIF($13:$13,$L$24,$14:$14)+100)/100</f>
        <v>1</v>
      </c>
      <c r="N90" s="2994"/>
      <c r="O90" s="11">
        <f t="shared" ref="O90:O153" si="24">(SUMIF($15:$15,N90,$16:$16)-SUMIF($15:$15,$N$24,$16:$16)+100)/100</f>
        <v>1</v>
      </c>
      <c r="P90" s="2994"/>
      <c r="Q90" s="11">
        <f t="shared" ref="Q90:Q153" si="25">(SUMIF($17:$17,P90,$18:$18)-SUMIF($17:$17,$P$24,$18:$18)+100)/100</f>
        <v>1</v>
      </c>
      <c r="R90" s="712">
        <f t="shared" ref="R90:R153" ca="1" si="26">IF(B90="",0,ROUND($R$24*C90*E90*G90*I90*K90*M90*O90*Q90,0))</f>
        <v>17260</v>
      </c>
      <c r="S90" s="2959">
        <f t="shared" ca="1" si="17"/>
        <v>105</v>
      </c>
    </row>
    <row r="91" spans="1:21">
      <c r="A91" s="2992" t="str">
        <f>Sheet1!F72</f>
        <v>4-412</v>
      </c>
      <c r="B91" s="2992">
        <f>Sheet1!G72</f>
        <v>48.86</v>
      </c>
      <c r="C91" s="11">
        <f t="shared" si="18"/>
        <v>1</v>
      </c>
      <c r="D91" s="2994"/>
      <c r="E91" s="11">
        <f t="shared" si="19"/>
        <v>1</v>
      </c>
      <c r="F91" s="2994"/>
      <c r="G91" s="11">
        <f t="shared" si="20"/>
        <v>1</v>
      </c>
      <c r="H91" s="2994"/>
      <c r="I91" s="11">
        <f t="shared" si="21"/>
        <v>1</v>
      </c>
      <c r="J91" s="2994"/>
      <c r="K91" s="11">
        <f t="shared" si="22"/>
        <v>1</v>
      </c>
      <c r="L91" s="2994"/>
      <c r="M91" s="11">
        <f t="shared" si="23"/>
        <v>1</v>
      </c>
      <c r="N91" s="2994"/>
      <c r="O91" s="11">
        <f t="shared" si="24"/>
        <v>1</v>
      </c>
      <c r="P91" s="2994"/>
      <c r="Q91" s="11">
        <f t="shared" si="25"/>
        <v>1</v>
      </c>
      <c r="R91" s="712">
        <f t="shared" ca="1" si="26"/>
        <v>17260</v>
      </c>
      <c r="S91" s="2959">
        <f t="shared" ca="1" si="17"/>
        <v>84</v>
      </c>
    </row>
    <row r="92" spans="1:21">
      <c r="A92" s="2992" t="str">
        <f>Sheet1!F73</f>
        <v>4-413</v>
      </c>
      <c r="B92" s="2992">
        <f>Sheet1!G73</f>
        <v>48.86</v>
      </c>
      <c r="C92" s="11">
        <f t="shared" si="18"/>
        <v>1</v>
      </c>
      <c r="D92" s="2994"/>
      <c r="E92" s="11">
        <f t="shared" si="19"/>
        <v>1</v>
      </c>
      <c r="F92" s="2994"/>
      <c r="G92" s="11">
        <f t="shared" si="20"/>
        <v>1</v>
      </c>
      <c r="H92" s="2994"/>
      <c r="I92" s="11">
        <f t="shared" si="21"/>
        <v>1</v>
      </c>
      <c r="J92" s="2994"/>
      <c r="K92" s="11">
        <f t="shared" si="22"/>
        <v>1</v>
      </c>
      <c r="L92" s="2994"/>
      <c r="M92" s="11">
        <f t="shared" si="23"/>
        <v>1</v>
      </c>
      <c r="N92" s="2994"/>
      <c r="O92" s="11">
        <f t="shared" si="24"/>
        <v>1</v>
      </c>
      <c r="P92" s="2994"/>
      <c r="Q92" s="11">
        <f t="shared" si="25"/>
        <v>1</v>
      </c>
      <c r="R92" s="712">
        <f t="shared" ca="1" si="26"/>
        <v>17260</v>
      </c>
      <c r="S92" s="2959">
        <f t="shared" ca="1" si="17"/>
        <v>84</v>
      </c>
    </row>
    <row r="93" spans="1:21">
      <c r="A93" s="2992" t="str">
        <f>Sheet1!F74</f>
        <v>4-414</v>
      </c>
      <c r="B93" s="2992">
        <f>Sheet1!G74</f>
        <v>48.86</v>
      </c>
      <c r="C93" s="11">
        <f t="shared" si="18"/>
        <v>1</v>
      </c>
      <c r="D93" s="2994"/>
      <c r="E93" s="11">
        <f t="shared" si="19"/>
        <v>1</v>
      </c>
      <c r="F93" s="2994"/>
      <c r="G93" s="11">
        <f t="shared" si="20"/>
        <v>1</v>
      </c>
      <c r="H93" s="2994"/>
      <c r="I93" s="11">
        <f t="shared" si="21"/>
        <v>1</v>
      </c>
      <c r="J93" s="2994"/>
      <c r="K93" s="11">
        <f t="shared" si="22"/>
        <v>1</v>
      </c>
      <c r="L93" s="2994"/>
      <c r="M93" s="11">
        <f t="shared" si="23"/>
        <v>1</v>
      </c>
      <c r="N93" s="2994"/>
      <c r="O93" s="11">
        <f t="shared" si="24"/>
        <v>1</v>
      </c>
      <c r="P93" s="2994"/>
      <c r="Q93" s="11">
        <f t="shared" si="25"/>
        <v>1</v>
      </c>
      <c r="R93" s="712">
        <f t="shared" ca="1" si="26"/>
        <v>17260</v>
      </c>
      <c r="S93" s="2959">
        <f t="shared" ca="1" si="17"/>
        <v>84</v>
      </c>
    </row>
    <row r="94" spans="1:21">
      <c r="A94" s="2992" t="str">
        <f>Sheet1!F75</f>
        <v>4-415</v>
      </c>
      <c r="B94" s="2992">
        <f>Sheet1!G75</f>
        <v>54.87</v>
      </c>
      <c r="C94" s="11">
        <f t="shared" si="18"/>
        <v>1</v>
      </c>
      <c r="D94" s="2994"/>
      <c r="E94" s="11">
        <f t="shared" si="19"/>
        <v>1</v>
      </c>
      <c r="F94" s="2994"/>
      <c r="G94" s="11">
        <f t="shared" si="20"/>
        <v>1</v>
      </c>
      <c r="H94" s="2994"/>
      <c r="I94" s="11">
        <f t="shared" si="21"/>
        <v>1</v>
      </c>
      <c r="J94" s="2994"/>
      <c r="K94" s="11">
        <f t="shared" si="22"/>
        <v>1</v>
      </c>
      <c r="L94" s="2994"/>
      <c r="M94" s="11">
        <f t="shared" si="23"/>
        <v>1</v>
      </c>
      <c r="N94" s="2994"/>
      <c r="O94" s="11">
        <f t="shared" si="24"/>
        <v>1</v>
      </c>
      <c r="P94" s="2994"/>
      <c r="Q94" s="11">
        <f t="shared" si="25"/>
        <v>1</v>
      </c>
      <c r="R94" s="712">
        <f t="shared" ca="1" si="26"/>
        <v>17260</v>
      </c>
      <c r="S94" s="2959">
        <f t="shared" ca="1" si="17"/>
        <v>95</v>
      </c>
    </row>
    <row r="95" spans="1:21">
      <c r="A95" s="2992" t="str">
        <f>Sheet1!F76</f>
        <v>4-416</v>
      </c>
      <c r="B95" s="2992">
        <f>Sheet1!G76</f>
        <v>88.13</v>
      </c>
      <c r="C95" s="11">
        <f t="shared" si="18"/>
        <v>1</v>
      </c>
      <c r="D95" s="2994"/>
      <c r="E95" s="11">
        <f t="shared" si="19"/>
        <v>1</v>
      </c>
      <c r="F95" s="2994"/>
      <c r="G95" s="11">
        <f t="shared" si="20"/>
        <v>1</v>
      </c>
      <c r="H95" s="2994"/>
      <c r="I95" s="11">
        <f t="shared" si="21"/>
        <v>1</v>
      </c>
      <c r="J95" s="2994"/>
      <c r="K95" s="11">
        <f t="shared" si="22"/>
        <v>1</v>
      </c>
      <c r="L95" s="2994"/>
      <c r="M95" s="11">
        <f t="shared" si="23"/>
        <v>1</v>
      </c>
      <c r="N95" s="2994"/>
      <c r="O95" s="11">
        <f t="shared" si="24"/>
        <v>1</v>
      </c>
      <c r="P95" s="2994"/>
      <c r="Q95" s="11">
        <f t="shared" si="25"/>
        <v>1</v>
      </c>
      <c r="R95" s="712">
        <f t="shared" ca="1" si="26"/>
        <v>17260</v>
      </c>
      <c r="S95" s="2959">
        <f t="shared" ca="1" si="17"/>
        <v>152</v>
      </c>
    </row>
    <row r="96" spans="1:21">
      <c r="A96" s="2992" t="str">
        <f>Sheet1!F77</f>
        <v>4-417</v>
      </c>
      <c r="B96" s="2992">
        <f>Sheet1!G77</f>
        <v>5.81</v>
      </c>
      <c r="C96" s="11">
        <f t="shared" si="18"/>
        <v>1</v>
      </c>
      <c r="D96" s="2994"/>
      <c r="E96" s="11">
        <f t="shared" si="19"/>
        <v>1</v>
      </c>
      <c r="F96" s="2994"/>
      <c r="G96" s="11">
        <f t="shared" si="20"/>
        <v>1</v>
      </c>
      <c r="H96" s="2994"/>
      <c r="I96" s="11">
        <f t="shared" si="21"/>
        <v>1</v>
      </c>
      <c r="J96" s="2994"/>
      <c r="K96" s="11">
        <f t="shared" si="22"/>
        <v>1</v>
      </c>
      <c r="L96" s="2994"/>
      <c r="M96" s="11">
        <f t="shared" si="23"/>
        <v>1</v>
      </c>
      <c r="N96" s="2994"/>
      <c r="O96" s="11">
        <f t="shared" si="24"/>
        <v>1</v>
      </c>
      <c r="P96" s="2994"/>
      <c r="Q96" s="11">
        <f t="shared" si="25"/>
        <v>1</v>
      </c>
      <c r="R96" s="712">
        <f t="shared" ca="1" si="26"/>
        <v>17260</v>
      </c>
      <c r="S96" s="2959">
        <f t="shared" ca="1" si="17"/>
        <v>10</v>
      </c>
    </row>
    <row r="97" spans="1:19">
      <c r="A97" s="2992">
        <f>Sheet1!F78</f>
        <v>502</v>
      </c>
      <c r="B97" s="2992">
        <f>Sheet1!G78</f>
        <v>430.34</v>
      </c>
      <c r="C97" s="11">
        <f t="shared" si="18"/>
        <v>0.96</v>
      </c>
      <c r="D97" s="2994"/>
      <c r="E97" s="11">
        <f t="shared" si="19"/>
        <v>1</v>
      </c>
      <c r="F97" s="2994"/>
      <c r="G97" s="11">
        <f t="shared" si="20"/>
        <v>1</v>
      </c>
      <c r="H97" s="2994"/>
      <c r="I97" s="11">
        <f t="shared" si="21"/>
        <v>1</v>
      </c>
      <c r="J97" s="2994"/>
      <c r="K97" s="11">
        <f t="shared" si="22"/>
        <v>1</v>
      </c>
      <c r="L97" s="2994"/>
      <c r="M97" s="11">
        <f t="shared" si="23"/>
        <v>1</v>
      </c>
      <c r="N97" s="2994"/>
      <c r="O97" s="11">
        <f t="shared" si="24"/>
        <v>1</v>
      </c>
      <c r="P97" s="2994"/>
      <c r="Q97" s="11">
        <f t="shared" si="25"/>
        <v>1</v>
      </c>
      <c r="R97" s="712">
        <f t="shared" ca="1" si="26"/>
        <v>16570</v>
      </c>
      <c r="S97" s="2959">
        <f t="shared" ca="1" si="17"/>
        <v>713</v>
      </c>
    </row>
    <row r="98" spans="1:19">
      <c r="A98" s="2992" t="str">
        <f>Sheet1!F79</f>
        <v>3-501</v>
      </c>
      <c r="B98" s="2992">
        <f>Sheet1!G79</f>
        <v>49.61</v>
      </c>
      <c r="C98" s="11">
        <f t="shared" si="18"/>
        <v>1</v>
      </c>
      <c r="D98" s="2994"/>
      <c r="E98" s="11">
        <f t="shared" si="19"/>
        <v>1</v>
      </c>
      <c r="F98" s="2994"/>
      <c r="G98" s="11">
        <f t="shared" si="20"/>
        <v>1</v>
      </c>
      <c r="H98" s="2994"/>
      <c r="I98" s="11">
        <f t="shared" si="21"/>
        <v>1</v>
      </c>
      <c r="J98" s="2994"/>
      <c r="K98" s="11">
        <f t="shared" si="22"/>
        <v>1</v>
      </c>
      <c r="L98" s="2994"/>
      <c r="M98" s="11">
        <f t="shared" si="23"/>
        <v>1</v>
      </c>
      <c r="N98" s="2994"/>
      <c r="O98" s="11">
        <f t="shared" si="24"/>
        <v>1</v>
      </c>
      <c r="P98" s="2994"/>
      <c r="Q98" s="11">
        <f t="shared" si="25"/>
        <v>1</v>
      </c>
      <c r="R98" s="712">
        <f t="shared" ca="1" si="26"/>
        <v>17260</v>
      </c>
      <c r="S98" s="2959">
        <f t="shared" ca="1" si="17"/>
        <v>86</v>
      </c>
    </row>
    <row r="99" spans="1:19">
      <c r="A99" s="2992" t="str">
        <f>Sheet1!F80</f>
        <v>3-502</v>
      </c>
      <c r="B99" s="2992">
        <f>Sheet1!G80</f>
        <v>50.63</v>
      </c>
      <c r="C99" s="11">
        <f t="shared" si="18"/>
        <v>1</v>
      </c>
      <c r="D99" s="2994"/>
      <c r="E99" s="11">
        <f t="shared" si="19"/>
        <v>1</v>
      </c>
      <c r="F99" s="2994"/>
      <c r="G99" s="11">
        <f t="shared" si="20"/>
        <v>1</v>
      </c>
      <c r="H99" s="2994"/>
      <c r="I99" s="11">
        <f t="shared" si="21"/>
        <v>1</v>
      </c>
      <c r="J99" s="2994"/>
      <c r="K99" s="11">
        <f t="shared" si="22"/>
        <v>1</v>
      </c>
      <c r="L99" s="2994"/>
      <c r="M99" s="11">
        <f t="shared" si="23"/>
        <v>1</v>
      </c>
      <c r="N99" s="2994"/>
      <c r="O99" s="11">
        <f t="shared" si="24"/>
        <v>1</v>
      </c>
      <c r="P99" s="2994"/>
      <c r="Q99" s="11">
        <f t="shared" si="25"/>
        <v>1</v>
      </c>
      <c r="R99" s="712">
        <f t="shared" ca="1" si="26"/>
        <v>17260</v>
      </c>
      <c r="S99" s="2959">
        <f t="shared" ca="1" si="17"/>
        <v>87</v>
      </c>
    </row>
    <row r="100" spans="1:19">
      <c r="A100" s="2992" t="str">
        <f>Sheet1!F81</f>
        <v>3-503</v>
      </c>
      <c r="B100" s="2992">
        <f>Sheet1!G81</f>
        <v>50.63</v>
      </c>
      <c r="C100" s="11">
        <f t="shared" si="18"/>
        <v>1</v>
      </c>
      <c r="D100" s="2994"/>
      <c r="E100" s="11">
        <f t="shared" si="19"/>
        <v>1</v>
      </c>
      <c r="F100" s="2994"/>
      <c r="G100" s="11">
        <f t="shared" si="20"/>
        <v>1</v>
      </c>
      <c r="H100" s="2994"/>
      <c r="I100" s="11">
        <f t="shared" si="21"/>
        <v>1</v>
      </c>
      <c r="J100" s="2994"/>
      <c r="K100" s="11">
        <f t="shared" si="22"/>
        <v>1</v>
      </c>
      <c r="L100" s="2994"/>
      <c r="M100" s="11">
        <f t="shared" si="23"/>
        <v>1</v>
      </c>
      <c r="N100" s="2994"/>
      <c r="O100" s="11">
        <f t="shared" si="24"/>
        <v>1</v>
      </c>
      <c r="P100" s="2994"/>
      <c r="Q100" s="11">
        <f t="shared" si="25"/>
        <v>1</v>
      </c>
      <c r="R100" s="712">
        <f t="shared" ca="1" si="26"/>
        <v>17260</v>
      </c>
      <c r="S100" s="2959">
        <f t="shared" ca="1" si="17"/>
        <v>87</v>
      </c>
    </row>
    <row r="101" spans="1:19">
      <c r="A101" s="2992" t="str">
        <f>Sheet1!F82</f>
        <v>3-504</v>
      </c>
      <c r="B101" s="2992">
        <f>Sheet1!G82</f>
        <v>50.63</v>
      </c>
      <c r="C101" s="11">
        <f t="shared" si="18"/>
        <v>1</v>
      </c>
      <c r="D101" s="2994"/>
      <c r="E101" s="11">
        <f t="shared" si="19"/>
        <v>1</v>
      </c>
      <c r="F101" s="2994"/>
      <c r="G101" s="11">
        <f t="shared" si="20"/>
        <v>1</v>
      </c>
      <c r="H101" s="2994"/>
      <c r="I101" s="11">
        <f t="shared" si="21"/>
        <v>1</v>
      </c>
      <c r="J101" s="2994"/>
      <c r="K101" s="11">
        <f t="shared" si="22"/>
        <v>1</v>
      </c>
      <c r="L101" s="2994"/>
      <c r="M101" s="11">
        <f t="shared" si="23"/>
        <v>1</v>
      </c>
      <c r="N101" s="2994"/>
      <c r="O101" s="11">
        <f t="shared" si="24"/>
        <v>1</v>
      </c>
      <c r="P101" s="2994"/>
      <c r="Q101" s="11">
        <f t="shared" si="25"/>
        <v>1</v>
      </c>
      <c r="R101" s="712">
        <f t="shared" ca="1" si="26"/>
        <v>17260</v>
      </c>
      <c r="S101" s="2959">
        <f t="shared" ca="1" si="17"/>
        <v>87</v>
      </c>
    </row>
    <row r="102" spans="1:19">
      <c r="A102" s="2992" t="str">
        <f>Sheet1!F83</f>
        <v>3-505</v>
      </c>
      <c r="B102" s="2992">
        <f>Sheet1!G83</f>
        <v>50.63</v>
      </c>
      <c r="C102" s="11">
        <f t="shared" si="18"/>
        <v>1</v>
      </c>
      <c r="D102" s="2994"/>
      <c r="E102" s="11">
        <f t="shared" si="19"/>
        <v>1</v>
      </c>
      <c r="F102" s="2994"/>
      <c r="G102" s="11">
        <f t="shared" si="20"/>
        <v>1</v>
      </c>
      <c r="H102" s="2994"/>
      <c r="I102" s="11">
        <f t="shared" si="21"/>
        <v>1</v>
      </c>
      <c r="J102" s="2994"/>
      <c r="K102" s="11">
        <f t="shared" si="22"/>
        <v>1</v>
      </c>
      <c r="L102" s="2994"/>
      <c r="M102" s="11">
        <f t="shared" si="23"/>
        <v>1</v>
      </c>
      <c r="N102" s="2994"/>
      <c r="O102" s="11">
        <f t="shared" si="24"/>
        <v>1</v>
      </c>
      <c r="P102" s="2994"/>
      <c r="Q102" s="11">
        <f t="shared" si="25"/>
        <v>1</v>
      </c>
      <c r="R102" s="712">
        <f t="shared" ca="1" si="26"/>
        <v>17260</v>
      </c>
      <c r="S102" s="2959">
        <f t="shared" ca="1" si="17"/>
        <v>87</v>
      </c>
    </row>
    <row r="103" spans="1:19">
      <c r="A103" s="2992" t="str">
        <f>Sheet1!F84</f>
        <v>3-506</v>
      </c>
      <c r="B103" s="2992">
        <f>Sheet1!G84</f>
        <v>50.63</v>
      </c>
      <c r="C103" s="11">
        <f t="shared" si="18"/>
        <v>1</v>
      </c>
      <c r="D103" s="2994"/>
      <c r="E103" s="11">
        <f t="shared" si="19"/>
        <v>1</v>
      </c>
      <c r="F103" s="2994"/>
      <c r="G103" s="11">
        <f t="shared" si="20"/>
        <v>1</v>
      </c>
      <c r="H103" s="2994"/>
      <c r="I103" s="11">
        <f t="shared" si="21"/>
        <v>1</v>
      </c>
      <c r="J103" s="2994"/>
      <c r="K103" s="11">
        <f t="shared" si="22"/>
        <v>1</v>
      </c>
      <c r="L103" s="2994"/>
      <c r="M103" s="11">
        <f t="shared" si="23"/>
        <v>1</v>
      </c>
      <c r="N103" s="2994"/>
      <c r="O103" s="11">
        <f t="shared" si="24"/>
        <v>1</v>
      </c>
      <c r="P103" s="2994"/>
      <c r="Q103" s="11">
        <f t="shared" si="25"/>
        <v>1</v>
      </c>
      <c r="R103" s="712">
        <f t="shared" ca="1" si="26"/>
        <v>17260</v>
      </c>
      <c r="S103" s="2959">
        <f t="shared" ca="1" si="17"/>
        <v>87</v>
      </c>
    </row>
    <row r="104" spans="1:19">
      <c r="A104" s="2992" t="str">
        <f>Sheet1!F85</f>
        <v>3-507</v>
      </c>
      <c r="B104" s="2992">
        <f>Sheet1!G85</f>
        <v>50.63</v>
      </c>
      <c r="C104" s="11">
        <f t="shared" si="18"/>
        <v>1</v>
      </c>
      <c r="D104" s="2994"/>
      <c r="E104" s="11">
        <f t="shared" si="19"/>
        <v>1</v>
      </c>
      <c r="F104" s="2994"/>
      <c r="G104" s="11">
        <f t="shared" si="20"/>
        <v>1</v>
      </c>
      <c r="H104" s="2994"/>
      <c r="I104" s="11">
        <f t="shared" si="21"/>
        <v>1</v>
      </c>
      <c r="J104" s="2994"/>
      <c r="K104" s="11">
        <f t="shared" si="22"/>
        <v>1</v>
      </c>
      <c r="L104" s="2994"/>
      <c r="M104" s="11">
        <f t="shared" si="23"/>
        <v>1</v>
      </c>
      <c r="N104" s="2994"/>
      <c r="O104" s="11">
        <f t="shared" si="24"/>
        <v>1</v>
      </c>
      <c r="P104" s="2994"/>
      <c r="Q104" s="11">
        <f t="shared" si="25"/>
        <v>1</v>
      </c>
      <c r="R104" s="712">
        <f t="shared" ca="1" si="26"/>
        <v>17260</v>
      </c>
      <c r="S104" s="2959">
        <f t="shared" ca="1" si="17"/>
        <v>87</v>
      </c>
    </row>
    <row r="105" spans="1:19">
      <c r="A105" s="2992" t="str">
        <f>Sheet1!F86</f>
        <v>3-508</v>
      </c>
      <c r="B105" s="2992">
        <f>Sheet1!G86</f>
        <v>50.63</v>
      </c>
      <c r="C105" s="11">
        <f t="shared" si="18"/>
        <v>1</v>
      </c>
      <c r="D105" s="2994"/>
      <c r="E105" s="11">
        <f t="shared" si="19"/>
        <v>1</v>
      </c>
      <c r="F105" s="2994"/>
      <c r="G105" s="11">
        <f t="shared" si="20"/>
        <v>1</v>
      </c>
      <c r="H105" s="2994"/>
      <c r="I105" s="11">
        <f t="shared" si="21"/>
        <v>1</v>
      </c>
      <c r="J105" s="2994"/>
      <c r="K105" s="11">
        <f t="shared" si="22"/>
        <v>1</v>
      </c>
      <c r="L105" s="2994"/>
      <c r="M105" s="11">
        <f t="shared" si="23"/>
        <v>1</v>
      </c>
      <c r="N105" s="2994"/>
      <c r="O105" s="11">
        <f t="shared" si="24"/>
        <v>1</v>
      </c>
      <c r="P105" s="2994"/>
      <c r="Q105" s="11">
        <f t="shared" si="25"/>
        <v>1</v>
      </c>
      <c r="R105" s="712">
        <f t="shared" ca="1" si="26"/>
        <v>17260</v>
      </c>
      <c r="S105" s="2959">
        <f t="shared" ca="1" si="17"/>
        <v>87</v>
      </c>
    </row>
    <row r="106" spans="1:19">
      <c r="A106" s="2992" t="str">
        <f>Sheet1!F87</f>
        <v>3-509</v>
      </c>
      <c r="B106" s="2992">
        <f>Sheet1!G87</f>
        <v>50.63</v>
      </c>
      <c r="C106" s="11">
        <f t="shared" si="18"/>
        <v>1</v>
      </c>
      <c r="D106" s="2994"/>
      <c r="E106" s="11">
        <f t="shared" si="19"/>
        <v>1</v>
      </c>
      <c r="F106" s="2994"/>
      <c r="G106" s="11">
        <f t="shared" si="20"/>
        <v>1</v>
      </c>
      <c r="H106" s="2994"/>
      <c r="I106" s="11">
        <f t="shared" si="21"/>
        <v>1</v>
      </c>
      <c r="J106" s="2994"/>
      <c r="K106" s="11">
        <f t="shared" si="22"/>
        <v>1</v>
      </c>
      <c r="L106" s="2994"/>
      <c r="M106" s="11">
        <f t="shared" si="23"/>
        <v>1</v>
      </c>
      <c r="N106" s="2994"/>
      <c r="O106" s="11">
        <f t="shared" si="24"/>
        <v>1</v>
      </c>
      <c r="P106" s="2994"/>
      <c r="Q106" s="11">
        <f t="shared" si="25"/>
        <v>1</v>
      </c>
      <c r="R106" s="712">
        <f t="shared" ca="1" si="26"/>
        <v>17260</v>
      </c>
      <c r="S106" s="2959">
        <f t="shared" ca="1" si="17"/>
        <v>87</v>
      </c>
    </row>
    <row r="107" spans="1:19">
      <c r="A107" s="2992" t="str">
        <f>Sheet1!F88</f>
        <v>3-510</v>
      </c>
      <c r="B107" s="2992">
        <f>Sheet1!G88</f>
        <v>50.63</v>
      </c>
      <c r="C107" s="11">
        <f t="shared" si="18"/>
        <v>1</v>
      </c>
      <c r="D107" s="2994"/>
      <c r="E107" s="11">
        <f t="shared" si="19"/>
        <v>1</v>
      </c>
      <c r="F107" s="2994"/>
      <c r="G107" s="11">
        <f t="shared" si="20"/>
        <v>1</v>
      </c>
      <c r="H107" s="2994"/>
      <c r="I107" s="11">
        <f t="shared" si="21"/>
        <v>1</v>
      </c>
      <c r="J107" s="2994"/>
      <c r="K107" s="11">
        <f t="shared" si="22"/>
        <v>1</v>
      </c>
      <c r="L107" s="2994"/>
      <c r="M107" s="11">
        <f t="shared" si="23"/>
        <v>1</v>
      </c>
      <c r="N107" s="2994"/>
      <c r="O107" s="11">
        <f t="shared" si="24"/>
        <v>1</v>
      </c>
      <c r="P107" s="2994"/>
      <c r="Q107" s="11">
        <f t="shared" si="25"/>
        <v>1</v>
      </c>
      <c r="R107" s="712">
        <f t="shared" ca="1" si="26"/>
        <v>17260</v>
      </c>
      <c r="S107" s="2959">
        <f t="shared" ca="1" si="17"/>
        <v>87</v>
      </c>
    </row>
    <row r="108" spans="1:19">
      <c r="A108" s="2992" t="str">
        <f>Sheet1!F89</f>
        <v>3-511</v>
      </c>
      <c r="B108" s="2992">
        <f>Sheet1!G89</f>
        <v>50.63</v>
      </c>
      <c r="C108" s="11">
        <f t="shared" si="18"/>
        <v>1</v>
      </c>
      <c r="D108" s="2994"/>
      <c r="E108" s="11">
        <f t="shared" si="19"/>
        <v>1</v>
      </c>
      <c r="F108" s="2994"/>
      <c r="G108" s="11">
        <f t="shared" si="20"/>
        <v>1</v>
      </c>
      <c r="H108" s="2994"/>
      <c r="I108" s="11">
        <f t="shared" si="21"/>
        <v>1</v>
      </c>
      <c r="J108" s="2994"/>
      <c r="K108" s="11">
        <f t="shared" si="22"/>
        <v>1</v>
      </c>
      <c r="L108" s="2994"/>
      <c r="M108" s="11">
        <f t="shared" si="23"/>
        <v>1</v>
      </c>
      <c r="N108" s="2994"/>
      <c r="O108" s="11">
        <f t="shared" si="24"/>
        <v>1</v>
      </c>
      <c r="P108" s="2994"/>
      <c r="Q108" s="11">
        <f t="shared" si="25"/>
        <v>1</v>
      </c>
      <c r="R108" s="712">
        <f t="shared" ca="1" si="26"/>
        <v>17260</v>
      </c>
      <c r="S108" s="2959">
        <f t="shared" ca="1" si="17"/>
        <v>87</v>
      </c>
    </row>
    <row r="109" spans="1:19">
      <c r="A109" s="2992" t="str">
        <f>Sheet1!F90</f>
        <v>3-512</v>
      </c>
      <c r="B109" s="2992">
        <f>Sheet1!G90</f>
        <v>49.53</v>
      </c>
      <c r="C109" s="11">
        <f t="shared" si="18"/>
        <v>1</v>
      </c>
      <c r="D109" s="2994"/>
      <c r="E109" s="11">
        <f t="shared" si="19"/>
        <v>1</v>
      </c>
      <c r="F109" s="2994"/>
      <c r="G109" s="11">
        <f t="shared" si="20"/>
        <v>1</v>
      </c>
      <c r="H109" s="2994"/>
      <c r="I109" s="11">
        <f t="shared" si="21"/>
        <v>1</v>
      </c>
      <c r="J109" s="2994"/>
      <c r="K109" s="11">
        <f t="shared" si="22"/>
        <v>1</v>
      </c>
      <c r="L109" s="2994"/>
      <c r="M109" s="11">
        <f t="shared" si="23"/>
        <v>1</v>
      </c>
      <c r="N109" s="2994"/>
      <c r="O109" s="11">
        <f t="shared" si="24"/>
        <v>1</v>
      </c>
      <c r="P109" s="2994"/>
      <c r="Q109" s="11">
        <f t="shared" si="25"/>
        <v>1</v>
      </c>
      <c r="R109" s="712">
        <f t="shared" ca="1" si="26"/>
        <v>17260</v>
      </c>
      <c r="S109" s="2959">
        <f t="shared" ca="1" si="17"/>
        <v>85</v>
      </c>
    </row>
    <row r="110" spans="1:19">
      <c r="A110" s="2992" t="str">
        <f>Sheet1!F91</f>
        <v>3-513</v>
      </c>
      <c r="B110" s="2992">
        <f>Sheet1!G91</f>
        <v>55.7</v>
      </c>
      <c r="C110" s="11">
        <f t="shared" si="18"/>
        <v>1</v>
      </c>
      <c r="D110" s="2994"/>
      <c r="E110" s="11">
        <f t="shared" si="19"/>
        <v>1</v>
      </c>
      <c r="F110" s="2994"/>
      <c r="G110" s="11">
        <f t="shared" si="20"/>
        <v>1</v>
      </c>
      <c r="H110" s="2994"/>
      <c r="I110" s="11">
        <f t="shared" si="21"/>
        <v>1</v>
      </c>
      <c r="J110" s="2994"/>
      <c r="K110" s="11">
        <f t="shared" si="22"/>
        <v>1</v>
      </c>
      <c r="L110" s="2994"/>
      <c r="M110" s="11">
        <f t="shared" si="23"/>
        <v>1</v>
      </c>
      <c r="N110" s="2994"/>
      <c r="O110" s="11">
        <f t="shared" si="24"/>
        <v>1</v>
      </c>
      <c r="P110" s="2994"/>
      <c r="Q110" s="11">
        <f t="shared" si="25"/>
        <v>1</v>
      </c>
      <c r="R110" s="712">
        <f t="shared" ca="1" si="26"/>
        <v>17260</v>
      </c>
      <c r="S110" s="2959">
        <f t="shared" ca="1" si="17"/>
        <v>96</v>
      </c>
    </row>
    <row r="111" spans="1:19">
      <c r="A111" s="2992" t="str">
        <f>Sheet1!F92</f>
        <v>3-514</v>
      </c>
      <c r="B111" s="2992">
        <f>Sheet1!G92</f>
        <v>60.21</v>
      </c>
      <c r="C111" s="11">
        <f t="shared" si="18"/>
        <v>1</v>
      </c>
      <c r="D111" s="2994"/>
      <c r="E111" s="11">
        <f t="shared" si="19"/>
        <v>1</v>
      </c>
      <c r="F111" s="2994"/>
      <c r="G111" s="11">
        <f t="shared" si="20"/>
        <v>1</v>
      </c>
      <c r="H111" s="2994"/>
      <c r="I111" s="11">
        <f t="shared" si="21"/>
        <v>1</v>
      </c>
      <c r="J111" s="2994"/>
      <c r="K111" s="11">
        <f t="shared" si="22"/>
        <v>1</v>
      </c>
      <c r="L111" s="2994"/>
      <c r="M111" s="11">
        <f t="shared" si="23"/>
        <v>1</v>
      </c>
      <c r="N111" s="2994"/>
      <c r="O111" s="11">
        <f t="shared" si="24"/>
        <v>1</v>
      </c>
      <c r="P111" s="2994"/>
      <c r="Q111" s="11">
        <f t="shared" si="25"/>
        <v>1</v>
      </c>
      <c r="R111" s="712">
        <f t="shared" ca="1" si="26"/>
        <v>17260</v>
      </c>
      <c r="S111" s="2959">
        <f t="shared" ca="1" si="17"/>
        <v>104</v>
      </c>
    </row>
    <row r="112" spans="1:19">
      <c r="A112" s="2992" t="str">
        <f>Sheet1!F93</f>
        <v>3-515</v>
      </c>
      <c r="B112" s="2992">
        <f>Sheet1!G93</f>
        <v>58.75</v>
      </c>
      <c r="C112" s="11">
        <f t="shared" si="18"/>
        <v>1</v>
      </c>
      <c r="D112" s="2994"/>
      <c r="E112" s="11">
        <f t="shared" si="19"/>
        <v>1</v>
      </c>
      <c r="F112" s="2994"/>
      <c r="G112" s="11">
        <f t="shared" si="20"/>
        <v>1</v>
      </c>
      <c r="H112" s="2994"/>
      <c r="I112" s="11">
        <f t="shared" si="21"/>
        <v>1</v>
      </c>
      <c r="J112" s="2994"/>
      <c r="K112" s="11">
        <f t="shared" si="22"/>
        <v>1</v>
      </c>
      <c r="L112" s="2994"/>
      <c r="M112" s="11">
        <f t="shared" si="23"/>
        <v>1</v>
      </c>
      <c r="N112" s="2994"/>
      <c r="O112" s="11">
        <f t="shared" si="24"/>
        <v>1</v>
      </c>
      <c r="P112" s="2994"/>
      <c r="Q112" s="11">
        <f t="shared" si="25"/>
        <v>1</v>
      </c>
      <c r="R112" s="712">
        <f t="shared" ca="1" si="26"/>
        <v>17260</v>
      </c>
      <c r="S112" s="2959">
        <f t="shared" ca="1" si="17"/>
        <v>101</v>
      </c>
    </row>
    <row r="113" spans="1:19">
      <c r="A113" s="2992" t="str">
        <f>Sheet1!F94</f>
        <v>3-516</v>
      </c>
      <c r="B113" s="2992">
        <f>Sheet1!G94</f>
        <v>61.88</v>
      </c>
      <c r="C113" s="11">
        <f t="shared" si="18"/>
        <v>1</v>
      </c>
      <c r="D113" s="2994"/>
      <c r="E113" s="11">
        <f t="shared" si="19"/>
        <v>1</v>
      </c>
      <c r="F113" s="2994"/>
      <c r="G113" s="11">
        <f t="shared" si="20"/>
        <v>1</v>
      </c>
      <c r="H113" s="2994"/>
      <c r="I113" s="11">
        <f t="shared" si="21"/>
        <v>1</v>
      </c>
      <c r="J113" s="2994"/>
      <c r="K113" s="11">
        <f t="shared" si="22"/>
        <v>1</v>
      </c>
      <c r="L113" s="2994"/>
      <c r="M113" s="11">
        <f t="shared" si="23"/>
        <v>1</v>
      </c>
      <c r="N113" s="2994"/>
      <c r="O113" s="11">
        <f t="shared" si="24"/>
        <v>1</v>
      </c>
      <c r="P113" s="2994"/>
      <c r="Q113" s="11">
        <f t="shared" si="25"/>
        <v>1</v>
      </c>
      <c r="R113" s="712">
        <f t="shared" ca="1" si="26"/>
        <v>17260</v>
      </c>
      <c r="S113" s="2959">
        <f t="shared" ca="1" si="17"/>
        <v>107</v>
      </c>
    </row>
    <row r="114" spans="1:19">
      <c r="A114" s="2992" t="str">
        <f>Sheet1!F95</f>
        <v>3-517</v>
      </c>
      <c r="B114" s="2992">
        <f>Sheet1!G95</f>
        <v>61.41</v>
      </c>
      <c r="C114" s="11">
        <f t="shared" si="18"/>
        <v>1</v>
      </c>
      <c r="D114" s="2994"/>
      <c r="E114" s="11">
        <f t="shared" si="19"/>
        <v>1</v>
      </c>
      <c r="F114" s="2994"/>
      <c r="G114" s="11">
        <f t="shared" si="20"/>
        <v>1</v>
      </c>
      <c r="H114" s="2994"/>
      <c r="I114" s="11">
        <f t="shared" si="21"/>
        <v>1</v>
      </c>
      <c r="J114" s="2994"/>
      <c r="K114" s="11">
        <f t="shared" si="22"/>
        <v>1</v>
      </c>
      <c r="L114" s="2994"/>
      <c r="M114" s="11">
        <f t="shared" si="23"/>
        <v>1</v>
      </c>
      <c r="N114" s="2994"/>
      <c r="O114" s="11">
        <f t="shared" si="24"/>
        <v>1</v>
      </c>
      <c r="P114" s="2994"/>
      <c r="Q114" s="11">
        <f t="shared" si="25"/>
        <v>1</v>
      </c>
      <c r="R114" s="712">
        <f t="shared" ca="1" si="26"/>
        <v>17260</v>
      </c>
      <c r="S114" s="2959">
        <f t="shared" ca="1" si="17"/>
        <v>106</v>
      </c>
    </row>
    <row r="115" spans="1:19">
      <c r="A115" s="2992" t="str">
        <f>Sheet1!F96</f>
        <v>3-518</v>
      </c>
      <c r="B115" s="2992">
        <f>Sheet1!G96</f>
        <v>61.41</v>
      </c>
      <c r="C115" s="11">
        <f t="shared" si="18"/>
        <v>1</v>
      </c>
      <c r="D115" s="2994"/>
      <c r="E115" s="11">
        <f t="shared" si="19"/>
        <v>1</v>
      </c>
      <c r="F115" s="2994"/>
      <c r="G115" s="11">
        <f t="shared" si="20"/>
        <v>1</v>
      </c>
      <c r="H115" s="2994"/>
      <c r="I115" s="11">
        <f t="shared" si="21"/>
        <v>1</v>
      </c>
      <c r="J115" s="2994"/>
      <c r="K115" s="11">
        <f t="shared" si="22"/>
        <v>1</v>
      </c>
      <c r="L115" s="2994"/>
      <c r="M115" s="11">
        <f t="shared" si="23"/>
        <v>1</v>
      </c>
      <c r="N115" s="2994"/>
      <c r="O115" s="11">
        <f t="shared" si="24"/>
        <v>1</v>
      </c>
      <c r="P115" s="2994"/>
      <c r="Q115" s="11">
        <f t="shared" si="25"/>
        <v>1</v>
      </c>
      <c r="R115" s="712">
        <f t="shared" ca="1" si="26"/>
        <v>17260</v>
      </c>
      <c r="S115" s="2959">
        <f t="shared" ca="1" si="17"/>
        <v>106</v>
      </c>
    </row>
    <row r="116" spans="1:19">
      <c r="A116" s="2992" t="str">
        <f>Sheet1!F97</f>
        <v>3-519</v>
      </c>
      <c r="B116" s="2992">
        <f>Sheet1!G97</f>
        <v>61.41</v>
      </c>
      <c r="C116" s="11">
        <f t="shared" si="18"/>
        <v>1</v>
      </c>
      <c r="D116" s="2994"/>
      <c r="E116" s="11">
        <f t="shared" si="19"/>
        <v>1</v>
      </c>
      <c r="F116" s="2994"/>
      <c r="G116" s="11">
        <f t="shared" si="20"/>
        <v>1</v>
      </c>
      <c r="H116" s="2994"/>
      <c r="I116" s="11">
        <f t="shared" si="21"/>
        <v>1</v>
      </c>
      <c r="J116" s="2994"/>
      <c r="K116" s="11">
        <f t="shared" si="22"/>
        <v>1</v>
      </c>
      <c r="L116" s="2994"/>
      <c r="M116" s="11">
        <f t="shared" si="23"/>
        <v>1</v>
      </c>
      <c r="N116" s="2994"/>
      <c r="O116" s="11">
        <f t="shared" si="24"/>
        <v>1</v>
      </c>
      <c r="P116" s="2994"/>
      <c r="Q116" s="11">
        <f t="shared" si="25"/>
        <v>1</v>
      </c>
      <c r="R116" s="712">
        <f t="shared" ca="1" si="26"/>
        <v>17260</v>
      </c>
      <c r="S116" s="2959">
        <f t="shared" ca="1" si="17"/>
        <v>106</v>
      </c>
    </row>
    <row r="117" spans="1:19">
      <c r="A117" s="2992" t="str">
        <f>Sheet1!F98</f>
        <v>4-501</v>
      </c>
      <c r="B117" s="2992">
        <f>Sheet1!G98</f>
        <v>65.760000000000005</v>
      </c>
      <c r="C117" s="11">
        <f t="shared" si="18"/>
        <v>1</v>
      </c>
      <c r="D117" s="2994"/>
      <c r="E117" s="11">
        <f t="shared" si="19"/>
        <v>1</v>
      </c>
      <c r="F117" s="2994"/>
      <c r="G117" s="11">
        <f t="shared" si="20"/>
        <v>1</v>
      </c>
      <c r="H117" s="2994"/>
      <c r="I117" s="11">
        <f t="shared" si="21"/>
        <v>1</v>
      </c>
      <c r="J117" s="2994"/>
      <c r="K117" s="11">
        <f t="shared" si="22"/>
        <v>1</v>
      </c>
      <c r="L117" s="2994"/>
      <c r="M117" s="11">
        <f t="shared" si="23"/>
        <v>1</v>
      </c>
      <c r="N117" s="2994"/>
      <c r="O117" s="11">
        <f t="shared" si="24"/>
        <v>1</v>
      </c>
      <c r="P117" s="2994"/>
      <c r="Q117" s="11">
        <f t="shared" si="25"/>
        <v>1</v>
      </c>
      <c r="R117" s="712">
        <f t="shared" ca="1" si="26"/>
        <v>17260</v>
      </c>
      <c r="S117" s="2959">
        <f t="shared" ca="1" si="17"/>
        <v>114</v>
      </c>
    </row>
    <row r="118" spans="1:19">
      <c r="A118" s="2992" t="str">
        <f>Sheet1!F99</f>
        <v>4-502</v>
      </c>
      <c r="B118" s="2992">
        <f>Sheet1!G99</f>
        <v>59.41</v>
      </c>
      <c r="C118" s="11">
        <f t="shared" si="18"/>
        <v>1</v>
      </c>
      <c r="D118" s="2994"/>
      <c r="E118" s="11">
        <f t="shared" si="19"/>
        <v>1</v>
      </c>
      <c r="F118" s="2994"/>
      <c r="G118" s="11">
        <f t="shared" si="20"/>
        <v>1</v>
      </c>
      <c r="H118" s="2994"/>
      <c r="I118" s="11">
        <f t="shared" si="21"/>
        <v>1</v>
      </c>
      <c r="J118" s="2994"/>
      <c r="K118" s="11">
        <f t="shared" si="22"/>
        <v>1</v>
      </c>
      <c r="L118" s="2994"/>
      <c r="M118" s="11">
        <f t="shared" si="23"/>
        <v>1</v>
      </c>
      <c r="N118" s="2994"/>
      <c r="O118" s="11">
        <f t="shared" si="24"/>
        <v>1</v>
      </c>
      <c r="P118" s="2994"/>
      <c r="Q118" s="11">
        <f t="shared" si="25"/>
        <v>1</v>
      </c>
      <c r="R118" s="712">
        <f t="shared" ca="1" si="26"/>
        <v>17260</v>
      </c>
      <c r="S118" s="2959">
        <f t="shared" ca="1" si="17"/>
        <v>103</v>
      </c>
    </row>
    <row r="119" spans="1:19">
      <c r="A119" s="2992" t="str">
        <f>Sheet1!F100</f>
        <v>4-503</v>
      </c>
      <c r="B119" s="2992">
        <f>Sheet1!G100</f>
        <v>60.69</v>
      </c>
      <c r="C119" s="11">
        <f t="shared" si="18"/>
        <v>1</v>
      </c>
      <c r="D119" s="2994"/>
      <c r="E119" s="11">
        <f t="shared" si="19"/>
        <v>1</v>
      </c>
      <c r="F119" s="2994"/>
      <c r="G119" s="11">
        <f t="shared" si="20"/>
        <v>1</v>
      </c>
      <c r="H119" s="2994"/>
      <c r="I119" s="11">
        <f t="shared" si="21"/>
        <v>1</v>
      </c>
      <c r="J119" s="2994"/>
      <c r="K119" s="11">
        <f t="shared" si="22"/>
        <v>1</v>
      </c>
      <c r="L119" s="2994"/>
      <c r="M119" s="11">
        <f t="shared" si="23"/>
        <v>1</v>
      </c>
      <c r="N119" s="2994"/>
      <c r="O119" s="11">
        <f t="shared" si="24"/>
        <v>1</v>
      </c>
      <c r="P119" s="2994"/>
      <c r="Q119" s="11">
        <f t="shared" si="25"/>
        <v>1</v>
      </c>
      <c r="R119" s="712">
        <f t="shared" ca="1" si="26"/>
        <v>17260</v>
      </c>
      <c r="S119" s="2959">
        <f t="shared" ca="1" si="17"/>
        <v>105</v>
      </c>
    </row>
    <row r="120" spans="1:19">
      <c r="A120" s="2992" t="str">
        <f>Sheet1!F101</f>
        <v>4-504</v>
      </c>
      <c r="B120" s="2992">
        <f>Sheet1!G101</f>
        <v>60.69</v>
      </c>
      <c r="C120" s="11">
        <f t="shared" si="18"/>
        <v>1</v>
      </c>
      <c r="D120" s="2994"/>
      <c r="E120" s="11">
        <f t="shared" si="19"/>
        <v>1</v>
      </c>
      <c r="F120" s="2994"/>
      <c r="G120" s="11">
        <f t="shared" si="20"/>
        <v>1</v>
      </c>
      <c r="H120" s="2994"/>
      <c r="I120" s="11">
        <f t="shared" si="21"/>
        <v>1</v>
      </c>
      <c r="J120" s="2994"/>
      <c r="K120" s="11">
        <f t="shared" si="22"/>
        <v>1</v>
      </c>
      <c r="L120" s="2994"/>
      <c r="M120" s="11">
        <f t="shared" si="23"/>
        <v>1</v>
      </c>
      <c r="N120" s="2994"/>
      <c r="O120" s="11">
        <f t="shared" si="24"/>
        <v>1</v>
      </c>
      <c r="P120" s="2994"/>
      <c r="Q120" s="11">
        <f t="shared" si="25"/>
        <v>1</v>
      </c>
      <c r="R120" s="712">
        <f t="shared" ca="1" si="26"/>
        <v>17260</v>
      </c>
      <c r="S120" s="2959">
        <f t="shared" ca="1" si="17"/>
        <v>105</v>
      </c>
    </row>
    <row r="121" spans="1:19">
      <c r="A121" s="2992" t="str">
        <f>Sheet1!F102</f>
        <v>4-505</v>
      </c>
      <c r="B121" s="2992">
        <f>Sheet1!G102</f>
        <v>60.69</v>
      </c>
      <c r="C121" s="11">
        <f t="shared" si="18"/>
        <v>1</v>
      </c>
      <c r="D121" s="2994"/>
      <c r="E121" s="11">
        <f t="shared" si="19"/>
        <v>1</v>
      </c>
      <c r="F121" s="2994"/>
      <c r="G121" s="11">
        <f t="shared" si="20"/>
        <v>1</v>
      </c>
      <c r="H121" s="2994"/>
      <c r="I121" s="11">
        <f t="shared" si="21"/>
        <v>1</v>
      </c>
      <c r="J121" s="2994"/>
      <c r="K121" s="11">
        <f t="shared" si="22"/>
        <v>1</v>
      </c>
      <c r="L121" s="2994"/>
      <c r="M121" s="11">
        <f t="shared" si="23"/>
        <v>1</v>
      </c>
      <c r="N121" s="2994"/>
      <c r="O121" s="11">
        <f t="shared" si="24"/>
        <v>1</v>
      </c>
      <c r="P121" s="2994"/>
      <c r="Q121" s="11">
        <f t="shared" si="25"/>
        <v>1</v>
      </c>
      <c r="R121" s="712">
        <f t="shared" ca="1" si="26"/>
        <v>17260</v>
      </c>
      <c r="S121" s="2959">
        <f t="shared" ca="1" si="17"/>
        <v>105</v>
      </c>
    </row>
    <row r="122" spans="1:19">
      <c r="A122" s="2992" t="str">
        <f>Sheet1!F103</f>
        <v>4-506</v>
      </c>
      <c r="B122" s="2992">
        <f>Sheet1!G103</f>
        <v>60.69</v>
      </c>
      <c r="C122" s="11">
        <f t="shared" si="18"/>
        <v>1</v>
      </c>
      <c r="D122" s="2994"/>
      <c r="E122" s="11">
        <f t="shared" si="19"/>
        <v>1</v>
      </c>
      <c r="F122" s="2994"/>
      <c r="G122" s="11">
        <f t="shared" si="20"/>
        <v>1</v>
      </c>
      <c r="H122" s="2994"/>
      <c r="I122" s="11">
        <f t="shared" si="21"/>
        <v>1</v>
      </c>
      <c r="J122" s="2994"/>
      <c r="K122" s="11">
        <f t="shared" si="22"/>
        <v>1</v>
      </c>
      <c r="L122" s="2994"/>
      <c r="M122" s="11">
        <f t="shared" si="23"/>
        <v>1</v>
      </c>
      <c r="N122" s="2994"/>
      <c r="O122" s="11">
        <f t="shared" si="24"/>
        <v>1</v>
      </c>
      <c r="P122" s="2994"/>
      <c r="Q122" s="11">
        <f t="shared" si="25"/>
        <v>1</v>
      </c>
      <c r="R122" s="712">
        <f t="shared" ca="1" si="26"/>
        <v>17260</v>
      </c>
      <c r="S122" s="2959">
        <f t="shared" ca="1" si="17"/>
        <v>105</v>
      </c>
    </row>
    <row r="123" spans="1:19">
      <c r="A123" s="2992" t="str">
        <f>Sheet1!F104</f>
        <v>4-507</v>
      </c>
      <c r="B123" s="2992">
        <f>Sheet1!G104</f>
        <v>60.69</v>
      </c>
      <c r="C123" s="11">
        <f t="shared" si="18"/>
        <v>1</v>
      </c>
      <c r="D123" s="2994"/>
      <c r="E123" s="11">
        <f t="shared" si="19"/>
        <v>1</v>
      </c>
      <c r="F123" s="2994"/>
      <c r="G123" s="11">
        <f t="shared" si="20"/>
        <v>1</v>
      </c>
      <c r="H123" s="2994"/>
      <c r="I123" s="11">
        <f t="shared" si="21"/>
        <v>1</v>
      </c>
      <c r="J123" s="2994"/>
      <c r="K123" s="11">
        <f t="shared" si="22"/>
        <v>1</v>
      </c>
      <c r="L123" s="2994"/>
      <c r="M123" s="11">
        <f t="shared" si="23"/>
        <v>1</v>
      </c>
      <c r="N123" s="2994"/>
      <c r="O123" s="11">
        <f t="shared" si="24"/>
        <v>1</v>
      </c>
      <c r="P123" s="2994"/>
      <c r="Q123" s="11">
        <f t="shared" si="25"/>
        <v>1</v>
      </c>
      <c r="R123" s="712">
        <f t="shared" ca="1" si="26"/>
        <v>17260</v>
      </c>
      <c r="S123" s="2959">
        <f t="shared" ref="S123:S186" ca="1" si="27">ROUND(R123*B123/10000,0)</f>
        <v>105</v>
      </c>
    </row>
    <row r="124" spans="1:19">
      <c r="A124" s="2992" t="str">
        <f>Sheet1!F105</f>
        <v>4-508</v>
      </c>
      <c r="B124" s="2992">
        <f>Sheet1!G105</f>
        <v>60.69</v>
      </c>
      <c r="C124" s="11">
        <f t="shared" si="18"/>
        <v>1</v>
      </c>
      <c r="D124" s="2994"/>
      <c r="E124" s="11">
        <f t="shared" si="19"/>
        <v>1</v>
      </c>
      <c r="F124" s="2994"/>
      <c r="G124" s="11">
        <f t="shared" si="20"/>
        <v>1</v>
      </c>
      <c r="H124" s="2994"/>
      <c r="I124" s="11">
        <f t="shared" si="21"/>
        <v>1</v>
      </c>
      <c r="J124" s="2994"/>
      <c r="K124" s="11">
        <f t="shared" si="22"/>
        <v>1</v>
      </c>
      <c r="L124" s="2994"/>
      <c r="M124" s="11">
        <f t="shared" si="23"/>
        <v>1</v>
      </c>
      <c r="N124" s="2994"/>
      <c r="O124" s="11">
        <f t="shared" si="24"/>
        <v>1</v>
      </c>
      <c r="P124" s="2994"/>
      <c r="Q124" s="11">
        <f t="shared" si="25"/>
        <v>1</v>
      </c>
      <c r="R124" s="712">
        <f t="shared" ca="1" si="26"/>
        <v>17260</v>
      </c>
      <c r="S124" s="2959">
        <f t="shared" ca="1" si="27"/>
        <v>105</v>
      </c>
    </row>
    <row r="125" spans="1:19">
      <c r="A125" s="2992" t="str">
        <f>Sheet1!F106</f>
        <v>4-509</v>
      </c>
      <c r="B125" s="2992">
        <f>Sheet1!G106</f>
        <v>60.69</v>
      </c>
      <c r="C125" s="11">
        <f t="shared" si="18"/>
        <v>1</v>
      </c>
      <c r="D125" s="2994"/>
      <c r="E125" s="11">
        <f t="shared" si="19"/>
        <v>1</v>
      </c>
      <c r="F125" s="2994"/>
      <c r="G125" s="11">
        <f t="shared" si="20"/>
        <v>1</v>
      </c>
      <c r="H125" s="2994"/>
      <c r="I125" s="11">
        <f t="shared" si="21"/>
        <v>1</v>
      </c>
      <c r="J125" s="2994"/>
      <c r="K125" s="11">
        <f t="shared" si="22"/>
        <v>1</v>
      </c>
      <c r="L125" s="2994"/>
      <c r="M125" s="11">
        <f t="shared" si="23"/>
        <v>1</v>
      </c>
      <c r="N125" s="2994"/>
      <c r="O125" s="11">
        <f t="shared" si="24"/>
        <v>1</v>
      </c>
      <c r="P125" s="2994"/>
      <c r="Q125" s="11">
        <f t="shared" si="25"/>
        <v>1</v>
      </c>
      <c r="R125" s="712">
        <f t="shared" ca="1" si="26"/>
        <v>17260</v>
      </c>
      <c r="S125" s="2959">
        <f t="shared" ca="1" si="27"/>
        <v>105</v>
      </c>
    </row>
    <row r="126" spans="1:19">
      <c r="A126" s="2992" t="str">
        <f>Sheet1!F107</f>
        <v>4-510</v>
      </c>
      <c r="B126" s="2992">
        <f>Sheet1!G107</f>
        <v>60.69</v>
      </c>
      <c r="C126" s="11">
        <f t="shared" si="18"/>
        <v>1</v>
      </c>
      <c r="D126" s="2994"/>
      <c r="E126" s="11">
        <f t="shared" si="19"/>
        <v>1</v>
      </c>
      <c r="F126" s="2994"/>
      <c r="G126" s="11">
        <f t="shared" si="20"/>
        <v>1</v>
      </c>
      <c r="H126" s="2994"/>
      <c r="I126" s="11">
        <f t="shared" si="21"/>
        <v>1</v>
      </c>
      <c r="J126" s="2994"/>
      <c r="K126" s="11">
        <f t="shared" si="22"/>
        <v>1</v>
      </c>
      <c r="L126" s="2994"/>
      <c r="M126" s="11">
        <f t="shared" si="23"/>
        <v>1</v>
      </c>
      <c r="N126" s="2994"/>
      <c r="O126" s="11">
        <f t="shared" si="24"/>
        <v>1</v>
      </c>
      <c r="P126" s="2994"/>
      <c r="Q126" s="11">
        <f t="shared" si="25"/>
        <v>1</v>
      </c>
      <c r="R126" s="712">
        <f t="shared" ca="1" si="26"/>
        <v>17260</v>
      </c>
      <c r="S126" s="2959">
        <f t="shared" ca="1" si="27"/>
        <v>105</v>
      </c>
    </row>
    <row r="127" spans="1:19">
      <c r="A127" s="2992" t="str">
        <f>Sheet1!F108</f>
        <v>4-511</v>
      </c>
      <c r="B127" s="2992">
        <f>Sheet1!G108</f>
        <v>60.69</v>
      </c>
      <c r="C127" s="11">
        <f t="shared" si="18"/>
        <v>1</v>
      </c>
      <c r="D127" s="2994"/>
      <c r="E127" s="11">
        <f t="shared" si="19"/>
        <v>1</v>
      </c>
      <c r="F127" s="2994"/>
      <c r="G127" s="11">
        <f t="shared" si="20"/>
        <v>1</v>
      </c>
      <c r="H127" s="2994"/>
      <c r="I127" s="11">
        <f t="shared" si="21"/>
        <v>1</v>
      </c>
      <c r="J127" s="2994"/>
      <c r="K127" s="11">
        <f t="shared" si="22"/>
        <v>1</v>
      </c>
      <c r="L127" s="2994"/>
      <c r="M127" s="11">
        <f t="shared" si="23"/>
        <v>1</v>
      </c>
      <c r="N127" s="2994"/>
      <c r="O127" s="11">
        <f t="shared" si="24"/>
        <v>1</v>
      </c>
      <c r="P127" s="2994"/>
      <c r="Q127" s="11">
        <f t="shared" si="25"/>
        <v>1</v>
      </c>
      <c r="R127" s="712">
        <f t="shared" ca="1" si="26"/>
        <v>17260</v>
      </c>
      <c r="S127" s="2959">
        <f t="shared" ca="1" si="27"/>
        <v>105</v>
      </c>
    </row>
    <row r="128" spans="1:19">
      <c r="A128" s="2992" t="str">
        <f>Sheet1!F109</f>
        <v>4-512</v>
      </c>
      <c r="B128" s="2992">
        <f>Sheet1!G109</f>
        <v>48.86</v>
      </c>
      <c r="C128" s="11">
        <f t="shared" si="18"/>
        <v>1</v>
      </c>
      <c r="D128" s="2994"/>
      <c r="E128" s="11">
        <f t="shared" si="19"/>
        <v>1</v>
      </c>
      <c r="F128" s="2994"/>
      <c r="G128" s="11">
        <f t="shared" si="20"/>
        <v>1</v>
      </c>
      <c r="H128" s="2994"/>
      <c r="I128" s="11">
        <f t="shared" si="21"/>
        <v>1</v>
      </c>
      <c r="J128" s="2994"/>
      <c r="K128" s="11">
        <f t="shared" si="22"/>
        <v>1</v>
      </c>
      <c r="L128" s="2994"/>
      <c r="M128" s="11">
        <f t="shared" si="23"/>
        <v>1</v>
      </c>
      <c r="N128" s="2994"/>
      <c r="O128" s="11">
        <f t="shared" si="24"/>
        <v>1</v>
      </c>
      <c r="P128" s="2994"/>
      <c r="Q128" s="11">
        <f t="shared" si="25"/>
        <v>1</v>
      </c>
      <c r="R128" s="712">
        <f t="shared" ca="1" si="26"/>
        <v>17260</v>
      </c>
      <c r="S128" s="2959">
        <f t="shared" ca="1" si="27"/>
        <v>84</v>
      </c>
    </row>
    <row r="129" spans="1:19">
      <c r="A129" s="2992" t="str">
        <f>Sheet1!F110</f>
        <v>4-513</v>
      </c>
      <c r="B129" s="2992">
        <f>Sheet1!G110</f>
        <v>48.86</v>
      </c>
      <c r="C129" s="11">
        <f t="shared" si="18"/>
        <v>1</v>
      </c>
      <c r="D129" s="2994"/>
      <c r="E129" s="11">
        <f t="shared" si="19"/>
        <v>1</v>
      </c>
      <c r="F129" s="2994"/>
      <c r="G129" s="11">
        <f t="shared" si="20"/>
        <v>1</v>
      </c>
      <c r="H129" s="2994"/>
      <c r="I129" s="11">
        <f t="shared" si="21"/>
        <v>1</v>
      </c>
      <c r="J129" s="2994"/>
      <c r="K129" s="11">
        <f t="shared" si="22"/>
        <v>1</v>
      </c>
      <c r="L129" s="2994"/>
      <c r="M129" s="11">
        <f t="shared" si="23"/>
        <v>1</v>
      </c>
      <c r="N129" s="2994"/>
      <c r="O129" s="11">
        <f t="shared" si="24"/>
        <v>1</v>
      </c>
      <c r="P129" s="2994"/>
      <c r="Q129" s="11">
        <f t="shared" si="25"/>
        <v>1</v>
      </c>
      <c r="R129" s="712">
        <f t="shared" ca="1" si="26"/>
        <v>17260</v>
      </c>
      <c r="S129" s="2959">
        <f t="shared" ca="1" si="27"/>
        <v>84</v>
      </c>
    </row>
    <row r="130" spans="1:19">
      <c r="A130" s="2992" t="str">
        <f>Sheet1!F111</f>
        <v>4-514</v>
      </c>
      <c r="B130" s="2992">
        <f>Sheet1!G111</f>
        <v>48.86</v>
      </c>
      <c r="C130" s="11">
        <f t="shared" si="18"/>
        <v>1</v>
      </c>
      <c r="D130" s="2994"/>
      <c r="E130" s="11">
        <f t="shared" si="19"/>
        <v>1</v>
      </c>
      <c r="F130" s="2994"/>
      <c r="G130" s="11">
        <f t="shared" si="20"/>
        <v>1</v>
      </c>
      <c r="H130" s="2994"/>
      <c r="I130" s="11">
        <f t="shared" si="21"/>
        <v>1</v>
      </c>
      <c r="J130" s="2994"/>
      <c r="K130" s="11">
        <f t="shared" si="22"/>
        <v>1</v>
      </c>
      <c r="L130" s="2994"/>
      <c r="M130" s="11">
        <f t="shared" si="23"/>
        <v>1</v>
      </c>
      <c r="N130" s="2994"/>
      <c r="O130" s="11">
        <f t="shared" si="24"/>
        <v>1</v>
      </c>
      <c r="P130" s="2994"/>
      <c r="Q130" s="11">
        <f t="shared" si="25"/>
        <v>1</v>
      </c>
      <c r="R130" s="712">
        <f t="shared" ca="1" si="26"/>
        <v>17260</v>
      </c>
      <c r="S130" s="2959">
        <f t="shared" ca="1" si="27"/>
        <v>84</v>
      </c>
    </row>
    <row r="131" spans="1:19">
      <c r="A131" s="2992" t="str">
        <f>Sheet1!F112</f>
        <v>4-515</v>
      </c>
      <c r="B131" s="2992">
        <f>Sheet1!G112</f>
        <v>54.87</v>
      </c>
      <c r="C131" s="11">
        <f t="shared" si="18"/>
        <v>1</v>
      </c>
      <c r="D131" s="2994"/>
      <c r="E131" s="11">
        <f t="shared" si="19"/>
        <v>1</v>
      </c>
      <c r="F131" s="2994"/>
      <c r="G131" s="11">
        <f t="shared" si="20"/>
        <v>1</v>
      </c>
      <c r="H131" s="2994"/>
      <c r="I131" s="11">
        <f t="shared" si="21"/>
        <v>1</v>
      </c>
      <c r="J131" s="2994"/>
      <c r="K131" s="11">
        <f t="shared" si="22"/>
        <v>1</v>
      </c>
      <c r="L131" s="2994"/>
      <c r="M131" s="11">
        <f t="shared" si="23"/>
        <v>1</v>
      </c>
      <c r="N131" s="2994"/>
      <c r="O131" s="11">
        <f t="shared" si="24"/>
        <v>1</v>
      </c>
      <c r="P131" s="2994"/>
      <c r="Q131" s="11">
        <f t="shared" si="25"/>
        <v>1</v>
      </c>
      <c r="R131" s="712">
        <f t="shared" ca="1" si="26"/>
        <v>17260</v>
      </c>
      <c r="S131" s="2959">
        <f t="shared" ca="1" si="27"/>
        <v>95</v>
      </c>
    </row>
    <row r="132" spans="1:19">
      <c r="A132" s="2992" t="str">
        <f>Sheet1!F113</f>
        <v>4-516</v>
      </c>
      <c r="B132" s="2992">
        <f>Sheet1!G113</f>
        <v>88.13</v>
      </c>
      <c r="C132" s="11">
        <f t="shared" si="18"/>
        <v>1</v>
      </c>
      <c r="D132" s="2994"/>
      <c r="E132" s="11">
        <f t="shared" si="19"/>
        <v>1</v>
      </c>
      <c r="F132" s="2994"/>
      <c r="G132" s="11">
        <f t="shared" si="20"/>
        <v>1</v>
      </c>
      <c r="H132" s="2994"/>
      <c r="I132" s="11">
        <f t="shared" si="21"/>
        <v>1</v>
      </c>
      <c r="J132" s="2994"/>
      <c r="K132" s="11">
        <f t="shared" si="22"/>
        <v>1</v>
      </c>
      <c r="L132" s="2994"/>
      <c r="M132" s="11">
        <f t="shared" si="23"/>
        <v>1</v>
      </c>
      <c r="N132" s="2994"/>
      <c r="O132" s="11">
        <f t="shared" si="24"/>
        <v>1</v>
      </c>
      <c r="P132" s="2994"/>
      <c r="Q132" s="11">
        <f t="shared" si="25"/>
        <v>1</v>
      </c>
      <c r="R132" s="712">
        <f t="shared" ca="1" si="26"/>
        <v>17260</v>
      </c>
      <c r="S132" s="2959">
        <f t="shared" ca="1" si="27"/>
        <v>152</v>
      </c>
    </row>
    <row r="133" spans="1:19">
      <c r="A133" s="2992" t="str">
        <f>Sheet1!F114</f>
        <v>4-517</v>
      </c>
      <c r="B133" s="2992">
        <f>Sheet1!G114</f>
        <v>5.81</v>
      </c>
      <c r="C133" s="11">
        <f t="shared" si="18"/>
        <v>1</v>
      </c>
      <c r="D133" s="2994"/>
      <c r="E133" s="11">
        <f t="shared" si="19"/>
        <v>1</v>
      </c>
      <c r="F133" s="2994"/>
      <c r="G133" s="11">
        <f t="shared" si="20"/>
        <v>1</v>
      </c>
      <c r="H133" s="2994"/>
      <c r="I133" s="11">
        <f t="shared" si="21"/>
        <v>1</v>
      </c>
      <c r="J133" s="2994"/>
      <c r="K133" s="11">
        <f t="shared" si="22"/>
        <v>1</v>
      </c>
      <c r="L133" s="2994"/>
      <c r="M133" s="11">
        <f t="shared" si="23"/>
        <v>1</v>
      </c>
      <c r="N133" s="2994"/>
      <c r="O133" s="11">
        <f t="shared" si="24"/>
        <v>1</v>
      </c>
      <c r="P133" s="2994"/>
      <c r="Q133" s="11">
        <f t="shared" si="25"/>
        <v>1</v>
      </c>
      <c r="R133" s="712">
        <f t="shared" ca="1" si="26"/>
        <v>17260</v>
      </c>
      <c r="S133" s="2959">
        <f t="shared" ca="1" si="27"/>
        <v>10</v>
      </c>
    </row>
    <row r="134" spans="1:19">
      <c r="A134" s="2992" t="str">
        <f>Sheet1!F115</f>
        <v>1-601</v>
      </c>
      <c r="B134" s="2992">
        <f>Sheet1!G115</f>
        <v>186.33</v>
      </c>
      <c r="C134" s="11">
        <f t="shared" si="18"/>
        <v>0.99</v>
      </c>
      <c r="D134" s="2994"/>
      <c r="E134" s="11">
        <f t="shared" si="19"/>
        <v>1</v>
      </c>
      <c r="F134" s="2994"/>
      <c r="G134" s="11">
        <f t="shared" si="20"/>
        <v>1</v>
      </c>
      <c r="H134" s="2994"/>
      <c r="I134" s="11">
        <f t="shared" si="21"/>
        <v>1</v>
      </c>
      <c r="J134" s="2994"/>
      <c r="K134" s="11">
        <f t="shared" si="22"/>
        <v>1</v>
      </c>
      <c r="L134" s="2994"/>
      <c r="M134" s="11">
        <f t="shared" si="23"/>
        <v>1</v>
      </c>
      <c r="N134" s="2994"/>
      <c r="O134" s="11">
        <f t="shared" si="24"/>
        <v>1</v>
      </c>
      <c r="P134" s="2994"/>
      <c r="Q134" s="11">
        <f t="shared" si="25"/>
        <v>1</v>
      </c>
      <c r="R134" s="712">
        <f t="shared" ca="1" si="26"/>
        <v>17087</v>
      </c>
      <c r="S134" s="2959">
        <f t="shared" ca="1" si="27"/>
        <v>318</v>
      </c>
    </row>
    <row r="135" spans="1:19">
      <c r="A135" s="2992" t="str">
        <f>Sheet1!F116</f>
        <v>1-602</v>
      </c>
      <c r="B135" s="2992">
        <f>Sheet1!G116</f>
        <v>188.39</v>
      </c>
      <c r="C135" s="11">
        <f t="shared" si="18"/>
        <v>0.99</v>
      </c>
      <c r="D135" s="2994"/>
      <c r="E135" s="11">
        <f t="shared" si="19"/>
        <v>1</v>
      </c>
      <c r="F135" s="2994"/>
      <c r="G135" s="11">
        <f t="shared" si="20"/>
        <v>1</v>
      </c>
      <c r="H135" s="2994"/>
      <c r="I135" s="11">
        <f t="shared" si="21"/>
        <v>1</v>
      </c>
      <c r="J135" s="2994"/>
      <c r="K135" s="11">
        <f t="shared" si="22"/>
        <v>1</v>
      </c>
      <c r="L135" s="2994"/>
      <c r="M135" s="11">
        <f t="shared" si="23"/>
        <v>1</v>
      </c>
      <c r="N135" s="2994"/>
      <c r="O135" s="11">
        <f t="shared" si="24"/>
        <v>1</v>
      </c>
      <c r="P135" s="2994"/>
      <c r="Q135" s="11">
        <f t="shared" si="25"/>
        <v>1</v>
      </c>
      <c r="R135" s="712">
        <f t="shared" ca="1" si="26"/>
        <v>17087</v>
      </c>
      <c r="S135" s="2959">
        <f t="shared" ca="1" si="27"/>
        <v>322</v>
      </c>
    </row>
    <row r="136" spans="1:19">
      <c r="A136" s="2992" t="str">
        <f>Sheet1!F117</f>
        <v>1-603</v>
      </c>
      <c r="B136" s="2992">
        <f>Sheet1!G117</f>
        <v>188.39</v>
      </c>
      <c r="C136" s="11">
        <f t="shared" si="18"/>
        <v>0.99</v>
      </c>
      <c r="D136" s="2994"/>
      <c r="E136" s="11">
        <f t="shared" si="19"/>
        <v>1</v>
      </c>
      <c r="F136" s="2994"/>
      <c r="G136" s="11">
        <f t="shared" si="20"/>
        <v>1</v>
      </c>
      <c r="H136" s="2994"/>
      <c r="I136" s="11">
        <f t="shared" si="21"/>
        <v>1</v>
      </c>
      <c r="J136" s="2994"/>
      <c r="K136" s="11">
        <f t="shared" si="22"/>
        <v>1</v>
      </c>
      <c r="L136" s="2994"/>
      <c r="M136" s="11">
        <f t="shared" si="23"/>
        <v>1</v>
      </c>
      <c r="N136" s="2994"/>
      <c r="O136" s="11">
        <f t="shared" si="24"/>
        <v>1</v>
      </c>
      <c r="P136" s="2994"/>
      <c r="Q136" s="11">
        <f t="shared" si="25"/>
        <v>1</v>
      </c>
      <c r="R136" s="712">
        <f t="shared" ca="1" si="26"/>
        <v>17087</v>
      </c>
      <c r="S136" s="2959">
        <f t="shared" ca="1" si="27"/>
        <v>322</v>
      </c>
    </row>
    <row r="137" spans="1:19">
      <c r="A137" s="2992" t="str">
        <f>Sheet1!F118</f>
        <v>1-604</v>
      </c>
      <c r="B137" s="2992">
        <f>Sheet1!G118</f>
        <v>188.39</v>
      </c>
      <c r="C137" s="11">
        <f t="shared" si="18"/>
        <v>0.99</v>
      </c>
      <c r="D137" s="2994"/>
      <c r="E137" s="11">
        <f t="shared" si="19"/>
        <v>1</v>
      </c>
      <c r="F137" s="2994"/>
      <c r="G137" s="11">
        <f t="shared" si="20"/>
        <v>1</v>
      </c>
      <c r="H137" s="2994"/>
      <c r="I137" s="11">
        <f t="shared" si="21"/>
        <v>1</v>
      </c>
      <c r="J137" s="2994"/>
      <c r="K137" s="11">
        <f t="shared" si="22"/>
        <v>1</v>
      </c>
      <c r="L137" s="2994"/>
      <c r="M137" s="11">
        <f t="shared" si="23"/>
        <v>1</v>
      </c>
      <c r="N137" s="2994"/>
      <c r="O137" s="11">
        <f t="shared" si="24"/>
        <v>1</v>
      </c>
      <c r="P137" s="2994"/>
      <c r="Q137" s="11">
        <f t="shared" si="25"/>
        <v>1</v>
      </c>
      <c r="R137" s="712">
        <f t="shared" ca="1" si="26"/>
        <v>17087</v>
      </c>
      <c r="S137" s="2959">
        <f t="shared" ca="1" si="27"/>
        <v>322</v>
      </c>
    </row>
    <row r="138" spans="1:19">
      <c r="A138" s="2992" t="str">
        <f>Sheet1!F119</f>
        <v>1-605</v>
      </c>
      <c r="B138" s="2992">
        <f>Sheet1!G119</f>
        <v>188.39</v>
      </c>
      <c r="C138" s="11">
        <f t="shared" si="18"/>
        <v>0.99</v>
      </c>
      <c r="D138" s="2994"/>
      <c r="E138" s="11">
        <f t="shared" si="19"/>
        <v>1</v>
      </c>
      <c r="F138" s="2994"/>
      <c r="G138" s="11">
        <f t="shared" si="20"/>
        <v>1</v>
      </c>
      <c r="H138" s="2994"/>
      <c r="I138" s="11">
        <f t="shared" si="21"/>
        <v>1</v>
      </c>
      <c r="J138" s="2994"/>
      <c r="K138" s="11">
        <f t="shared" si="22"/>
        <v>1</v>
      </c>
      <c r="L138" s="2994"/>
      <c r="M138" s="11">
        <f t="shared" si="23"/>
        <v>1</v>
      </c>
      <c r="N138" s="2994"/>
      <c r="O138" s="11">
        <f t="shared" si="24"/>
        <v>1</v>
      </c>
      <c r="P138" s="2994"/>
      <c r="Q138" s="11">
        <f t="shared" si="25"/>
        <v>1</v>
      </c>
      <c r="R138" s="712">
        <f t="shared" ca="1" si="26"/>
        <v>17087</v>
      </c>
      <c r="S138" s="2959">
        <f t="shared" ca="1" si="27"/>
        <v>322</v>
      </c>
    </row>
    <row r="139" spans="1:19">
      <c r="A139" s="2992" t="str">
        <f>Sheet1!F120</f>
        <v>1-606</v>
      </c>
      <c r="B139" s="2992">
        <f>Sheet1!G120</f>
        <v>188.39</v>
      </c>
      <c r="C139" s="11">
        <f t="shared" si="18"/>
        <v>0.99</v>
      </c>
      <c r="D139" s="2994"/>
      <c r="E139" s="11">
        <f t="shared" si="19"/>
        <v>1</v>
      </c>
      <c r="F139" s="2994"/>
      <c r="G139" s="11">
        <f t="shared" si="20"/>
        <v>1</v>
      </c>
      <c r="H139" s="2994"/>
      <c r="I139" s="11">
        <f t="shared" si="21"/>
        <v>1</v>
      </c>
      <c r="J139" s="2994"/>
      <c r="K139" s="11">
        <f t="shared" si="22"/>
        <v>1</v>
      </c>
      <c r="L139" s="2994"/>
      <c r="M139" s="11">
        <f t="shared" si="23"/>
        <v>1</v>
      </c>
      <c r="N139" s="2994"/>
      <c r="O139" s="11">
        <f t="shared" si="24"/>
        <v>1</v>
      </c>
      <c r="P139" s="2994"/>
      <c r="Q139" s="11">
        <f t="shared" si="25"/>
        <v>1</v>
      </c>
      <c r="R139" s="712">
        <f t="shared" ca="1" si="26"/>
        <v>17087</v>
      </c>
      <c r="S139" s="2959">
        <f t="shared" ca="1" si="27"/>
        <v>322</v>
      </c>
    </row>
    <row r="140" spans="1:19">
      <c r="A140" s="2992" t="str">
        <f>Sheet1!F121</f>
        <v>1-607</v>
      </c>
      <c r="B140" s="2992">
        <f>Sheet1!G121</f>
        <v>187.53</v>
      </c>
      <c r="C140" s="11">
        <f t="shared" si="18"/>
        <v>0.99</v>
      </c>
      <c r="D140" s="2994"/>
      <c r="E140" s="11">
        <f t="shared" si="19"/>
        <v>1</v>
      </c>
      <c r="F140" s="2994"/>
      <c r="G140" s="11">
        <f t="shared" si="20"/>
        <v>1</v>
      </c>
      <c r="H140" s="2994"/>
      <c r="I140" s="11">
        <f t="shared" si="21"/>
        <v>1</v>
      </c>
      <c r="J140" s="2994"/>
      <c r="K140" s="11">
        <f t="shared" si="22"/>
        <v>1</v>
      </c>
      <c r="L140" s="2994"/>
      <c r="M140" s="11">
        <f t="shared" si="23"/>
        <v>1</v>
      </c>
      <c r="N140" s="2994"/>
      <c r="O140" s="11">
        <f t="shared" si="24"/>
        <v>1</v>
      </c>
      <c r="P140" s="2994"/>
      <c r="Q140" s="11">
        <f t="shared" si="25"/>
        <v>1</v>
      </c>
      <c r="R140" s="712">
        <f t="shared" ca="1" si="26"/>
        <v>17087</v>
      </c>
      <c r="S140" s="2959">
        <f t="shared" ca="1" si="27"/>
        <v>320</v>
      </c>
    </row>
    <row r="141" spans="1:19">
      <c r="A141" s="2992" t="str">
        <f>Sheet1!F122</f>
        <v>1-608</v>
      </c>
      <c r="B141" s="2992">
        <f>Sheet1!G122</f>
        <v>210.19</v>
      </c>
      <c r="C141" s="11">
        <f t="shared" si="18"/>
        <v>0.98</v>
      </c>
      <c r="D141" s="2994"/>
      <c r="E141" s="11">
        <f t="shared" si="19"/>
        <v>1</v>
      </c>
      <c r="F141" s="2994"/>
      <c r="G141" s="11">
        <f t="shared" si="20"/>
        <v>1</v>
      </c>
      <c r="H141" s="2994"/>
      <c r="I141" s="11">
        <f t="shared" si="21"/>
        <v>1</v>
      </c>
      <c r="J141" s="2994"/>
      <c r="K141" s="11">
        <f t="shared" si="22"/>
        <v>1</v>
      </c>
      <c r="L141" s="2994"/>
      <c r="M141" s="11">
        <f t="shared" si="23"/>
        <v>1</v>
      </c>
      <c r="N141" s="2994"/>
      <c r="O141" s="11">
        <f t="shared" si="24"/>
        <v>1</v>
      </c>
      <c r="P141" s="2994"/>
      <c r="Q141" s="11">
        <f t="shared" si="25"/>
        <v>1</v>
      </c>
      <c r="R141" s="712">
        <f t="shared" ca="1" si="26"/>
        <v>16915</v>
      </c>
      <c r="S141" s="2959">
        <f t="shared" ca="1" si="27"/>
        <v>356</v>
      </c>
    </row>
    <row r="142" spans="1:19">
      <c r="A142" s="2992" t="str">
        <f>Sheet1!F123</f>
        <v>1-609</v>
      </c>
      <c r="B142" s="2992">
        <f>Sheet1!G123</f>
        <v>169.2</v>
      </c>
      <c r="C142" s="11">
        <f t="shared" si="18"/>
        <v>0.99</v>
      </c>
      <c r="D142" s="2994"/>
      <c r="E142" s="11">
        <f t="shared" si="19"/>
        <v>1</v>
      </c>
      <c r="F142" s="2994"/>
      <c r="G142" s="11">
        <f t="shared" si="20"/>
        <v>1</v>
      </c>
      <c r="H142" s="2994"/>
      <c r="I142" s="11">
        <f t="shared" si="21"/>
        <v>1</v>
      </c>
      <c r="J142" s="2994"/>
      <c r="K142" s="11">
        <f t="shared" si="22"/>
        <v>1</v>
      </c>
      <c r="L142" s="2994"/>
      <c r="M142" s="11">
        <f t="shared" si="23"/>
        <v>1</v>
      </c>
      <c r="N142" s="2994"/>
      <c r="O142" s="11">
        <f t="shared" si="24"/>
        <v>1</v>
      </c>
      <c r="P142" s="2994"/>
      <c r="Q142" s="11">
        <f t="shared" si="25"/>
        <v>1</v>
      </c>
      <c r="R142" s="712">
        <f t="shared" ca="1" si="26"/>
        <v>17087</v>
      </c>
      <c r="S142" s="2959">
        <f t="shared" ca="1" si="27"/>
        <v>289</v>
      </c>
    </row>
    <row r="143" spans="1:19">
      <c r="A143" s="2992" t="str">
        <f>Sheet1!F124</f>
        <v>1-610</v>
      </c>
      <c r="B143" s="2992">
        <f>Sheet1!G124</f>
        <v>178.35</v>
      </c>
      <c r="C143" s="11">
        <f t="shared" si="18"/>
        <v>0.99</v>
      </c>
      <c r="D143" s="2994"/>
      <c r="E143" s="11">
        <f t="shared" si="19"/>
        <v>1</v>
      </c>
      <c r="F143" s="2994"/>
      <c r="G143" s="11">
        <f t="shared" si="20"/>
        <v>1</v>
      </c>
      <c r="H143" s="2994"/>
      <c r="I143" s="11">
        <f t="shared" si="21"/>
        <v>1</v>
      </c>
      <c r="J143" s="2994"/>
      <c r="K143" s="11">
        <f t="shared" si="22"/>
        <v>1</v>
      </c>
      <c r="L143" s="2994"/>
      <c r="M143" s="11">
        <f t="shared" si="23"/>
        <v>1</v>
      </c>
      <c r="N143" s="2994"/>
      <c r="O143" s="11">
        <f t="shared" si="24"/>
        <v>1</v>
      </c>
      <c r="P143" s="2994"/>
      <c r="Q143" s="11">
        <f t="shared" si="25"/>
        <v>1</v>
      </c>
      <c r="R143" s="712">
        <f t="shared" ca="1" si="26"/>
        <v>17087</v>
      </c>
      <c r="S143" s="2959">
        <f t="shared" ca="1" si="27"/>
        <v>305</v>
      </c>
    </row>
    <row r="144" spans="1:19">
      <c r="A144" s="2992" t="str">
        <f>Sheet1!F125</f>
        <v>1-611</v>
      </c>
      <c r="B144" s="2992">
        <f>Sheet1!G125</f>
        <v>208.92</v>
      </c>
      <c r="C144" s="11">
        <f t="shared" si="18"/>
        <v>0.98</v>
      </c>
      <c r="D144" s="2994"/>
      <c r="E144" s="11">
        <f t="shared" si="19"/>
        <v>1</v>
      </c>
      <c r="F144" s="2994"/>
      <c r="G144" s="11">
        <f t="shared" si="20"/>
        <v>1</v>
      </c>
      <c r="H144" s="2994"/>
      <c r="I144" s="11">
        <f t="shared" si="21"/>
        <v>1</v>
      </c>
      <c r="J144" s="2994"/>
      <c r="K144" s="11">
        <f t="shared" si="22"/>
        <v>1</v>
      </c>
      <c r="L144" s="2994"/>
      <c r="M144" s="11">
        <f t="shared" si="23"/>
        <v>1</v>
      </c>
      <c r="N144" s="2994"/>
      <c r="O144" s="11">
        <f t="shared" si="24"/>
        <v>1</v>
      </c>
      <c r="P144" s="2994"/>
      <c r="Q144" s="11">
        <f t="shared" si="25"/>
        <v>1</v>
      </c>
      <c r="R144" s="712">
        <f t="shared" ca="1" si="26"/>
        <v>16915</v>
      </c>
      <c r="S144" s="2959">
        <f t="shared" ca="1" si="27"/>
        <v>353</v>
      </c>
    </row>
    <row r="145" spans="1:19">
      <c r="A145" s="2992" t="str">
        <f>Sheet1!F126</f>
        <v>1-612</v>
      </c>
      <c r="B145" s="2992">
        <f>Sheet1!G126</f>
        <v>188.35</v>
      </c>
      <c r="C145" s="11">
        <f t="shared" si="18"/>
        <v>0.99</v>
      </c>
      <c r="D145" s="2994"/>
      <c r="E145" s="11">
        <f t="shared" si="19"/>
        <v>1</v>
      </c>
      <c r="F145" s="2994"/>
      <c r="G145" s="11">
        <f t="shared" si="20"/>
        <v>1</v>
      </c>
      <c r="H145" s="2994"/>
      <c r="I145" s="11">
        <f t="shared" si="21"/>
        <v>1</v>
      </c>
      <c r="J145" s="2994"/>
      <c r="K145" s="11">
        <f t="shared" si="22"/>
        <v>1</v>
      </c>
      <c r="L145" s="2994"/>
      <c r="M145" s="11">
        <f t="shared" si="23"/>
        <v>1</v>
      </c>
      <c r="N145" s="2994"/>
      <c r="O145" s="11">
        <f t="shared" si="24"/>
        <v>1</v>
      </c>
      <c r="P145" s="2994"/>
      <c r="Q145" s="11">
        <f t="shared" si="25"/>
        <v>1</v>
      </c>
      <c r="R145" s="712">
        <f t="shared" ca="1" si="26"/>
        <v>17087</v>
      </c>
      <c r="S145" s="2959">
        <f t="shared" ca="1" si="27"/>
        <v>322</v>
      </c>
    </row>
    <row r="146" spans="1:19">
      <c r="A146" s="2992" t="str">
        <f>Sheet1!F127</f>
        <v>1-613</v>
      </c>
      <c r="B146" s="2992">
        <f>Sheet1!G127</f>
        <v>188.39</v>
      </c>
      <c r="C146" s="11">
        <f t="shared" si="18"/>
        <v>0.99</v>
      </c>
      <c r="D146" s="2994"/>
      <c r="E146" s="11">
        <f t="shared" si="19"/>
        <v>1</v>
      </c>
      <c r="F146" s="2994"/>
      <c r="G146" s="11">
        <f t="shared" si="20"/>
        <v>1</v>
      </c>
      <c r="H146" s="2994"/>
      <c r="I146" s="11">
        <f t="shared" si="21"/>
        <v>1</v>
      </c>
      <c r="J146" s="2994"/>
      <c r="K146" s="11">
        <f t="shared" si="22"/>
        <v>1</v>
      </c>
      <c r="L146" s="2994"/>
      <c r="M146" s="11">
        <f t="shared" si="23"/>
        <v>1</v>
      </c>
      <c r="N146" s="2994"/>
      <c r="O146" s="11">
        <f t="shared" si="24"/>
        <v>1</v>
      </c>
      <c r="P146" s="2994"/>
      <c r="Q146" s="11">
        <f t="shared" si="25"/>
        <v>1</v>
      </c>
      <c r="R146" s="712">
        <f t="shared" ca="1" si="26"/>
        <v>17087</v>
      </c>
      <c r="S146" s="2959">
        <f t="shared" ca="1" si="27"/>
        <v>322</v>
      </c>
    </row>
    <row r="147" spans="1:19">
      <c r="A147" s="2992" t="str">
        <f>Sheet1!F128</f>
        <v>1-614</v>
      </c>
      <c r="B147" s="2992">
        <f>Sheet1!G128</f>
        <v>188.39</v>
      </c>
      <c r="C147" s="11">
        <f t="shared" si="18"/>
        <v>0.99</v>
      </c>
      <c r="D147" s="2994"/>
      <c r="E147" s="11">
        <f t="shared" si="19"/>
        <v>1</v>
      </c>
      <c r="F147" s="2994"/>
      <c r="G147" s="11">
        <f t="shared" si="20"/>
        <v>1</v>
      </c>
      <c r="H147" s="2994"/>
      <c r="I147" s="11">
        <f t="shared" si="21"/>
        <v>1</v>
      </c>
      <c r="J147" s="2994"/>
      <c r="K147" s="11">
        <f t="shared" si="22"/>
        <v>1</v>
      </c>
      <c r="L147" s="2994"/>
      <c r="M147" s="11">
        <f t="shared" si="23"/>
        <v>1</v>
      </c>
      <c r="N147" s="2994"/>
      <c r="O147" s="11">
        <f t="shared" si="24"/>
        <v>1</v>
      </c>
      <c r="P147" s="2994"/>
      <c r="Q147" s="11">
        <f t="shared" si="25"/>
        <v>1</v>
      </c>
      <c r="R147" s="712">
        <f t="shared" ca="1" si="26"/>
        <v>17087</v>
      </c>
      <c r="S147" s="2959">
        <f t="shared" ca="1" si="27"/>
        <v>322</v>
      </c>
    </row>
    <row r="148" spans="1:19">
      <c r="A148" s="2992" t="str">
        <f>Sheet1!F129</f>
        <v>1-615</v>
      </c>
      <c r="B148" s="2992">
        <f>Sheet1!G129</f>
        <v>188.39</v>
      </c>
      <c r="C148" s="11">
        <f t="shared" si="18"/>
        <v>0.99</v>
      </c>
      <c r="D148" s="2994"/>
      <c r="E148" s="11">
        <f t="shared" si="19"/>
        <v>1</v>
      </c>
      <c r="F148" s="2994"/>
      <c r="G148" s="11">
        <f t="shared" si="20"/>
        <v>1</v>
      </c>
      <c r="H148" s="2994"/>
      <c r="I148" s="11">
        <f t="shared" si="21"/>
        <v>1</v>
      </c>
      <c r="J148" s="2994"/>
      <c r="K148" s="11">
        <f t="shared" si="22"/>
        <v>1</v>
      </c>
      <c r="L148" s="2994"/>
      <c r="M148" s="11">
        <f t="shared" si="23"/>
        <v>1</v>
      </c>
      <c r="N148" s="2994"/>
      <c r="O148" s="11">
        <f t="shared" si="24"/>
        <v>1</v>
      </c>
      <c r="P148" s="2994"/>
      <c r="Q148" s="11">
        <f t="shared" si="25"/>
        <v>1</v>
      </c>
      <c r="R148" s="712">
        <f t="shared" ca="1" si="26"/>
        <v>17087</v>
      </c>
      <c r="S148" s="2959">
        <f t="shared" ca="1" si="27"/>
        <v>322</v>
      </c>
    </row>
    <row r="149" spans="1:19">
      <c r="A149" s="2992" t="str">
        <f>Sheet1!F130</f>
        <v>1-616</v>
      </c>
      <c r="B149" s="2992">
        <f>Sheet1!G130</f>
        <v>188.39</v>
      </c>
      <c r="C149" s="11">
        <f t="shared" si="18"/>
        <v>0.99</v>
      </c>
      <c r="D149" s="2994"/>
      <c r="E149" s="11">
        <f t="shared" si="19"/>
        <v>1</v>
      </c>
      <c r="F149" s="2994"/>
      <c r="G149" s="11">
        <f t="shared" si="20"/>
        <v>1</v>
      </c>
      <c r="H149" s="2994"/>
      <c r="I149" s="11">
        <f t="shared" si="21"/>
        <v>1</v>
      </c>
      <c r="J149" s="2994"/>
      <c r="K149" s="11">
        <f t="shared" si="22"/>
        <v>1</v>
      </c>
      <c r="L149" s="2994"/>
      <c r="M149" s="11">
        <f t="shared" si="23"/>
        <v>1</v>
      </c>
      <c r="N149" s="2994"/>
      <c r="O149" s="11">
        <f t="shared" si="24"/>
        <v>1</v>
      </c>
      <c r="P149" s="2994"/>
      <c r="Q149" s="11">
        <f t="shared" si="25"/>
        <v>1</v>
      </c>
      <c r="R149" s="712">
        <f t="shared" ca="1" si="26"/>
        <v>17087</v>
      </c>
      <c r="S149" s="2959">
        <f t="shared" ca="1" si="27"/>
        <v>322</v>
      </c>
    </row>
    <row r="150" spans="1:19">
      <c r="A150" s="2992" t="str">
        <f>Sheet1!F131</f>
        <v>1-617</v>
      </c>
      <c r="B150" s="2992">
        <f>Sheet1!G131</f>
        <v>188.39</v>
      </c>
      <c r="C150" s="11">
        <f t="shared" si="18"/>
        <v>0.99</v>
      </c>
      <c r="D150" s="2994"/>
      <c r="E150" s="11">
        <f t="shared" si="19"/>
        <v>1</v>
      </c>
      <c r="F150" s="2994"/>
      <c r="G150" s="11">
        <f t="shared" si="20"/>
        <v>1</v>
      </c>
      <c r="H150" s="2994"/>
      <c r="I150" s="11">
        <f t="shared" si="21"/>
        <v>1</v>
      </c>
      <c r="J150" s="2994"/>
      <c r="K150" s="11">
        <f t="shared" si="22"/>
        <v>1</v>
      </c>
      <c r="L150" s="2994"/>
      <c r="M150" s="11">
        <f t="shared" si="23"/>
        <v>1</v>
      </c>
      <c r="N150" s="2994"/>
      <c r="O150" s="11">
        <f t="shared" si="24"/>
        <v>1</v>
      </c>
      <c r="P150" s="2994"/>
      <c r="Q150" s="11">
        <f t="shared" si="25"/>
        <v>1</v>
      </c>
      <c r="R150" s="712">
        <f t="shared" ca="1" si="26"/>
        <v>17087</v>
      </c>
      <c r="S150" s="2959">
        <f t="shared" ca="1" si="27"/>
        <v>322</v>
      </c>
    </row>
    <row r="151" spans="1:19">
      <c r="A151" s="2992" t="str">
        <f>Sheet1!F132</f>
        <v>1-618</v>
      </c>
      <c r="B151" s="2992">
        <f>Sheet1!G132</f>
        <v>279.91000000000003</v>
      </c>
      <c r="C151" s="11">
        <f t="shared" si="18"/>
        <v>0.98</v>
      </c>
      <c r="D151" s="2994"/>
      <c r="E151" s="11">
        <f t="shared" si="19"/>
        <v>1</v>
      </c>
      <c r="F151" s="2994"/>
      <c r="G151" s="11">
        <f t="shared" si="20"/>
        <v>1</v>
      </c>
      <c r="H151" s="2994"/>
      <c r="I151" s="11">
        <f t="shared" si="21"/>
        <v>1</v>
      </c>
      <c r="J151" s="2994"/>
      <c r="K151" s="11">
        <f t="shared" si="22"/>
        <v>1</v>
      </c>
      <c r="L151" s="2994"/>
      <c r="M151" s="11">
        <f t="shared" si="23"/>
        <v>1</v>
      </c>
      <c r="N151" s="2994"/>
      <c r="O151" s="11">
        <f t="shared" si="24"/>
        <v>1</v>
      </c>
      <c r="P151" s="2994"/>
      <c r="Q151" s="11">
        <f t="shared" si="25"/>
        <v>1</v>
      </c>
      <c r="R151" s="712">
        <f t="shared" ca="1" si="26"/>
        <v>16915</v>
      </c>
      <c r="S151" s="2959">
        <f t="shared" ca="1" si="27"/>
        <v>473</v>
      </c>
    </row>
    <row r="152" spans="1:19">
      <c r="A152" s="2992" t="str">
        <f>Sheet1!F133</f>
        <v>1-619</v>
      </c>
      <c r="B152" s="2992">
        <f>Sheet1!G133</f>
        <v>175.75</v>
      </c>
      <c r="C152" s="11">
        <f t="shared" si="18"/>
        <v>0.99</v>
      </c>
      <c r="D152" s="2994"/>
      <c r="E152" s="11">
        <f t="shared" si="19"/>
        <v>1</v>
      </c>
      <c r="F152" s="2994"/>
      <c r="G152" s="11">
        <f t="shared" si="20"/>
        <v>1</v>
      </c>
      <c r="H152" s="2994"/>
      <c r="I152" s="11">
        <f t="shared" si="21"/>
        <v>1</v>
      </c>
      <c r="J152" s="2994"/>
      <c r="K152" s="11">
        <f t="shared" si="22"/>
        <v>1</v>
      </c>
      <c r="L152" s="2994"/>
      <c r="M152" s="11">
        <f t="shared" si="23"/>
        <v>1</v>
      </c>
      <c r="N152" s="2994"/>
      <c r="O152" s="11">
        <f t="shared" si="24"/>
        <v>1</v>
      </c>
      <c r="P152" s="2994"/>
      <c r="Q152" s="11">
        <f t="shared" si="25"/>
        <v>1</v>
      </c>
      <c r="R152" s="712">
        <f t="shared" ca="1" si="26"/>
        <v>17087</v>
      </c>
      <c r="S152" s="2959">
        <f t="shared" ca="1" si="27"/>
        <v>300</v>
      </c>
    </row>
    <row r="153" spans="1:19">
      <c r="A153" s="2992" t="str">
        <f>Sheet1!F134</f>
        <v>1-620</v>
      </c>
      <c r="B153" s="2992">
        <f>Sheet1!G134</f>
        <v>188.32</v>
      </c>
      <c r="C153" s="11">
        <f t="shared" si="18"/>
        <v>0.99</v>
      </c>
      <c r="D153" s="2994"/>
      <c r="E153" s="11">
        <f t="shared" si="19"/>
        <v>1</v>
      </c>
      <c r="F153" s="2994"/>
      <c r="G153" s="11">
        <f t="shared" si="20"/>
        <v>1</v>
      </c>
      <c r="H153" s="2994"/>
      <c r="I153" s="11">
        <f t="shared" si="21"/>
        <v>1</v>
      </c>
      <c r="J153" s="2994"/>
      <c r="K153" s="11">
        <f t="shared" si="22"/>
        <v>1</v>
      </c>
      <c r="L153" s="2994"/>
      <c r="M153" s="11">
        <f t="shared" si="23"/>
        <v>1</v>
      </c>
      <c r="N153" s="2994"/>
      <c r="O153" s="11">
        <f t="shared" si="24"/>
        <v>1</v>
      </c>
      <c r="P153" s="2994"/>
      <c r="Q153" s="11">
        <f t="shared" si="25"/>
        <v>1</v>
      </c>
      <c r="R153" s="712">
        <f t="shared" ca="1" si="26"/>
        <v>17087</v>
      </c>
      <c r="S153" s="2959">
        <f t="shared" ca="1" si="27"/>
        <v>322</v>
      </c>
    </row>
    <row r="154" spans="1:19">
      <c r="A154" s="2992" t="str">
        <f>Sheet1!F135</f>
        <v>2-601</v>
      </c>
      <c r="B154" s="2992">
        <f>Sheet1!G135</f>
        <v>210.22</v>
      </c>
      <c r="C154" s="11">
        <f t="shared" ref="C154:C217" si="28">IF(B154="",1,(LOOKUP(B154,$3:$3,$4:$4)-LOOKUP($B$24,$3:$3,$4:$4)+100)/100)</f>
        <v>0.98</v>
      </c>
      <c r="D154" s="2994"/>
      <c r="E154" s="11">
        <f t="shared" ref="E154:E217" si="29">(SUMIF($5:$5,D154,$6:$6)-SUMIF($5:$5,$D$24,$6:$6)+100)/100</f>
        <v>1</v>
      </c>
      <c r="F154" s="2994"/>
      <c r="G154" s="11">
        <f t="shared" ref="G154:G217" si="30">(SUMIF($7:$7,F154,$8:$8)-SUMIF($7:$7,$F$24,$8:$8)+100)/100</f>
        <v>1</v>
      </c>
      <c r="H154" s="2994"/>
      <c r="I154" s="11">
        <f t="shared" ref="I154:I217" si="31">(SUMIF($9:$9,H154,$10:$10)-SUMIF($9:$9,$H$24,$10:$10)+100)/100</f>
        <v>1</v>
      </c>
      <c r="J154" s="2994"/>
      <c r="K154" s="11">
        <f t="shared" ref="K154:K217" si="32">(SUMIF($11:$11,J154,$12:$12)-SUMIF($11:$11,$J$24,$12:$12)+100)/100</f>
        <v>1</v>
      </c>
      <c r="L154" s="2994"/>
      <c r="M154" s="11">
        <f t="shared" ref="M154:M217" si="33">(SUMIF($13:$13,L154,$14:$14)-SUMIF($13:$13,$L$24,$14:$14)+100)/100</f>
        <v>1</v>
      </c>
      <c r="N154" s="2994"/>
      <c r="O154" s="11">
        <f t="shared" ref="O154:O217" si="34">(SUMIF($15:$15,N154,$16:$16)-SUMIF($15:$15,$N$24,$16:$16)+100)/100</f>
        <v>1</v>
      </c>
      <c r="P154" s="2994"/>
      <c r="Q154" s="11">
        <f t="shared" ref="Q154:Q217" si="35">(SUMIF($17:$17,P154,$18:$18)-SUMIF($17:$17,$P$24,$18:$18)+100)/100</f>
        <v>1</v>
      </c>
      <c r="R154" s="712">
        <f t="shared" ref="R154:R217" ca="1" si="36">IF(B154="",0,ROUND($R$24*C154*E154*G154*I154*K154*M154*O154*Q154,0))</f>
        <v>16915</v>
      </c>
      <c r="S154" s="2959">
        <f t="shared" ca="1" si="27"/>
        <v>356</v>
      </c>
    </row>
    <row r="155" spans="1:19">
      <c r="A155" s="2992" t="str">
        <f>Sheet1!F136</f>
        <v>2-602</v>
      </c>
      <c r="B155" s="2992">
        <f>Sheet1!G136</f>
        <v>187.56</v>
      </c>
      <c r="C155" s="11">
        <f t="shared" si="28"/>
        <v>0.99</v>
      </c>
      <c r="D155" s="2994"/>
      <c r="E155" s="11">
        <f t="shared" si="29"/>
        <v>1</v>
      </c>
      <c r="F155" s="2994"/>
      <c r="G155" s="11">
        <f t="shared" si="30"/>
        <v>1</v>
      </c>
      <c r="H155" s="2994"/>
      <c r="I155" s="11">
        <f t="shared" si="31"/>
        <v>1</v>
      </c>
      <c r="J155" s="2994"/>
      <c r="K155" s="11">
        <f t="shared" si="32"/>
        <v>1</v>
      </c>
      <c r="L155" s="2994"/>
      <c r="M155" s="11">
        <f t="shared" si="33"/>
        <v>1</v>
      </c>
      <c r="N155" s="2994"/>
      <c r="O155" s="11">
        <f t="shared" si="34"/>
        <v>1</v>
      </c>
      <c r="P155" s="2994"/>
      <c r="Q155" s="11">
        <f t="shared" si="35"/>
        <v>1</v>
      </c>
      <c r="R155" s="712">
        <f t="shared" ca="1" si="36"/>
        <v>17087</v>
      </c>
      <c r="S155" s="2959">
        <f t="shared" ca="1" si="27"/>
        <v>320</v>
      </c>
    </row>
    <row r="156" spans="1:19">
      <c r="A156" s="2992" t="str">
        <f>Sheet1!F137</f>
        <v>2-603</v>
      </c>
      <c r="B156" s="2992">
        <f>Sheet1!G137</f>
        <v>188.42</v>
      </c>
      <c r="C156" s="11">
        <f t="shared" si="28"/>
        <v>0.99</v>
      </c>
      <c r="D156" s="2994"/>
      <c r="E156" s="11">
        <f t="shared" si="29"/>
        <v>1</v>
      </c>
      <c r="F156" s="2994"/>
      <c r="G156" s="11">
        <f t="shared" si="30"/>
        <v>1</v>
      </c>
      <c r="H156" s="2994"/>
      <c r="I156" s="11">
        <f t="shared" si="31"/>
        <v>1</v>
      </c>
      <c r="J156" s="2994"/>
      <c r="K156" s="11">
        <f t="shared" si="32"/>
        <v>1</v>
      </c>
      <c r="L156" s="2994"/>
      <c r="M156" s="11">
        <f t="shared" si="33"/>
        <v>1</v>
      </c>
      <c r="N156" s="2994"/>
      <c r="O156" s="11">
        <f t="shared" si="34"/>
        <v>1</v>
      </c>
      <c r="P156" s="2994"/>
      <c r="Q156" s="11">
        <f t="shared" si="35"/>
        <v>1</v>
      </c>
      <c r="R156" s="712">
        <f t="shared" ca="1" si="36"/>
        <v>17087</v>
      </c>
      <c r="S156" s="2959">
        <f t="shared" ca="1" si="27"/>
        <v>322</v>
      </c>
    </row>
    <row r="157" spans="1:19">
      <c r="A157" s="2992" t="str">
        <f>Sheet1!F138</f>
        <v>2-604</v>
      </c>
      <c r="B157" s="2992">
        <f>Sheet1!G138</f>
        <v>188.42</v>
      </c>
      <c r="C157" s="11">
        <f t="shared" si="28"/>
        <v>0.99</v>
      </c>
      <c r="D157" s="2994"/>
      <c r="E157" s="11">
        <f t="shared" si="29"/>
        <v>1</v>
      </c>
      <c r="F157" s="2994"/>
      <c r="G157" s="11">
        <f t="shared" si="30"/>
        <v>1</v>
      </c>
      <c r="H157" s="2994"/>
      <c r="I157" s="11">
        <f t="shared" si="31"/>
        <v>1</v>
      </c>
      <c r="J157" s="2994"/>
      <c r="K157" s="11">
        <f t="shared" si="32"/>
        <v>1</v>
      </c>
      <c r="L157" s="2994"/>
      <c r="M157" s="11">
        <f t="shared" si="33"/>
        <v>1</v>
      </c>
      <c r="N157" s="2994"/>
      <c r="O157" s="11">
        <f t="shared" si="34"/>
        <v>1</v>
      </c>
      <c r="P157" s="2994"/>
      <c r="Q157" s="11">
        <f t="shared" si="35"/>
        <v>1</v>
      </c>
      <c r="R157" s="712">
        <f t="shared" ca="1" si="36"/>
        <v>17087</v>
      </c>
      <c r="S157" s="2959">
        <f t="shared" ca="1" si="27"/>
        <v>322</v>
      </c>
    </row>
    <row r="158" spans="1:19">
      <c r="A158" s="2992" t="str">
        <f>Sheet1!F139</f>
        <v>2-605</v>
      </c>
      <c r="B158" s="2992">
        <f>Sheet1!G139</f>
        <v>188.42</v>
      </c>
      <c r="C158" s="11">
        <f t="shared" si="28"/>
        <v>0.99</v>
      </c>
      <c r="D158" s="2994"/>
      <c r="E158" s="11">
        <f t="shared" si="29"/>
        <v>1</v>
      </c>
      <c r="F158" s="2994"/>
      <c r="G158" s="11">
        <f t="shared" si="30"/>
        <v>1</v>
      </c>
      <c r="H158" s="2994"/>
      <c r="I158" s="11">
        <f t="shared" si="31"/>
        <v>1</v>
      </c>
      <c r="J158" s="2994"/>
      <c r="K158" s="11">
        <f t="shared" si="32"/>
        <v>1</v>
      </c>
      <c r="L158" s="2994"/>
      <c r="M158" s="11">
        <f t="shared" si="33"/>
        <v>1</v>
      </c>
      <c r="N158" s="2994"/>
      <c r="O158" s="11">
        <f t="shared" si="34"/>
        <v>1</v>
      </c>
      <c r="P158" s="2994"/>
      <c r="Q158" s="11">
        <f t="shared" si="35"/>
        <v>1</v>
      </c>
      <c r="R158" s="712">
        <f t="shared" ca="1" si="36"/>
        <v>17087</v>
      </c>
      <c r="S158" s="2959">
        <f t="shared" ca="1" si="27"/>
        <v>322</v>
      </c>
    </row>
    <row r="159" spans="1:19">
      <c r="A159" s="2992" t="str">
        <f>Sheet1!F140</f>
        <v>2-606</v>
      </c>
      <c r="B159" s="2992">
        <f>Sheet1!G140</f>
        <v>188.42</v>
      </c>
      <c r="C159" s="11">
        <f t="shared" si="28"/>
        <v>0.99</v>
      </c>
      <c r="D159" s="2994"/>
      <c r="E159" s="11">
        <f t="shared" si="29"/>
        <v>1</v>
      </c>
      <c r="F159" s="2994"/>
      <c r="G159" s="11">
        <f t="shared" si="30"/>
        <v>1</v>
      </c>
      <c r="H159" s="2994"/>
      <c r="I159" s="11">
        <f t="shared" si="31"/>
        <v>1</v>
      </c>
      <c r="J159" s="2994"/>
      <c r="K159" s="11">
        <f t="shared" si="32"/>
        <v>1</v>
      </c>
      <c r="L159" s="2994"/>
      <c r="M159" s="11">
        <f t="shared" si="33"/>
        <v>1</v>
      </c>
      <c r="N159" s="2994"/>
      <c r="O159" s="11">
        <f t="shared" si="34"/>
        <v>1</v>
      </c>
      <c r="P159" s="2994"/>
      <c r="Q159" s="11">
        <f t="shared" si="35"/>
        <v>1</v>
      </c>
      <c r="R159" s="712">
        <f t="shared" ca="1" si="36"/>
        <v>17087</v>
      </c>
      <c r="S159" s="2959">
        <f t="shared" ca="1" si="27"/>
        <v>322</v>
      </c>
    </row>
    <row r="160" spans="1:19">
      <c r="A160" s="2992" t="str">
        <f>Sheet1!F141</f>
        <v>2-607</v>
      </c>
      <c r="B160" s="2992">
        <f>Sheet1!G141</f>
        <v>188.42</v>
      </c>
      <c r="C160" s="11">
        <f t="shared" si="28"/>
        <v>0.99</v>
      </c>
      <c r="D160" s="2994"/>
      <c r="E160" s="11">
        <f t="shared" si="29"/>
        <v>1</v>
      </c>
      <c r="F160" s="2994"/>
      <c r="G160" s="11">
        <f t="shared" si="30"/>
        <v>1</v>
      </c>
      <c r="H160" s="2994"/>
      <c r="I160" s="11">
        <f t="shared" si="31"/>
        <v>1</v>
      </c>
      <c r="J160" s="2994"/>
      <c r="K160" s="11">
        <f t="shared" si="32"/>
        <v>1</v>
      </c>
      <c r="L160" s="2994"/>
      <c r="M160" s="11">
        <f t="shared" si="33"/>
        <v>1</v>
      </c>
      <c r="N160" s="2994"/>
      <c r="O160" s="11">
        <f t="shared" si="34"/>
        <v>1</v>
      </c>
      <c r="P160" s="2994"/>
      <c r="Q160" s="11">
        <f t="shared" si="35"/>
        <v>1</v>
      </c>
      <c r="R160" s="712">
        <f t="shared" ca="1" si="36"/>
        <v>17087</v>
      </c>
      <c r="S160" s="2959">
        <f t="shared" ca="1" si="27"/>
        <v>322</v>
      </c>
    </row>
    <row r="161" spans="1:19">
      <c r="A161" s="2992" t="str">
        <f>Sheet1!F142</f>
        <v>2-608</v>
      </c>
      <c r="B161" s="2992">
        <f>Sheet1!G142</f>
        <v>186.36</v>
      </c>
      <c r="C161" s="11">
        <f t="shared" si="28"/>
        <v>0.99</v>
      </c>
      <c r="D161" s="2994"/>
      <c r="E161" s="11">
        <f t="shared" si="29"/>
        <v>1</v>
      </c>
      <c r="F161" s="2994"/>
      <c r="G161" s="11">
        <f t="shared" si="30"/>
        <v>1</v>
      </c>
      <c r="H161" s="2994"/>
      <c r="I161" s="11">
        <f t="shared" si="31"/>
        <v>1</v>
      </c>
      <c r="J161" s="2994"/>
      <c r="K161" s="11">
        <f t="shared" si="32"/>
        <v>1</v>
      </c>
      <c r="L161" s="2994"/>
      <c r="M161" s="11">
        <f t="shared" si="33"/>
        <v>1</v>
      </c>
      <c r="N161" s="2994"/>
      <c r="O161" s="11">
        <f t="shared" si="34"/>
        <v>1</v>
      </c>
      <c r="P161" s="2994"/>
      <c r="Q161" s="11">
        <f t="shared" si="35"/>
        <v>1</v>
      </c>
      <c r="R161" s="712">
        <f t="shared" ca="1" si="36"/>
        <v>17087</v>
      </c>
      <c r="S161" s="2959">
        <f t="shared" ca="1" si="27"/>
        <v>318</v>
      </c>
    </row>
    <row r="162" spans="1:19">
      <c r="A162" s="2992" t="str">
        <f>Sheet1!F143</f>
        <v>2-609</v>
      </c>
      <c r="B162" s="2992">
        <f>Sheet1!G143</f>
        <v>188.36</v>
      </c>
      <c r="C162" s="11">
        <f t="shared" si="28"/>
        <v>0.99</v>
      </c>
      <c r="D162" s="2994"/>
      <c r="E162" s="11">
        <f t="shared" si="29"/>
        <v>1</v>
      </c>
      <c r="F162" s="2994"/>
      <c r="G162" s="11">
        <f t="shared" si="30"/>
        <v>1</v>
      </c>
      <c r="H162" s="2994"/>
      <c r="I162" s="11">
        <f t="shared" si="31"/>
        <v>1</v>
      </c>
      <c r="J162" s="2994"/>
      <c r="K162" s="11">
        <f t="shared" si="32"/>
        <v>1</v>
      </c>
      <c r="L162" s="2994"/>
      <c r="M162" s="11">
        <f t="shared" si="33"/>
        <v>1</v>
      </c>
      <c r="N162" s="2994"/>
      <c r="O162" s="11">
        <f t="shared" si="34"/>
        <v>1</v>
      </c>
      <c r="P162" s="2994"/>
      <c r="Q162" s="11">
        <f t="shared" si="35"/>
        <v>1</v>
      </c>
      <c r="R162" s="712">
        <f t="shared" ca="1" si="36"/>
        <v>17087</v>
      </c>
      <c r="S162" s="2959">
        <f t="shared" ca="1" si="27"/>
        <v>322</v>
      </c>
    </row>
    <row r="163" spans="1:19">
      <c r="A163" s="2992" t="str">
        <f>Sheet1!F144</f>
        <v>2-610</v>
      </c>
      <c r="B163" s="2992">
        <f>Sheet1!G144</f>
        <v>175.78</v>
      </c>
      <c r="C163" s="11">
        <f t="shared" si="28"/>
        <v>0.99</v>
      </c>
      <c r="D163" s="2994"/>
      <c r="E163" s="11">
        <f t="shared" si="29"/>
        <v>1</v>
      </c>
      <c r="F163" s="2994"/>
      <c r="G163" s="11">
        <f t="shared" si="30"/>
        <v>1</v>
      </c>
      <c r="H163" s="2994"/>
      <c r="I163" s="11">
        <f t="shared" si="31"/>
        <v>1</v>
      </c>
      <c r="J163" s="2994"/>
      <c r="K163" s="11">
        <f t="shared" si="32"/>
        <v>1</v>
      </c>
      <c r="L163" s="2994"/>
      <c r="M163" s="11">
        <f t="shared" si="33"/>
        <v>1</v>
      </c>
      <c r="N163" s="2994"/>
      <c r="O163" s="11">
        <f t="shared" si="34"/>
        <v>1</v>
      </c>
      <c r="P163" s="2994"/>
      <c r="Q163" s="11">
        <f t="shared" si="35"/>
        <v>1</v>
      </c>
      <c r="R163" s="712">
        <f t="shared" ca="1" si="36"/>
        <v>17087</v>
      </c>
      <c r="S163" s="2959">
        <f t="shared" ca="1" si="27"/>
        <v>300</v>
      </c>
    </row>
    <row r="164" spans="1:19">
      <c r="A164" s="2992" t="str">
        <f>Sheet1!F145</f>
        <v>2-611</v>
      </c>
      <c r="B164" s="2992">
        <f>Sheet1!G145</f>
        <v>279.95999999999998</v>
      </c>
      <c r="C164" s="11">
        <f t="shared" si="28"/>
        <v>0.98</v>
      </c>
      <c r="D164" s="2994"/>
      <c r="E164" s="11">
        <f t="shared" si="29"/>
        <v>1</v>
      </c>
      <c r="F164" s="2994"/>
      <c r="G164" s="11">
        <f t="shared" si="30"/>
        <v>1</v>
      </c>
      <c r="H164" s="2994"/>
      <c r="I164" s="11">
        <f t="shared" si="31"/>
        <v>1</v>
      </c>
      <c r="J164" s="2994"/>
      <c r="K164" s="11">
        <f t="shared" si="32"/>
        <v>1</v>
      </c>
      <c r="L164" s="2994"/>
      <c r="M164" s="11">
        <f t="shared" si="33"/>
        <v>1</v>
      </c>
      <c r="N164" s="2994"/>
      <c r="O164" s="11">
        <f t="shared" si="34"/>
        <v>1</v>
      </c>
      <c r="P164" s="2994"/>
      <c r="Q164" s="11">
        <f t="shared" si="35"/>
        <v>1</v>
      </c>
      <c r="R164" s="712">
        <f t="shared" ca="1" si="36"/>
        <v>16915</v>
      </c>
      <c r="S164" s="2959">
        <f t="shared" ca="1" si="27"/>
        <v>474</v>
      </c>
    </row>
    <row r="165" spans="1:19">
      <c r="A165" s="2992" t="str">
        <f>Sheet1!F146</f>
        <v>2-612</v>
      </c>
      <c r="B165" s="2992">
        <f>Sheet1!G146</f>
        <v>188.43</v>
      </c>
      <c r="C165" s="11">
        <f t="shared" si="28"/>
        <v>0.99</v>
      </c>
      <c r="D165" s="2994"/>
      <c r="E165" s="11">
        <f t="shared" si="29"/>
        <v>1</v>
      </c>
      <c r="F165" s="2994"/>
      <c r="G165" s="11">
        <f t="shared" si="30"/>
        <v>1</v>
      </c>
      <c r="H165" s="2994"/>
      <c r="I165" s="11">
        <f t="shared" si="31"/>
        <v>1</v>
      </c>
      <c r="J165" s="2994"/>
      <c r="K165" s="11">
        <f t="shared" si="32"/>
        <v>1</v>
      </c>
      <c r="L165" s="2994"/>
      <c r="M165" s="11">
        <f t="shared" si="33"/>
        <v>1</v>
      </c>
      <c r="N165" s="2994"/>
      <c r="O165" s="11">
        <f t="shared" si="34"/>
        <v>1</v>
      </c>
      <c r="P165" s="2994"/>
      <c r="Q165" s="11">
        <f t="shared" si="35"/>
        <v>1</v>
      </c>
      <c r="R165" s="712">
        <f t="shared" ca="1" si="36"/>
        <v>17087</v>
      </c>
      <c r="S165" s="2959">
        <f t="shared" ca="1" si="27"/>
        <v>322</v>
      </c>
    </row>
    <row r="166" spans="1:19">
      <c r="A166" s="2992" t="str">
        <f>Sheet1!F147</f>
        <v>2-613</v>
      </c>
      <c r="B166" s="2992">
        <f>Sheet1!G147</f>
        <v>188.43</v>
      </c>
      <c r="C166" s="11">
        <f t="shared" si="28"/>
        <v>0.99</v>
      </c>
      <c r="D166" s="2994"/>
      <c r="E166" s="11">
        <f t="shared" si="29"/>
        <v>1</v>
      </c>
      <c r="F166" s="2994"/>
      <c r="G166" s="11">
        <f t="shared" si="30"/>
        <v>1</v>
      </c>
      <c r="H166" s="2994"/>
      <c r="I166" s="11">
        <f t="shared" si="31"/>
        <v>1</v>
      </c>
      <c r="J166" s="2994"/>
      <c r="K166" s="11">
        <f t="shared" si="32"/>
        <v>1</v>
      </c>
      <c r="L166" s="2994"/>
      <c r="M166" s="11">
        <f t="shared" si="33"/>
        <v>1</v>
      </c>
      <c r="N166" s="2994"/>
      <c r="O166" s="11">
        <f t="shared" si="34"/>
        <v>1</v>
      </c>
      <c r="P166" s="2994"/>
      <c r="Q166" s="11">
        <f t="shared" si="35"/>
        <v>1</v>
      </c>
      <c r="R166" s="712">
        <f t="shared" ca="1" si="36"/>
        <v>17087</v>
      </c>
      <c r="S166" s="2959">
        <f t="shared" ca="1" si="27"/>
        <v>322</v>
      </c>
    </row>
    <row r="167" spans="1:19">
      <c r="A167" s="2992" t="str">
        <f>Sheet1!F148</f>
        <v>2-614</v>
      </c>
      <c r="B167" s="2992">
        <f>Sheet1!G148</f>
        <v>188.43</v>
      </c>
      <c r="C167" s="11">
        <f t="shared" si="28"/>
        <v>0.99</v>
      </c>
      <c r="D167" s="2994"/>
      <c r="E167" s="11">
        <f t="shared" si="29"/>
        <v>1</v>
      </c>
      <c r="F167" s="2994"/>
      <c r="G167" s="11">
        <f t="shared" si="30"/>
        <v>1</v>
      </c>
      <c r="H167" s="2994"/>
      <c r="I167" s="11">
        <f t="shared" si="31"/>
        <v>1</v>
      </c>
      <c r="J167" s="2994"/>
      <c r="K167" s="11">
        <f t="shared" si="32"/>
        <v>1</v>
      </c>
      <c r="L167" s="2994"/>
      <c r="M167" s="11">
        <f t="shared" si="33"/>
        <v>1</v>
      </c>
      <c r="N167" s="2994"/>
      <c r="O167" s="11">
        <f t="shared" si="34"/>
        <v>1</v>
      </c>
      <c r="P167" s="2994"/>
      <c r="Q167" s="11">
        <f t="shared" si="35"/>
        <v>1</v>
      </c>
      <c r="R167" s="712">
        <f t="shared" ca="1" si="36"/>
        <v>17087</v>
      </c>
      <c r="S167" s="2959">
        <f t="shared" ca="1" si="27"/>
        <v>322</v>
      </c>
    </row>
    <row r="168" spans="1:19">
      <c r="A168" s="2992" t="str">
        <f>Sheet1!F149</f>
        <v>2-615</v>
      </c>
      <c r="B168" s="2992">
        <f>Sheet1!G149</f>
        <v>188.43</v>
      </c>
      <c r="C168" s="11">
        <f t="shared" si="28"/>
        <v>0.99</v>
      </c>
      <c r="D168" s="2994"/>
      <c r="E168" s="11">
        <f t="shared" si="29"/>
        <v>1</v>
      </c>
      <c r="F168" s="2994"/>
      <c r="G168" s="11">
        <f t="shared" si="30"/>
        <v>1</v>
      </c>
      <c r="H168" s="2994"/>
      <c r="I168" s="11">
        <f t="shared" si="31"/>
        <v>1</v>
      </c>
      <c r="J168" s="2994"/>
      <c r="K168" s="11">
        <f t="shared" si="32"/>
        <v>1</v>
      </c>
      <c r="L168" s="2994"/>
      <c r="M168" s="11">
        <f t="shared" si="33"/>
        <v>1</v>
      </c>
      <c r="N168" s="2994"/>
      <c r="O168" s="11">
        <f t="shared" si="34"/>
        <v>1</v>
      </c>
      <c r="P168" s="2994"/>
      <c r="Q168" s="11">
        <f t="shared" si="35"/>
        <v>1</v>
      </c>
      <c r="R168" s="712">
        <f t="shared" ca="1" si="36"/>
        <v>17087</v>
      </c>
      <c r="S168" s="2959">
        <f t="shared" ca="1" si="27"/>
        <v>322</v>
      </c>
    </row>
    <row r="169" spans="1:19">
      <c r="A169" s="2992" t="str">
        <f>Sheet1!F150</f>
        <v>2-616</v>
      </c>
      <c r="B169" s="2992">
        <f>Sheet1!G150</f>
        <v>188.43</v>
      </c>
      <c r="C169" s="11">
        <f t="shared" si="28"/>
        <v>0.99</v>
      </c>
      <c r="D169" s="2994"/>
      <c r="E169" s="11">
        <f t="shared" si="29"/>
        <v>1</v>
      </c>
      <c r="F169" s="2994"/>
      <c r="G169" s="11">
        <f t="shared" si="30"/>
        <v>1</v>
      </c>
      <c r="H169" s="2994"/>
      <c r="I169" s="11">
        <f t="shared" si="31"/>
        <v>1</v>
      </c>
      <c r="J169" s="2994"/>
      <c r="K169" s="11">
        <f t="shared" si="32"/>
        <v>1</v>
      </c>
      <c r="L169" s="2994"/>
      <c r="M169" s="11">
        <f t="shared" si="33"/>
        <v>1</v>
      </c>
      <c r="N169" s="2994"/>
      <c r="O169" s="11">
        <f t="shared" si="34"/>
        <v>1</v>
      </c>
      <c r="P169" s="2994"/>
      <c r="Q169" s="11">
        <f t="shared" si="35"/>
        <v>1</v>
      </c>
      <c r="R169" s="712">
        <f t="shared" ca="1" si="36"/>
        <v>17087</v>
      </c>
      <c r="S169" s="2959">
        <f t="shared" ca="1" si="27"/>
        <v>322</v>
      </c>
    </row>
    <row r="170" spans="1:19">
      <c r="A170" s="2992" t="str">
        <f>Sheet1!F151</f>
        <v>2-617</v>
      </c>
      <c r="B170" s="2992">
        <f>Sheet1!G151</f>
        <v>188.38</v>
      </c>
      <c r="C170" s="11">
        <f t="shared" si="28"/>
        <v>0.99</v>
      </c>
      <c r="D170" s="2994"/>
      <c r="E170" s="11">
        <f t="shared" si="29"/>
        <v>1</v>
      </c>
      <c r="F170" s="2994"/>
      <c r="G170" s="11">
        <f t="shared" si="30"/>
        <v>1</v>
      </c>
      <c r="H170" s="2994"/>
      <c r="I170" s="11">
        <f t="shared" si="31"/>
        <v>1</v>
      </c>
      <c r="J170" s="2994"/>
      <c r="K170" s="11">
        <f t="shared" si="32"/>
        <v>1</v>
      </c>
      <c r="L170" s="2994"/>
      <c r="M170" s="11">
        <f t="shared" si="33"/>
        <v>1</v>
      </c>
      <c r="N170" s="2994"/>
      <c r="O170" s="11">
        <f t="shared" si="34"/>
        <v>1</v>
      </c>
      <c r="P170" s="2994"/>
      <c r="Q170" s="11">
        <f t="shared" si="35"/>
        <v>1</v>
      </c>
      <c r="R170" s="712">
        <f t="shared" ca="1" si="36"/>
        <v>17087</v>
      </c>
      <c r="S170" s="2959">
        <f t="shared" ca="1" si="27"/>
        <v>322</v>
      </c>
    </row>
    <row r="171" spans="1:19">
      <c r="A171" s="2992" t="str">
        <f>Sheet1!F152</f>
        <v>2-618</v>
      </c>
      <c r="B171" s="2992">
        <f>Sheet1!G152</f>
        <v>208.95</v>
      </c>
      <c r="C171" s="11">
        <f t="shared" si="28"/>
        <v>0.98</v>
      </c>
      <c r="D171" s="2994"/>
      <c r="E171" s="11">
        <f t="shared" si="29"/>
        <v>1</v>
      </c>
      <c r="F171" s="2994"/>
      <c r="G171" s="11">
        <f t="shared" si="30"/>
        <v>1</v>
      </c>
      <c r="H171" s="2994"/>
      <c r="I171" s="11">
        <f t="shared" si="31"/>
        <v>1</v>
      </c>
      <c r="J171" s="2994"/>
      <c r="K171" s="11">
        <f t="shared" si="32"/>
        <v>1</v>
      </c>
      <c r="L171" s="2994"/>
      <c r="M171" s="11">
        <f t="shared" si="33"/>
        <v>1</v>
      </c>
      <c r="N171" s="2994"/>
      <c r="O171" s="11">
        <f t="shared" si="34"/>
        <v>1</v>
      </c>
      <c r="P171" s="2994"/>
      <c r="Q171" s="11">
        <f t="shared" si="35"/>
        <v>1</v>
      </c>
      <c r="R171" s="712">
        <f t="shared" ca="1" si="36"/>
        <v>16915</v>
      </c>
      <c r="S171" s="2959">
        <f t="shared" ca="1" si="27"/>
        <v>353</v>
      </c>
    </row>
    <row r="172" spans="1:19">
      <c r="A172" s="2992" t="str">
        <f>Sheet1!F153</f>
        <v>2-619</v>
      </c>
      <c r="B172" s="2992">
        <f>Sheet1!G153</f>
        <v>189.85</v>
      </c>
      <c r="C172" s="11">
        <f t="shared" si="28"/>
        <v>0.99</v>
      </c>
      <c r="D172" s="2994"/>
      <c r="E172" s="11">
        <f t="shared" si="29"/>
        <v>1</v>
      </c>
      <c r="F172" s="2994"/>
      <c r="G172" s="11">
        <f t="shared" si="30"/>
        <v>1</v>
      </c>
      <c r="H172" s="2994"/>
      <c r="I172" s="11">
        <f t="shared" si="31"/>
        <v>1</v>
      </c>
      <c r="J172" s="2994"/>
      <c r="K172" s="11">
        <f t="shared" si="32"/>
        <v>1</v>
      </c>
      <c r="L172" s="2994"/>
      <c r="M172" s="11">
        <f t="shared" si="33"/>
        <v>1</v>
      </c>
      <c r="N172" s="2994"/>
      <c r="O172" s="11">
        <f t="shared" si="34"/>
        <v>1</v>
      </c>
      <c r="P172" s="2994"/>
      <c r="Q172" s="11">
        <f t="shared" si="35"/>
        <v>1</v>
      </c>
      <c r="R172" s="712">
        <f t="shared" ca="1" si="36"/>
        <v>17087</v>
      </c>
      <c r="S172" s="2959">
        <f t="shared" ca="1" si="27"/>
        <v>324</v>
      </c>
    </row>
    <row r="173" spans="1:19">
      <c r="A173" s="2992" t="str">
        <f>Sheet1!F154</f>
        <v>2-620</v>
      </c>
      <c r="B173" s="2992">
        <f>Sheet1!G154</f>
        <v>169.23</v>
      </c>
      <c r="C173" s="11">
        <f t="shared" si="28"/>
        <v>0.99</v>
      </c>
      <c r="D173" s="2994"/>
      <c r="E173" s="11">
        <f t="shared" si="29"/>
        <v>1</v>
      </c>
      <c r="F173" s="2994"/>
      <c r="G173" s="11">
        <f t="shared" si="30"/>
        <v>1</v>
      </c>
      <c r="H173" s="2994"/>
      <c r="I173" s="11">
        <f t="shared" si="31"/>
        <v>1</v>
      </c>
      <c r="J173" s="2994"/>
      <c r="K173" s="11">
        <f t="shared" si="32"/>
        <v>1</v>
      </c>
      <c r="L173" s="2994"/>
      <c r="M173" s="11">
        <f t="shared" si="33"/>
        <v>1</v>
      </c>
      <c r="N173" s="2994"/>
      <c r="O173" s="11">
        <f t="shared" si="34"/>
        <v>1</v>
      </c>
      <c r="P173" s="2994"/>
      <c r="Q173" s="11">
        <f t="shared" si="35"/>
        <v>1</v>
      </c>
      <c r="R173" s="712">
        <f t="shared" ca="1" si="36"/>
        <v>17087</v>
      </c>
      <c r="S173" s="2959">
        <f t="shared" ca="1" si="27"/>
        <v>289</v>
      </c>
    </row>
    <row r="174" spans="1:19">
      <c r="A174" s="2992" t="str">
        <f>Sheet1!F155</f>
        <v>3-601</v>
      </c>
      <c r="B174" s="2992">
        <f>Sheet1!G155</f>
        <v>49.61</v>
      </c>
      <c r="C174" s="11">
        <f t="shared" si="28"/>
        <v>1</v>
      </c>
      <c r="D174" s="2994"/>
      <c r="E174" s="11">
        <f t="shared" si="29"/>
        <v>1</v>
      </c>
      <c r="F174" s="2994"/>
      <c r="G174" s="11">
        <f t="shared" si="30"/>
        <v>1</v>
      </c>
      <c r="H174" s="2994"/>
      <c r="I174" s="11">
        <f t="shared" si="31"/>
        <v>1</v>
      </c>
      <c r="J174" s="2994"/>
      <c r="K174" s="11">
        <f t="shared" si="32"/>
        <v>1</v>
      </c>
      <c r="L174" s="2994"/>
      <c r="M174" s="11">
        <f t="shared" si="33"/>
        <v>1</v>
      </c>
      <c r="N174" s="2994"/>
      <c r="O174" s="11">
        <f t="shared" si="34"/>
        <v>1</v>
      </c>
      <c r="P174" s="2994"/>
      <c r="Q174" s="11">
        <f t="shared" si="35"/>
        <v>1</v>
      </c>
      <c r="R174" s="712">
        <f t="shared" ca="1" si="36"/>
        <v>17260</v>
      </c>
      <c r="S174" s="2959">
        <f t="shared" ca="1" si="27"/>
        <v>86</v>
      </c>
    </row>
    <row r="175" spans="1:19">
      <c r="A175" s="2992" t="str">
        <f>Sheet1!F156</f>
        <v>3-602</v>
      </c>
      <c r="B175" s="2992">
        <f>Sheet1!G156</f>
        <v>50.63</v>
      </c>
      <c r="C175" s="11">
        <f t="shared" si="28"/>
        <v>1</v>
      </c>
      <c r="D175" s="2994"/>
      <c r="E175" s="11">
        <f t="shared" si="29"/>
        <v>1</v>
      </c>
      <c r="F175" s="2994"/>
      <c r="G175" s="11">
        <f t="shared" si="30"/>
        <v>1</v>
      </c>
      <c r="H175" s="2994"/>
      <c r="I175" s="11">
        <f t="shared" si="31"/>
        <v>1</v>
      </c>
      <c r="J175" s="2994"/>
      <c r="K175" s="11">
        <f t="shared" si="32"/>
        <v>1</v>
      </c>
      <c r="L175" s="2994"/>
      <c r="M175" s="11">
        <f t="shared" si="33"/>
        <v>1</v>
      </c>
      <c r="N175" s="2994"/>
      <c r="O175" s="11">
        <f t="shared" si="34"/>
        <v>1</v>
      </c>
      <c r="P175" s="2994"/>
      <c r="Q175" s="11">
        <f t="shared" si="35"/>
        <v>1</v>
      </c>
      <c r="R175" s="712">
        <f t="shared" ca="1" si="36"/>
        <v>17260</v>
      </c>
      <c r="S175" s="2959">
        <f t="shared" ca="1" si="27"/>
        <v>87</v>
      </c>
    </row>
    <row r="176" spans="1:19">
      <c r="A176" s="2992" t="str">
        <f>Sheet1!F157</f>
        <v>3-603</v>
      </c>
      <c r="B176" s="2992">
        <f>Sheet1!G157</f>
        <v>50.63</v>
      </c>
      <c r="C176" s="11">
        <f t="shared" si="28"/>
        <v>1</v>
      </c>
      <c r="D176" s="2994"/>
      <c r="E176" s="11">
        <f t="shared" si="29"/>
        <v>1</v>
      </c>
      <c r="F176" s="2994"/>
      <c r="G176" s="11">
        <f t="shared" si="30"/>
        <v>1</v>
      </c>
      <c r="H176" s="2994"/>
      <c r="I176" s="11">
        <f t="shared" si="31"/>
        <v>1</v>
      </c>
      <c r="J176" s="2994"/>
      <c r="K176" s="11">
        <f t="shared" si="32"/>
        <v>1</v>
      </c>
      <c r="L176" s="2994"/>
      <c r="M176" s="11">
        <f t="shared" si="33"/>
        <v>1</v>
      </c>
      <c r="N176" s="2994"/>
      <c r="O176" s="11">
        <f t="shared" si="34"/>
        <v>1</v>
      </c>
      <c r="P176" s="2994"/>
      <c r="Q176" s="11">
        <f t="shared" si="35"/>
        <v>1</v>
      </c>
      <c r="R176" s="712">
        <f t="shared" ca="1" si="36"/>
        <v>17260</v>
      </c>
      <c r="S176" s="2959">
        <f t="shared" ca="1" si="27"/>
        <v>87</v>
      </c>
    </row>
    <row r="177" spans="1:19">
      <c r="A177" s="2992" t="str">
        <f>Sheet1!F158</f>
        <v>3-604</v>
      </c>
      <c r="B177" s="2992">
        <f>Sheet1!G158</f>
        <v>50.63</v>
      </c>
      <c r="C177" s="11">
        <f t="shared" si="28"/>
        <v>1</v>
      </c>
      <c r="D177" s="2994"/>
      <c r="E177" s="11">
        <f t="shared" si="29"/>
        <v>1</v>
      </c>
      <c r="F177" s="2994"/>
      <c r="G177" s="11">
        <f t="shared" si="30"/>
        <v>1</v>
      </c>
      <c r="H177" s="2994"/>
      <c r="I177" s="11">
        <f t="shared" si="31"/>
        <v>1</v>
      </c>
      <c r="J177" s="2994"/>
      <c r="K177" s="11">
        <f t="shared" si="32"/>
        <v>1</v>
      </c>
      <c r="L177" s="2994"/>
      <c r="M177" s="11">
        <f t="shared" si="33"/>
        <v>1</v>
      </c>
      <c r="N177" s="2994"/>
      <c r="O177" s="11">
        <f t="shared" si="34"/>
        <v>1</v>
      </c>
      <c r="P177" s="2994"/>
      <c r="Q177" s="11">
        <f t="shared" si="35"/>
        <v>1</v>
      </c>
      <c r="R177" s="712">
        <f t="shared" ca="1" si="36"/>
        <v>17260</v>
      </c>
      <c r="S177" s="2959">
        <f t="shared" ca="1" si="27"/>
        <v>87</v>
      </c>
    </row>
    <row r="178" spans="1:19">
      <c r="A178" s="2992" t="str">
        <f>Sheet1!F159</f>
        <v>3-605</v>
      </c>
      <c r="B178" s="2992">
        <f>Sheet1!G159</f>
        <v>50.63</v>
      </c>
      <c r="C178" s="11">
        <f t="shared" si="28"/>
        <v>1</v>
      </c>
      <c r="D178" s="2994"/>
      <c r="E178" s="11">
        <f t="shared" si="29"/>
        <v>1</v>
      </c>
      <c r="F178" s="2994"/>
      <c r="G178" s="11">
        <f t="shared" si="30"/>
        <v>1</v>
      </c>
      <c r="H178" s="2994"/>
      <c r="I178" s="11">
        <f t="shared" si="31"/>
        <v>1</v>
      </c>
      <c r="J178" s="2994"/>
      <c r="K178" s="11">
        <f t="shared" si="32"/>
        <v>1</v>
      </c>
      <c r="L178" s="2994"/>
      <c r="M178" s="11">
        <f t="shared" si="33"/>
        <v>1</v>
      </c>
      <c r="N178" s="2994"/>
      <c r="O178" s="11">
        <f t="shared" si="34"/>
        <v>1</v>
      </c>
      <c r="P178" s="2994"/>
      <c r="Q178" s="11">
        <f t="shared" si="35"/>
        <v>1</v>
      </c>
      <c r="R178" s="712">
        <f t="shared" ca="1" si="36"/>
        <v>17260</v>
      </c>
      <c r="S178" s="2959">
        <f t="shared" ca="1" si="27"/>
        <v>87</v>
      </c>
    </row>
    <row r="179" spans="1:19">
      <c r="A179" s="2992" t="str">
        <f>Sheet1!F160</f>
        <v>3-606</v>
      </c>
      <c r="B179" s="2992">
        <f>Sheet1!G160</f>
        <v>50.63</v>
      </c>
      <c r="C179" s="11">
        <f t="shared" si="28"/>
        <v>1</v>
      </c>
      <c r="D179" s="2994"/>
      <c r="E179" s="11">
        <f t="shared" si="29"/>
        <v>1</v>
      </c>
      <c r="F179" s="2994"/>
      <c r="G179" s="11">
        <f t="shared" si="30"/>
        <v>1</v>
      </c>
      <c r="H179" s="2994"/>
      <c r="I179" s="11">
        <f t="shared" si="31"/>
        <v>1</v>
      </c>
      <c r="J179" s="2994"/>
      <c r="K179" s="11">
        <f t="shared" si="32"/>
        <v>1</v>
      </c>
      <c r="L179" s="2994"/>
      <c r="M179" s="11">
        <f t="shared" si="33"/>
        <v>1</v>
      </c>
      <c r="N179" s="2994"/>
      <c r="O179" s="11">
        <f t="shared" si="34"/>
        <v>1</v>
      </c>
      <c r="P179" s="2994"/>
      <c r="Q179" s="11">
        <f t="shared" si="35"/>
        <v>1</v>
      </c>
      <c r="R179" s="712">
        <f t="shared" ca="1" si="36"/>
        <v>17260</v>
      </c>
      <c r="S179" s="2959">
        <f t="shared" ca="1" si="27"/>
        <v>87</v>
      </c>
    </row>
    <row r="180" spans="1:19">
      <c r="A180" s="2992" t="str">
        <f>Sheet1!F161</f>
        <v>3-607</v>
      </c>
      <c r="B180" s="2992">
        <f>Sheet1!G161</f>
        <v>50.63</v>
      </c>
      <c r="C180" s="11">
        <f t="shared" si="28"/>
        <v>1</v>
      </c>
      <c r="D180" s="2994"/>
      <c r="E180" s="11">
        <f t="shared" si="29"/>
        <v>1</v>
      </c>
      <c r="F180" s="2994"/>
      <c r="G180" s="11">
        <f t="shared" si="30"/>
        <v>1</v>
      </c>
      <c r="H180" s="2994"/>
      <c r="I180" s="11">
        <f t="shared" si="31"/>
        <v>1</v>
      </c>
      <c r="J180" s="2994"/>
      <c r="K180" s="11">
        <f t="shared" si="32"/>
        <v>1</v>
      </c>
      <c r="L180" s="2994"/>
      <c r="M180" s="11">
        <f t="shared" si="33"/>
        <v>1</v>
      </c>
      <c r="N180" s="2994"/>
      <c r="O180" s="11">
        <f t="shared" si="34"/>
        <v>1</v>
      </c>
      <c r="P180" s="2994"/>
      <c r="Q180" s="11">
        <f t="shared" si="35"/>
        <v>1</v>
      </c>
      <c r="R180" s="712">
        <f t="shared" ca="1" si="36"/>
        <v>17260</v>
      </c>
      <c r="S180" s="2959">
        <f t="shared" ca="1" si="27"/>
        <v>87</v>
      </c>
    </row>
    <row r="181" spans="1:19">
      <c r="A181" s="2992" t="str">
        <f>Sheet1!F162</f>
        <v>3-608</v>
      </c>
      <c r="B181" s="2992">
        <f>Sheet1!G162</f>
        <v>50.63</v>
      </c>
      <c r="C181" s="11">
        <f t="shared" si="28"/>
        <v>1</v>
      </c>
      <c r="D181" s="2994"/>
      <c r="E181" s="11">
        <f t="shared" si="29"/>
        <v>1</v>
      </c>
      <c r="F181" s="2994"/>
      <c r="G181" s="11">
        <f t="shared" si="30"/>
        <v>1</v>
      </c>
      <c r="H181" s="2994"/>
      <c r="I181" s="11">
        <f t="shared" si="31"/>
        <v>1</v>
      </c>
      <c r="J181" s="2994"/>
      <c r="K181" s="11">
        <f t="shared" si="32"/>
        <v>1</v>
      </c>
      <c r="L181" s="2994"/>
      <c r="M181" s="11">
        <f t="shared" si="33"/>
        <v>1</v>
      </c>
      <c r="N181" s="2994"/>
      <c r="O181" s="11">
        <f t="shared" si="34"/>
        <v>1</v>
      </c>
      <c r="P181" s="2994"/>
      <c r="Q181" s="11">
        <f t="shared" si="35"/>
        <v>1</v>
      </c>
      <c r="R181" s="712">
        <f t="shared" ca="1" si="36"/>
        <v>17260</v>
      </c>
      <c r="S181" s="2959">
        <f t="shared" ca="1" si="27"/>
        <v>87</v>
      </c>
    </row>
    <row r="182" spans="1:19">
      <c r="A182" s="2992" t="str">
        <f>Sheet1!F163</f>
        <v>3-609</v>
      </c>
      <c r="B182" s="2992">
        <f>Sheet1!G163</f>
        <v>50.63</v>
      </c>
      <c r="C182" s="11">
        <f t="shared" si="28"/>
        <v>1</v>
      </c>
      <c r="D182" s="2994"/>
      <c r="E182" s="11">
        <f t="shared" si="29"/>
        <v>1</v>
      </c>
      <c r="F182" s="2994"/>
      <c r="G182" s="11">
        <f t="shared" si="30"/>
        <v>1</v>
      </c>
      <c r="H182" s="2994"/>
      <c r="I182" s="11">
        <f t="shared" si="31"/>
        <v>1</v>
      </c>
      <c r="J182" s="2994"/>
      <c r="K182" s="11">
        <f t="shared" si="32"/>
        <v>1</v>
      </c>
      <c r="L182" s="2994"/>
      <c r="M182" s="11">
        <f t="shared" si="33"/>
        <v>1</v>
      </c>
      <c r="N182" s="2994"/>
      <c r="O182" s="11">
        <f t="shared" si="34"/>
        <v>1</v>
      </c>
      <c r="P182" s="2994"/>
      <c r="Q182" s="11">
        <f t="shared" si="35"/>
        <v>1</v>
      </c>
      <c r="R182" s="712">
        <f t="shared" ca="1" si="36"/>
        <v>17260</v>
      </c>
      <c r="S182" s="2959">
        <f t="shared" ca="1" si="27"/>
        <v>87</v>
      </c>
    </row>
    <row r="183" spans="1:19">
      <c r="A183" s="2992" t="str">
        <f>Sheet1!F164</f>
        <v>3-610</v>
      </c>
      <c r="B183" s="2992">
        <f>Sheet1!G164</f>
        <v>50.63</v>
      </c>
      <c r="C183" s="11">
        <f t="shared" si="28"/>
        <v>1</v>
      </c>
      <c r="D183" s="2994"/>
      <c r="E183" s="11">
        <f t="shared" si="29"/>
        <v>1</v>
      </c>
      <c r="F183" s="2994"/>
      <c r="G183" s="11">
        <f t="shared" si="30"/>
        <v>1</v>
      </c>
      <c r="H183" s="2994"/>
      <c r="I183" s="11">
        <f t="shared" si="31"/>
        <v>1</v>
      </c>
      <c r="J183" s="2994"/>
      <c r="K183" s="11">
        <f t="shared" si="32"/>
        <v>1</v>
      </c>
      <c r="L183" s="2994"/>
      <c r="M183" s="11">
        <f t="shared" si="33"/>
        <v>1</v>
      </c>
      <c r="N183" s="2994"/>
      <c r="O183" s="11">
        <f t="shared" si="34"/>
        <v>1</v>
      </c>
      <c r="P183" s="2994"/>
      <c r="Q183" s="11">
        <f t="shared" si="35"/>
        <v>1</v>
      </c>
      <c r="R183" s="712">
        <f t="shared" ca="1" si="36"/>
        <v>17260</v>
      </c>
      <c r="S183" s="2959">
        <f t="shared" ca="1" si="27"/>
        <v>87</v>
      </c>
    </row>
    <row r="184" spans="1:19">
      <c r="A184" s="2992" t="str">
        <f>Sheet1!F165</f>
        <v>3-611</v>
      </c>
      <c r="B184" s="2992">
        <f>Sheet1!G165</f>
        <v>50.63</v>
      </c>
      <c r="C184" s="11">
        <f t="shared" si="28"/>
        <v>1</v>
      </c>
      <c r="D184" s="2994"/>
      <c r="E184" s="11">
        <f t="shared" si="29"/>
        <v>1</v>
      </c>
      <c r="F184" s="2994"/>
      <c r="G184" s="11">
        <f t="shared" si="30"/>
        <v>1</v>
      </c>
      <c r="H184" s="2994"/>
      <c r="I184" s="11">
        <f t="shared" si="31"/>
        <v>1</v>
      </c>
      <c r="J184" s="2994"/>
      <c r="K184" s="11">
        <f t="shared" si="32"/>
        <v>1</v>
      </c>
      <c r="L184" s="2994"/>
      <c r="M184" s="11">
        <f t="shared" si="33"/>
        <v>1</v>
      </c>
      <c r="N184" s="2994"/>
      <c r="O184" s="11">
        <f t="shared" si="34"/>
        <v>1</v>
      </c>
      <c r="P184" s="2994"/>
      <c r="Q184" s="11">
        <f t="shared" si="35"/>
        <v>1</v>
      </c>
      <c r="R184" s="712">
        <f t="shared" ca="1" si="36"/>
        <v>17260</v>
      </c>
      <c r="S184" s="2959">
        <f t="shared" ca="1" si="27"/>
        <v>87</v>
      </c>
    </row>
    <row r="185" spans="1:19">
      <c r="A185" s="2992" t="str">
        <f>Sheet1!F166</f>
        <v>3-612</v>
      </c>
      <c r="B185" s="2992">
        <f>Sheet1!G166</f>
        <v>49.53</v>
      </c>
      <c r="C185" s="11">
        <f t="shared" si="28"/>
        <v>1</v>
      </c>
      <c r="D185" s="2994"/>
      <c r="E185" s="11">
        <f t="shared" si="29"/>
        <v>1</v>
      </c>
      <c r="F185" s="2994"/>
      <c r="G185" s="11">
        <f t="shared" si="30"/>
        <v>1</v>
      </c>
      <c r="H185" s="2994"/>
      <c r="I185" s="11">
        <f t="shared" si="31"/>
        <v>1</v>
      </c>
      <c r="J185" s="2994"/>
      <c r="K185" s="11">
        <f t="shared" si="32"/>
        <v>1</v>
      </c>
      <c r="L185" s="2994"/>
      <c r="M185" s="11">
        <f t="shared" si="33"/>
        <v>1</v>
      </c>
      <c r="N185" s="2994"/>
      <c r="O185" s="11">
        <f t="shared" si="34"/>
        <v>1</v>
      </c>
      <c r="P185" s="2994"/>
      <c r="Q185" s="11">
        <f t="shared" si="35"/>
        <v>1</v>
      </c>
      <c r="R185" s="712">
        <f t="shared" ca="1" si="36"/>
        <v>17260</v>
      </c>
      <c r="S185" s="2959">
        <f t="shared" ca="1" si="27"/>
        <v>85</v>
      </c>
    </row>
    <row r="186" spans="1:19">
      <c r="A186" s="2992" t="str">
        <f>Sheet1!F167</f>
        <v>3-613</v>
      </c>
      <c r="B186" s="2992">
        <f>Sheet1!G167</f>
        <v>55.7</v>
      </c>
      <c r="C186" s="11">
        <f t="shared" si="28"/>
        <v>1</v>
      </c>
      <c r="D186" s="2994"/>
      <c r="E186" s="11">
        <f t="shared" si="29"/>
        <v>1</v>
      </c>
      <c r="F186" s="2994"/>
      <c r="G186" s="11">
        <f t="shared" si="30"/>
        <v>1</v>
      </c>
      <c r="H186" s="2994"/>
      <c r="I186" s="11">
        <f t="shared" si="31"/>
        <v>1</v>
      </c>
      <c r="J186" s="2994"/>
      <c r="K186" s="11">
        <f t="shared" si="32"/>
        <v>1</v>
      </c>
      <c r="L186" s="2994"/>
      <c r="M186" s="11">
        <f t="shared" si="33"/>
        <v>1</v>
      </c>
      <c r="N186" s="2994"/>
      <c r="O186" s="11">
        <f t="shared" si="34"/>
        <v>1</v>
      </c>
      <c r="P186" s="2994"/>
      <c r="Q186" s="11">
        <f t="shared" si="35"/>
        <v>1</v>
      </c>
      <c r="R186" s="712">
        <f t="shared" ca="1" si="36"/>
        <v>17260</v>
      </c>
      <c r="S186" s="2959">
        <f t="shared" ca="1" si="27"/>
        <v>96</v>
      </c>
    </row>
    <row r="187" spans="1:19">
      <c r="A187" s="2992" t="str">
        <f>Sheet1!F168</f>
        <v>3-614</v>
      </c>
      <c r="B187" s="2992">
        <f>Sheet1!G168</f>
        <v>60.21</v>
      </c>
      <c r="C187" s="11">
        <f t="shared" si="28"/>
        <v>1</v>
      </c>
      <c r="D187" s="2994"/>
      <c r="E187" s="11">
        <f t="shared" si="29"/>
        <v>1</v>
      </c>
      <c r="F187" s="2994"/>
      <c r="G187" s="11">
        <f t="shared" si="30"/>
        <v>1</v>
      </c>
      <c r="H187" s="2994"/>
      <c r="I187" s="11">
        <f t="shared" si="31"/>
        <v>1</v>
      </c>
      <c r="J187" s="2994"/>
      <c r="K187" s="11">
        <f t="shared" si="32"/>
        <v>1</v>
      </c>
      <c r="L187" s="2994"/>
      <c r="M187" s="11">
        <f t="shared" si="33"/>
        <v>1</v>
      </c>
      <c r="N187" s="2994"/>
      <c r="O187" s="11">
        <f t="shared" si="34"/>
        <v>1</v>
      </c>
      <c r="P187" s="2994"/>
      <c r="Q187" s="11">
        <f t="shared" si="35"/>
        <v>1</v>
      </c>
      <c r="R187" s="712">
        <f t="shared" ca="1" si="36"/>
        <v>17260</v>
      </c>
      <c r="S187" s="2959">
        <f t="shared" ref="S187:S222" ca="1" si="37">ROUND(R187*B187/10000,0)</f>
        <v>104</v>
      </c>
    </row>
    <row r="188" spans="1:19">
      <c r="A188" s="2992" t="str">
        <f>Sheet1!F169</f>
        <v>3-615</v>
      </c>
      <c r="B188" s="2992">
        <f>Sheet1!G169</f>
        <v>58.75</v>
      </c>
      <c r="C188" s="11">
        <f t="shared" si="28"/>
        <v>1</v>
      </c>
      <c r="D188" s="2994"/>
      <c r="E188" s="11">
        <f t="shared" si="29"/>
        <v>1</v>
      </c>
      <c r="F188" s="2994"/>
      <c r="G188" s="11">
        <f t="shared" si="30"/>
        <v>1</v>
      </c>
      <c r="H188" s="2994"/>
      <c r="I188" s="11">
        <f t="shared" si="31"/>
        <v>1</v>
      </c>
      <c r="J188" s="2994"/>
      <c r="K188" s="11">
        <f t="shared" si="32"/>
        <v>1</v>
      </c>
      <c r="L188" s="2994"/>
      <c r="M188" s="11">
        <f t="shared" si="33"/>
        <v>1</v>
      </c>
      <c r="N188" s="2994"/>
      <c r="O188" s="11">
        <f t="shared" si="34"/>
        <v>1</v>
      </c>
      <c r="P188" s="2994"/>
      <c r="Q188" s="11">
        <f t="shared" si="35"/>
        <v>1</v>
      </c>
      <c r="R188" s="712">
        <f t="shared" ca="1" si="36"/>
        <v>17260</v>
      </c>
      <c r="S188" s="2959">
        <f t="shared" ca="1" si="37"/>
        <v>101</v>
      </c>
    </row>
    <row r="189" spans="1:19">
      <c r="A189" s="2992" t="str">
        <f>Sheet1!F170</f>
        <v>3-616</v>
      </c>
      <c r="B189" s="2992">
        <f>Sheet1!G170</f>
        <v>61.88</v>
      </c>
      <c r="C189" s="11">
        <f t="shared" si="28"/>
        <v>1</v>
      </c>
      <c r="D189" s="2994"/>
      <c r="E189" s="11">
        <f t="shared" si="29"/>
        <v>1</v>
      </c>
      <c r="F189" s="2994"/>
      <c r="G189" s="11">
        <f t="shared" si="30"/>
        <v>1</v>
      </c>
      <c r="H189" s="2994"/>
      <c r="I189" s="11">
        <f t="shared" si="31"/>
        <v>1</v>
      </c>
      <c r="J189" s="2994"/>
      <c r="K189" s="11">
        <f t="shared" si="32"/>
        <v>1</v>
      </c>
      <c r="L189" s="2994"/>
      <c r="M189" s="11">
        <f t="shared" si="33"/>
        <v>1</v>
      </c>
      <c r="N189" s="2994"/>
      <c r="O189" s="11">
        <f t="shared" si="34"/>
        <v>1</v>
      </c>
      <c r="P189" s="2994"/>
      <c r="Q189" s="11">
        <f t="shared" si="35"/>
        <v>1</v>
      </c>
      <c r="R189" s="712">
        <f t="shared" ca="1" si="36"/>
        <v>17260</v>
      </c>
      <c r="S189" s="2959">
        <f t="shared" ca="1" si="37"/>
        <v>107</v>
      </c>
    </row>
    <row r="190" spans="1:19">
      <c r="A190" s="2992" t="str">
        <f>Sheet1!F171</f>
        <v>3-617</v>
      </c>
      <c r="B190" s="2992">
        <f>Sheet1!G171</f>
        <v>61.41</v>
      </c>
      <c r="C190" s="11">
        <f t="shared" si="28"/>
        <v>1</v>
      </c>
      <c r="D190" s="2994"/>
      <c r="E190" s="11">
        <f t="shared" si="29"/>
        <v>1</v>
      </c>
      <c r="F190" s="2994"/>
      <c r="G190" s="11">
        <f t="shared" si="30"/>
        <v>1</v>
      </c>
      <c r="H190" s="2994"/>
      <c r="I190" s="11">
        <f t="shared" si="31"/>
        <v>1</v>
      </c>
      <c r="J190" s="2994"/>
      <c r="K190" s="11">
        <f t="shared" si="32"/>
        <v>1</v>
      </c>
      <c r="L190" s="2994"/>
      <c r="M190" s="11">
        <f t="shared" si="33"/>
        <v>1</v>
      </c>
      <c r="N190" s="2994"/>
      <c r="O190" s="11">
        <f t="shared" si="34"/>
        <v>1</v>
      </c>
      <c r="P190" s="2994"/>
      <c r="Q190" s="11">
        <f t="shared" si="35"/>
        <v>1</v>
      </c>
      <c r="R190" s="712">
        <f t="shared" ca="1" si="36"/>
        <v>17260</v>
      </c>
      <c r="S190" s="2959">
        <f t="shared" ca="1" si="37"/>
        <v>106</v>
      </c>
    </row>
    <row r="191" spans="1:19">
      <c r="A191" s="2992" t="str">
        <f>Sheet1!F172</f>
        <v>3-618</v>
      </c>
      <c r="B191" s="2992">
        <f>Sheet1!G172</f>
        <v>61.41</v>
      </c>
      <c r="C191" s="11">
        <f t="shared" si="28"/>
        <v>1</v>
      </c>
      <c r="D191" s="2994"/>
      <c r="E191" s="11">
        <f t="shared" si="29"/>
        <v>1</v>
      </c>
      <c r="F191" s="2994"/>
      <c r="G191" s="11">
        <f t="shared" si="30"/>
        <v>1</v>
      </c>
      <c r="H191" s="2994"/>
      <c r="I191" s="11">
        <f t="shared" si="31"/>
        <v>1</v>
      </c>
      <c r="J191" s="2994"/>
      <c r="K191" s="11">
        <f t="shared" si="32"/>
        <v>1</v>
      </c>
      <c r="L191" s="2994"/>
      <c r="M191" s="11">
        <f t="shared" si="33"/>
        <v>1</v>
      </c>
      <c r="N191" s="2994"/>
      <c r="O191" s="11">
        <f t="shared" si="34"/>
        <v>1</v>
      </c>
      <c r="P191" s="2994"/>
      <c r="Q191" s="11">
        <f t="shared" si="35"/>
        <v>1</v>
      </c>
      <c r="R191" s="712">
        <f t="shared" ca="1" si="36"/>
        <v>17260</v>
      </c>
      <c r="S191" s="2959">
        <f t="shared" ca="1" si="37"/>
        <v>106</v>
      </c>
    </row>
    <row r="192" spans="1:19">
      <c r="A192" s="2992" t="str">
        <f>Sheet1!F173</f>
        <v>3-619</v>
      </c>
      <c r="B192" s="2992">
        <f>Sheet1!G173</f>
        <v>61.41</v>
      </c>
      <c r="C192" s="11">
        <f t="shared" si="28"/>
        <v>1</v>
      </c>
      <c r="D192" s="2994"/>
      <c r="E192" s="11">
        <f t="shared" si="29"/>
        <v>1</v>
      </c>
      <c r="F192" s="2994"/>
      <c r="G192" s="11">
        <f t="shared" si="30"/>
        <v>1</v>
      </c>
      <c r="H192" s="2994"/>
      <c r="I192" s="11">
        <f t="shared" si="31"/>
        <v>1</v>
      </c>
      <c r="J192" s="2994"/>
      <c r="K192" s="11">
        <f t="shared" si="32"/>
        <v>1</v>
      </c>
      <c r="L192" s="2994"/>
      <c r="M192" s="11">
        <f t="shared" si="33"/>
        <v>1</v>
      </c>
      <c r="N192" s="2994"/>
      <c r="O192" s="11">
        <f t="shared" si="34"/>
        <v>1</v>
      </c>
      <c r="P192" s="2994"/>
      <c r="Q192" s="11">
        <f t="shared" si="35"/>
        <v>1</v>
      </c>
      <c r="R192" s="712">
        <f t="shared" ca="1" si="36"/>
        <v>17260</v>
      </c>
      <c r="S192" s="2959">
        <f t="shared" ca="1" si="37"/>
        <v>106</v>
      </c>
    </row>
    <row r="193" spans="1:19">
      <c r="A193" s="2992" t="str">
        <f>Sheet1!F174</f>
        <v>4-601</v>
      </c>
      <c r="B193" s="2992">
        <f>Sheet1!G174</f>
        <v>65.760000000000005</v>
      </c>
      <c r="C193" s="11">
        <f t="shared" si="28"/>
        <v>1</v>
      </c>
      <c r="D193" s="2994"/>
      <c r="E193" s="11">
        <f t="shared" si="29"/>
        <v>1</v>
      </c>
      <c r="F193" s="2994"/>
      <c r="G193" s="11">
        <f t="shared" si="30"/>
        <v>1</v>
      </c>
      <c r="H193" s="2994"/>
      <c r="I193" s="11">
        <f t="shared" si="31"/>
        <v>1</v>
      </c>
      <c r="J193" s="2994"/>
      <c r="K193" s="11">
        <f t="shared" si="32"/>
        <v>1</v>
      </c>
      <c r="L193" s="2994"/>
      <c r="M193" s="11">
        <f t="shared" si="33"/>
        <v>1</v>
      </c>
      <c r="N193" s="2994"/>
      <c r="O193" s="11">
        <f t="shared" si="34"/>
        <v>1</v>
      </c>
      <c r="P193" s="2994"/>
      <c r="Q193" s="11">
        <f t="shared" si="35"/>
        <v>1</v>
      </c>
      <c r="R193" s="712">
        <f t="shared" ca="1" si="36"/>
        <v>17260</v>
      </c>
      <c r="S193" s="2959">
        <f t="shared" ca="1" si="37"/>
        <v>114</v>
      </c>
    </row>
    <row r="194" spans="1:19">
      <c r="A194" s="2992" t="str">
        <f>Sheet1!F175</f>
        <v>4-602</v>
      </c>
      <c r="B194" s="2992">
        <f>Sheet1!G175</f>
        <v>59.41</v>
      </c>
      <c r="C194" s="11">
        <f t="shared" si="28"/>
        <v>1</v>
      </c>
      <c r="D194" s="2994"/>
      <c r="E194" s="11">
        <f t="shared" si="29"/>
        <v>1</v>
      </c>
      <c r="F194" s="2994"/>
      <c r="G194" s="11">
        <f t="shared" si="30"/>
        <v>1</v>
      </c>
      <c r="H194" s="2994"/>
      <c r="I194" s="11">
        <f t="shared" si="31"/>
        <v>1</v>
      </c>
      <c r="J194" s="2994"/>
      <c r="K194" s="11">
        <f t="shared" si="32"/>
        <v>1</v>
      </c>
      <c r="L194" s="2994"/>
      <c r="M194" s="11">
        <f t="shared" si="33"/>
        <v>1</v>
      </c>
      <c r="N194" s="2994"/>
      <c r="O194" s="11">
        <f t="shared" si="34"/>
        <v>1</v>
      </c>
      <c r="P194" s="2994"/>
      <c r="Q194" s="11">
        <f t="shared" si="35"/>
        <v>1</v>
      </c>
      <c r="R194" s="712">
        <f t="shared" ca="1" si="36"/>
        <v>17260</v>
      </c>
      <c r="S194" s="2959">
        <f t="shared" ca="1" si="37"/>
        <v>103</v>
      </c>
    </row>
    <row r="195" spans="1:19">
      <c r="A195" s="2992" t="str">
        <f>Sheet1!F176</f>
        <v>4-603</v>
      </c>
      <c r="B195" s="2992">
        <f>Sheet1!G176</f>
        <v>60.69</v>
      </c>
      <c r="C195" s="11">
        <f t="shared" si="28"/>
        <v>1</v>
      </c>
      <c r="D195" s="2994"/>
      <c r="E195" s="11">
        <f t="shared" si="29"/>
        <v>1</v>
      </c>
      <c r="F195" s="2994"/>
      <c r="G195" s="11">
        <f t="shared" si="30"/>
        <v>1</v>
      </c>
      <c r="H195" s="2994"/>
      <c r="I195" s="11">
        <f t="shared" si="31"/>
        <v>1</v>
      </c>
      <c r="J195" s="2994"/>
      <c r="K195" s="11">
        <f t="shared" si="32"/>
        <v>1</v>
      </c>
      <c r="L195" s="2994"/>
      <c r="M195" s="11">
        <f t="shared" si="33"/>
        <v>1</v>
      </c>
      <c r="N195" s="2994"/>
      <c r="O195" s="11">
        <f t="shared" si="34"/>
        <v>1</v>
      </c>
      <c r="P195" s="2994"/>
      <c r="Q195" s="11">
        <f t="shared" si="35"/>
        <v>1</v>
      </c>
      <c r="R195" s="712">
        <f t="shared" ca="1" si="36"/>
        <v>17260</v>
      </c>
      <c r="S195" s="2959">
        <f t="shared" ca="1" si="37"/>
        <v>105</v>
      </c>
    </row>
    <row r="196" spans="1:19">
      <c r="A196" s="2992" t="str">
        <f>Sheet1!F177</f>
        <v>4-604</v>
      </c>
      <c r="B196" s="2992">
        <f>Sheet1!G177</f>
        <v>60.69</v>
      </c>
      <c r="C196" s="11">
        <f t="shared" si="28"/>
        <v>1</v>
      </c>
      <c r="D196" s="2994"/>
      <c r="E196" s="11">
        <f t="shared" si="29"/>
        <v>1</v>
      </c>
      <c r="F196" s="2994"/>
      <c r="G196" s="11">
        <f t="shared" si="30"/>
        <v>1</v>
      </c>
      <c r="H196" s="2994"/>
      <c r="I196" s="11">
        <f t="shared" si="31"/>
        <v>1</v>
      </c>
      <c r="J196" s="2994"/>
      <c r="K196" s="11">
        <f t="shared" si="32"/>
        <v>1</v>
      </c>
      <c r="L196" s="2994"/>
      <c r="M196" s="11">
        <f t="shared" si="33"/>
        <v>1</v>
      </c>
      <c r="N196" s="2994"/>
      <c r="O196" s="11">
        <f t="shared" si="34"/>
        <v>1</v>
      </c>
      <c r="P196" s="2994"/>
      <c r="Q196" s="11">
        <f t="shared" si="35"/>
        <v>1</v>
      </c>
      <c r="R196" s="712">
        <f t="shared" ca="1" si="36"/>
        <v>17260</v>
      </c>
      <c r="S196" s="2959">
        <f t="shared" ca="1" si="37"/>
        <v>105</v>
      </c>
    </row>
    <row r="197" spans="1:19">
      <c r="A197" s="2992" t="str">
        <f>Sheet1!F178</f>
        <v>4-605</v>
      </c>
      <c r="B197" s="2992">
        <f>Sheet1!G178</f>
        <v>60.69</v>
      </c>
      <c r="C197" s="11">
        <f t="shared" si="28"/>
        <v>1</v>
      </c>
      <c r="D197" s="2994"/>
      <c r="E197" s="11">
        <f t="shared" si="29"/>
        <v>1</v>
      </c>
      <c r="F197" s="2994"/>
      <c r="G197" s="11">
        <f t="shared" si="30"/>
        <v>1</v>
      </c>
      <c r="H197" s="2994"/>
      <c r="I197" s="11">
        <f t="shared" si="31"/>
        <v>1</v>
      </c>
      <c r="J197" s="2994"/>
      <c r="K197" s="11">
        <f t="shared" si="32"/>
        <v>1</v>
      </c>
      <c r="L197" s="2994"/>
      <c r="M197" s="11">
        <f t="shared" si="33"/>
        <v>1</v>
      </c>
      <c r="N197" s="2994"/>
      <c r="O197" s="11">
        <f t="shared" si="34"/>
        <v>1</v>
      </c>
      <c r="P197" s="2994"/>
      <c r="Q197" s="11">
        <f t="shared" si="35"/>
        <v>1</v>
      </c>
      <c r="R197" s="712">
        <f t="shared" ca="1" si="36"/>
        <v>17260</v>
      </c>
      <c r="S197" s="2959">
        <f t="shared" ca="1" si="37"/>
        <v>105</v>
      </c>
    </row>
    <row r="198" spans="1:19">
      <c r="A198" s="2992" t="str">
        <f>Sheet1!F179</f>
        <v>4-606</v>
      </c>
      <c r="B198" s="2992">
        <f>Sheet1!G179</f>
        <v>60.69</v>
      </c>
      <c r="C198" s="11">
        <f t="shared" si="28"/>
        <v>1</v>
      </c>
      <c r="D198" s="2994"/>
      <c r="E198" s="11">
        <f t="shared" si="29"/>
        <v>1</v>
      </c>
      <c r="F198" s="2994"/>
      <c r="G198" s="11">
        <f t="shared" si="30"/>
        <v>1</v>
      </c>
      <c r="H198" s="2994"/>
      <c r="I198" s="11">
        <f t="shared" si="31"/>
        <v>1</v>
      </c>
      <c r="J198" s="2994"/>
      <c r="K198" s="11">
        <f t="shared" si="32"/>
        <v>1</v>
      </c>
      <c r="L198" s="2994"/>
      <c r="M198" s="11">
        <f t="shared" si="33"/>
        <v>1</v>
      </c>
      <c r="N198" s="2994"/>
      <c r="O198" s="11">
        <f t="shared" si="34"/>
        <v>1</v>
      </c>
      <c r="P198" s="2994"/>
      <c r="Q198" s="11">
        <f t="shared" si="35"/>
        <v>1</v>
      </c>
      <c r="R198" s="712">
        <f t="shared" ca="1" si="36"/>
        <v>17260</v>
      </c>
      <c r="S198" s="2959">
        <f t="shared" ca="1" si="37"/>
        <v>105</v>
      </c>
    </row>
    <row r="199" spans="1:19">
      <c r="A199" s="2992" t="str">
        <f>Sheet1!F180</f>
        <v>4-607</v>
      </c>
      <c r="B199" s="2992">
        <f>Sheet1!G180</f>
        <v>60.69</v>
      </c>
      <c r="C199" s="11">
        <f t="shared" si="28"/>
        <v>1</v>
      </c>
      <c r="D199" s="2994"/>
      <c r="E199" s="11">
        <f t="shared" si="29"/>
        <v>1</v>
      </c>
      <c r="F199" s="2994"/>
      <c r="G199" s="11">
        <f t="shared" si="30"/>
        <v>1</v>
      </c>
      <c r="H199" s="2994"/>
      <c r="I199" s="11">
        <f t="shared" si="31"/>
        <v>1</v>
      </c>
      <c r="J199" s="2994"/>
      <c r="K199" s="11">
        <f t="shared" si="32"/>
        <v>1</v>
      </c>
      <c r="L199" s="2994"/>
      <c r="M199" s="11">
        <f t="shared" si="33"/>
        <v>1</v>
      </c>
      <c r="N199" s="2994"/>
      <c r="O199" s="11">
        <f t="shared" si="34"/>
        <v>1</v>
      </c>
      <c r="P199" s="2994"/>
      <c r="Q199" s="11">
        <f t="shared" si="35"/>
        <v>1</v>
      </c>
      <c r="R199" s="712">
        <f t="shared" ca="1" si="36"/>
        <v>17260</v>
      </c>
      <c r="S199" s="2959">
        <f t="shared" ca="1" si="37"/>
        <v>105</v>
      </c>
    </row>
    <row r="200" spans="1:19">
      <c r="A200" s="2992" t="str">
        <f>Sheet1!F181</f>
        <v>4-608</v>
      </c>
      <c r="B200" s="2992">
        <f>Sheet1!G181</f>
        <v>60.69</v>
      </c>
      <c r="C200" s="11">
        <f t="shared" si="28"/>
        <v>1</v>
      </c>
      <c r="D200" s="2994"/>
      <c r="E200" s="11">
        <f t="shared" si="29"/>
        <v>1</v>
      </c>
      <c r="F200" s="2994"/>
      <c r="G200" s="11">
        <f t="shared" si="30"/>
        <v>1</v>
      </c>
      <c r="H200" s="2994"/>
      <c r="I200" s="11">
        <f t="shared" si="31"/>
        <v>1</v>
      </c>
      <c r="J200" s="2994"/>
      <c r="K200" s="11">
        <f t="shared" si="32"/>
        <v>1</v>
      </c>
      <c r="L200" s="2994"/>
      <c r="M200" s="11">
        <f t="shared" si="33"/>
        <v>1</v>
      </c>
      <c r="N200" s="2994"/>
      <c r="O200" s="11">
        <f t="shared" si="34"/>
        <v>1</v>
      </c>
      <c r="P200" s="2994"/>
      <c r="Q200" s="11">
        <f t="shared" si="35"/>
        <v>1</v>
      </c>
      <c r="R200" s="712">
        <f t="shared" ca="1" si="36"/>
        <v>17260</v>
      </c>
      <c r="S200" s="2959">
        <f t="shared" ca="1" si="37"/>
        <v>105</v>
      </c>
    </row>
    <row r="201" spans="1:19">
      <c r="A201" s="2992" t="str">
        <f>Sheet1!F182</f>
        <v>4-609</v>
      </c>
      <c r="B201" s="2992">
        <f>Sheet1!G182</f>
        <v>60.69</v>
      </c>
      <c r="C201" s="11">
        <f t="shared" si="28"/>
        <v>1</v>
      </c>
      <c r="D201" s="2994"/>
      <c r="E201" s="11">
        <f t="shared" si="29"/>
        <v>1</v>
      </c>
      <c r="F201" s="2994"/>
      <c r="G201" s="11">
        <f t="shared" si="30"/>
        <v>1</v>
      </c>
      <c r="H201" s="2994"/>
      <c r="I201" s="11">
        <f t="shared" si="31"/>
        <v>1</v>
      </c>
      <c r="J201" s="2994"/>
      <c r="K201" s="11">
        <f t="shared" si="32"/>
        <v>1</v>
      </c>
      <c r="L201" s="2994"/>
      <c r="M201" s="11">
        <f t="shared" si="33"/>
        <v>1</v>
      </c>
      <c r="N201" s="2994"/>
      <c r="O201" s="11">
        <f t="shared" si="34"/>
        <v>1</v>
      </c>
      <c r="P201" s="2994"/>
      <c r="Q201" s="11">
        <f t="shared" si="35"/>
        <v>1</v>
      </c>
      <c r="R201" s="712">
        <f t="shared" ca="1" si="36"/>
        <v>17260</v>
      </c>
      <c r="S201" s="2959">
        <f t="shared" ca="1" si="37"/>
        <v>105</v>
      </c>
    </row>
    <row r="202" spans="1:19">
      <c r="A202" s="2992" t="str">
        <f>Sheet1!F183</f>
        <v>4-610</v>
      </c>
      <c r="B202" s="2992">
        <f>Sheet1!G183</f>
        <v>60.69</v>
      </c>
      <c r="C202" s="11">
        <f t="shared" si="28"/>
        <v>1</v>
      </c>
      <c r="D202" s="2994"/>
      <c r="E202" s="11">
        <f t="shared" si="29"/>
        <v>1</v>
      </c>
      <c r="F202" s="2994"/>
      <c r="G202" s="11">
        <f t="shared" si="30"/>
        <v>1</v>
      </c>
      <c r="H202" s="2994"/>
      <c r="I202" s="11">
        <f t="shared" si="31"/>
        <v>1</v>
      </c>
      <c r="J202" s="2994"/>
      <c r="K202" s="11">
        <f t="shared" si="32"/>
        <v>1</v>
      </c>
      <c r="L202" s="2994"/>
      <c r="M202" s="11">
        <f t="shared" si="33"/>
        <v>1</v>
      </c>
      <c r="N202" s="2994"/>
      <c r="O202" s="11">
        <f t="shared" si="34"/>
        <v>1</v>
      </c>
      <c r="P202" s="2994"/>
      <c r="Q202" s="11">
        <f t="shared" si="35"/>
        <v>1</v>
      </c>
      <c r="R202" s="712">
        <f t="shared" ca="1" si="36"/>
        <v>17260</v>
      </c>
      <c r="S202" s="2959">
        <f t="shared" ca="1" si="37"/>
        <v>105</v>
      </c>
    </row>
    <row r="203" spans="1:19">
      <c r="A203" s="2992" t="str">
        <f>Sheet1!F184</f>
        <v>4-611</v>
      </c>
      <c r="B203" s="2992">
        <f>Sheet1!G184</f>
        <v>60.69</v>
      </c>
      <c r="C203" s="11">
        <f t="shared" si="28"/>
        <v>1</v>
      </c>
      <c r="D203" s="2994"/>
      <c r="E203" s="11">
        <f t="shared" si="29"/>
        <v>1</v>
      </c>
      <c r="F203" s="2994"/>
      <c r="G203" s="11">
        <f t="shared" si="30"/>
        <v>1</v>
      </c>
      <c r="H203" s="2994"/>
      <c r="I203" s="11">
        <f t="shared" si="31"/>
        <v>1</v>
      </c>
      <c r="J203" s="2994"/>
      <c r="K203" s="11">
        <f t="shared" si="32"/>
        <v>1</v>
      </c>
      <c r="L203" s="2994"/>
      <c r="M203" s="11">
        <f t="shared" si="33"/>
        <v>1</v>
      </c>
      <c r="N203" s="2994"/>
      <c r="O203" s="11">
        <f t="shared" si="34"/>
        <v>1</v>
      </c>
      <c r="P203" s="2994"/>
      <c r="Q203" s="11">
        <f t="shared" si="35"/>
        <v>1</v>
      </c>
      <c r="R203" s="712">
        <f t="shared" ca="1" si="36"/>
        <v>17260</v>
      </c>
      <c r="S203" s="2959">
        <f t="shared" ca="1" si="37"/>
        <v>105</v>
      </c>
    </row>
    <row r="204" spans="1:19">
      <c r="A204" s="2992" t="str">
        <f>Sheet1!F185</f>
        <v>4-612</v>
      </c>
      <c r="B204" s="2992">
        <f>Sheet1!G185</f>
        <v>48.86</v>
      </c>
      <c r="C204" s="11">
        <f t="shared" si="28"/>
        <v>1</v>
      </c>
      <c r="D204" s="2994"/>
      <c r="E204" s="11">
        <f t="shared" si="29"/>
        <v>1</v>
      </c>
      <c r="F204" s="2994"/>
      <c r="G204" s="11">
        <f t="shared" si="30"/>
        <v>1</v>
      </c>
      <c r="H204" s="2994"/>
      <c r="I204" s="11">
        <f t="shared" si="31"/>
        <v>1</v>
      </c>
      <c r="J204" s="2994"/>
      <c r="K204" s="11">
        <f t="shared" si="32"/>
        <v>1</v>
      </c>
      <c r="L204" s="2994"/>
      <c r="M204" s="11">
        <f t="shared" si="33"/>
        <v>1</v>
      </c>
      <c r="N204" s="2994"/>
      <c r="O204" s="11">
        <f t="shared" si="34"/>
        <v>1</v>
      </c>
      <c r="P204" s="2994"/>
      <c r="Q204" s="11">
        <f t="shared" si="35"/>
        <v>1</v>
      </c>
      <c r="R204" s="712">
        <f t="shared" ca="1" si="36"/>
        <v>17260</v>
      </c>
      <c r="S204" s="2959">
        <f t="shared" ca="1" si="37"/>
        <v>84</v>
      </c>
    </row>
    <row r="205" spans="1:19">
      <c r="A205" s="2992" t="str">
        <f>Sheet1!F186</f>
        <v>4-613</v>
      </c>
      <c r="B205" s="2992">
        <f>Sheet1!G186</f>
        <v>48.86</v>
      </c>
      <c r="C205" s="11">
        <f t="shared" si="28"/>
        <v>1</v>
      </c>
      <c r="D205" s="2994"/>
      <c r="E205" s="11">
        <f t="shared" si="29"/>
        <v>1</v>
      </c>
      <c r="F205" s="2994"/>
      <c r="G205" s="11">
        <f t="shared" si="30"/>
        <v>1</v>
      </c>
      <c r="H205" s="2994"/>
      <c r="I205" s="11">
        <f t="shared" si="31"/>
        <v>1</v>
      </c>
      <c r="J205" s="2994"/>
      <c r="K205" s="11">
        <f t="shared" si="32"/>
        <v>1</v>
      </c>
      <c r="L205" s="2994"/>
      <c r="M205" s="11">
        <f t="shared" si="33"/>
        <v>1</v>
      </c>
      <c r="N205" s="2994"/>
      <c r="O205" s="11">
        <f t="shared" si="34"/>
        <v>1</v>
      </c>
      <c r="P205" s="2994"/>
      <c r="Q205" s="11">
        <f t="shared" si="35"/>
        <v>1</v>
      </c>
      <c r="R205" s="712">
        <f t="shared" ca="1" si="36"/>
        <v>17260</v>
      </c>
      <c r="S205" s="2959">
        <f t="shared" ca="1" si="37"/>
        <v>84</v>
      </c>
    </row>
    <row r="206" spans="1:19">
      <c r="A206" s="2992" t="str">
        <f>Sheet1!F187</f>
        <v>4-614</v>
      </c>
      <c r="B206" s="2992">
        <f>Sheet1!G187</f>
        <v>48.86</v>
      </c>
      <c r="C206" s="11">
        <f t="shared" si="28"/>
        <v>1</v>
      </c>
      <c r="D206" s="2994"/>
      <c r="E206" s="11">
        <f t="shared" si="29"/>
        <v>1</v>
      </c>
      <c r="F206" s="2994"/>
      <c r="G206" s="11">
        <f t="shared" si="30"/>
        <v>1</v>
      </c>
      <c r="H206" s="2994"/>
      <c r="I206" s="11">
        <f t="shared" si="31"/>
        <v>1</v>
      </c>
      <c r="J206" s="2994"/>
      <c r="K206" s="11">
        <f t="shared" si="32"/>
        <v>1</v>
      </c>
      <c r="L206" s="2994"/>
      <c r="M206" s="11">
        <f t="shared" si="33"/>
        <v>1</v>
      </c>
      <c r="N206" s="2994"/>
      <c r="O206" s="11">
        <f t="shared" si="34"/>
        <v>1</v>
      </c>
      <c r="P206" s="2994"/>
      <c r="Q206" s="11">
        <f t="shared" si="35"/>
        <v>1</v>
      </c>
      <c r="R206" s="712">
        <f t="shared" ca="1" si="36"/>
        <v>17260</v>
      </c>
      <c r="S206" s="2959">
        <f t="shared" ca="1" si="37"/>
        <v>84</v>
      </c>
    </row>
    <row r="207" spans="1:19">
      <c r="A207" s="2992" t="str">
        <f>Sheet1!F188</f>
        <v>4-615</v>
      </c>
      <c r="B207" s="2992">
        <f>Sheet1!G188</f>
        <v>54.87</v>
      </c>
      <c r="C207" s="11">
        <f t="shared" si="28"/>
        <v>1</v>
      </c>
      <c r="D207" s="2994"/>
      <c r="E207" s="11">
        <f t="shared" si="29"/>
        <v>1</v>
      </c>
      <c r="F207" s="2994"/>
      <c r="G207" s="11">
        <f t="shared" si="30"/>
        <v>1</v>
      </c>
      <c r="H207" s="2994"/>
      <c r="I207" s="11">
        <f t="shared" si="31"/>
        <v>1</v>
      </c>
      <c r="J207" s="2994"/>
      <c r="K207" s="11">
        <f t="shared" si="32"/>
        <v>1</v>
      </c>
      <c r="L207" s="2994"/>
      <c r="M207" s="11">
        <f t="shared" si="33"/>
        <v>1</v>
      </c>
      <c r="N207" s="2994"/>
      <c r="O207" s="11">
        <f t="shared" si="34"/>
        <v>1</v>
      </c>
      <c r="P207" s="2994"/>
      <c r="Q207" s="11">
        <f t="shared" si="35"/>
        <v>1</v>
      </c>
      <c r="R207" s="712">
        <f t="shared" ca="1" si="36"/>
        <v>17260</v>
      </c>
      <c r="S207" s="2959">
        <f t="shared" ca="1" si="37"/>
        <v>95</v>
      </c>
    </row>
    <row r="208" spans="1:19">
      <c r="A208" s="2992" t="str">
        <f>Sheet1!F189</f>
        <v>4-616</v>
      </c>
      <c r="B208" s="2992">
        <f>Sheet1!G189</f>
        <v>88.13</v>
      </c>
      <c r="C208" s="11">
        <f t="shared" si="28"/>
        <v>1</v>
      </c>
      <c r="D208" s="2994"/>
      <c r="E208" s="11">
        <f t="shared" si="29"/>
        <v>1</v>
      </c>
      <c r="F208" s="2994"/>
      <c r="G208" s="11">
        <f t="shared" si="30"/>
        <v>1</v>
      </c>
      <c r="H208" s="2994"/>
      <c r="I208" s="11">
        <f t="shared" si="31"/>
        <v>1</v>
      </c>
      <c r="J208" s="2994"/>
      <c r="K208" s="11">
        <f t="shared" si="32"/>
        <v>1</v>
      </c>
      <c r="L208" s="2994"/>
      <c r="M208" s="11">
        <f t="shared" si="33"/>
        <v>1</v>
      </c>
      <c r="N208" s="2994"/>
      <c r="O208" s="11">
        <f t="shared" si="34"/>
        <v>1</v>
      </c>
      <c r="P208" s="2994"/>
      <c r="Q208" s="11">
        <f t="shared" si="35"/>
        <v>1</v>
      </c>
      <c r="R208" s="712">
        <f t="shared" ca="1" si="36"/>
        <v>17260</v>
      </c>
      <c r="S208" s="2959">
        <f t="shared" ca="1" si="37"/>
        <v>152</v>
      </c>
    </row>
    <row r="209" spans="1:19">
      <c r="A209" s="2992" t="str">
        <f>Sheet1!F190</f>
        <v>4-617</v>
      </c>
      <c r="B209" s="2992">
        <f>Sheet1!G190</f>
        <v>5.81</v>
      </c>
      <c r="C209" s="11">
        <f t="shared" si="28"/>
        <v>1</v>
      </c>
      <c r="D209" s="2994"/>
      <c r="E209" s="11">
        <f t="shared" si="29"/>
        <v>1</v>
      </c>
      <c r="F209" s="2994"/>
      <c r="G209" s="11">
        <f t="shared" si="30"/>
        <v>1</v>
      </c>
      <c r="H209" s="2994"/>
      <c r="I209" s="11">
        <f t="shared" si="31"/>
        <v>1</v>
      </c>
      <c r="J209" s="2994"/>
      <c r="K209" s="11">
        <f t="shared" si="32"/>
        <v>1</v>
      </c>
      <c r="L209" s="2994"/>
      <c r="M209" s="11">
        <f t="shared" si="33"/>
        <v>1</v>
      </c>
      <c r="N209" s="2994"/>
      <c r="O209" s="11">
        <f t="shared" si="34"/>
        <v>1</v>
      </c>
      <c r="P209" s="2994"/>
      <c r="Q209" s="11">
        <f t="shared" si="35"/>
        <v>1</v>
      </c>
      <c r="R209" s="712">
        <f t="shared" ca="1" si="36"/>
        <v>17260</v>
      </c>
      <c r="S209" s="2959">
        <f t="shared" ca="1" si="37"/>
        <v>10</v>
      </c>
    </row>
    <row r="210" spans="1:19">
      <c r="A210" s="2992" t="str">
        <f>Sheet1!F191</f>
        <v>1-701</v>
      </c>
      <c r="B210" s="2992">
        <f>Sheet1!G191</f>
        <v>186.33</v>
      </c>
      <c r="C210" s="11">
        <f t="shared" si="28"/>
        <v>0.99</v>
      </c>
      <c r="D210" s="2994"/>
      <c r="E210" s="11">
        <f t="shared" si="29"/>
        <v>1</v>
      </c>
      <c r="F210" s="2994"/>
      <c r="G210" s="11">
        <f t="shared" si="30"/>
        <v>1</v>
      </c>
      <c r="H210" s="2994"/>
      <c r="I210" s="11">
        <f t="shared" si="31"/>
        <v>1</v>
      </c>
      <c r="J210" s="2994"/>
      <c r="K210" s="11">
        <f t="shared" si="32"/>
        <v>1</v>
      </c>
      <c r="L210" s="2994"/>
      <c r="M210" s="11">
        <f t="shared" si="33"/>
        <v>1</v>
      </c>
      <c r="N210" s="2994"/>
      <c r="O210" s="11">
        <f t="shared" si="34"/>
        <v>1</v>
      </c>
      <c r="P210" s="2994"/>
      <c r="Q210" s="11">
        <f t="shared" si="35"/>
        <v>1</v>
      </c>
      <c r="R210" s="712">
        <f t="shared" ca="1" si="36"/>
        <v>17087</v>
      </c>
      <c r="S210" s="2959">
        <f t="shared" ca="1" si="37"/>
        <v>318</v>
      </c>
    </row>
    <row r="211" spans="1:19">
      <c r="A211" s="2992" t="str">
        <f>Sheet1!F192</f>
        <v>1-702</v>
      </c>
      <c r="B211" s="2992">
        <f>Sheet1!G192</f>
        <v>188.39</v>
      </c>
      <c r="C211" s="11">
        <f t="shared" si="28"/>
        <v>0.99</v>
      </c>
      <c r="D211" s="2994"/>
      <c r="E211" s="11">
        <f t="shared" si="29"/>
        <v>1</v>
      </c>
      <c r="F211" s="2994"/>
      <c r="G211" s="11">
        <f t="shared" si="30"/>
        <v>1</v>
      </c>
      <c r="H211" s="2994"/>
      <c r="I211" s="11">
        <f t="shared" si="31"/>
        <v>1</v>
      </c>
      <c r="J211" s="2994"/>
      <c r="K211" s="11">
        <f t="shared" si="32"/>
        <v>1</v>
      </c>
      <c r="L211" s="2994"/>
      <c r="M211" s="11">
        <f t="shared" si="33"/>
        <v>1</v>
      </c>
      <c r="N211" s="2994"/>
      <c r="O211" s="11">
        <f t="shared" si="34"/>
        <v>1</v>
      </c>
      <c r="P211" s="2994"/>
      <c r="Q211" s="11">
        <f t="shared" si="35"/>
        <v>1</v>
      </c>
      <c r="R211" s="712">
        <f t="shared" ca="1" si="36"/>
        <v>17087</v>
      </c>
      <c r="S211" s="2959">
        <f t="shared" ca="1" si="37"/>
        <v>322</v>
      </c>
    </row>
    <row r="212" spans="1:19">
      <c r="A212" s="2992" t="str">
        <f>Sheet1!F193</f>
        <v>1-703</v>
      </c>
      <c r="B212" s="2992">
        <f>Sheet1!G193</f>
        <v>188.39</v>
      </c>
      <c r="C212" s="11">
        <f t="shared" si="28"/>
        <v>0.99</v>
      </c>
      <c r="D212" s="2994"/>
      <c r="E212" s="11">
        <f t="shared" si="29"/>
        <v>1</v>
      </c>
      <c r="F212" s="2994"/>
      <c r="G212" s="11">
        <f t="shared" si="30"/>
        <v>1</v>
      </c>
      <c r="H212" s="2994"/>
      <c r="I212" s="11">
        <f t="shared" si="31"/>
        <v>1</v>
      </c>
      <c r="J212" s="2994"/>
      <c r="K212" s="11">
        <f t="shared" si="32"/>
        <v>1</v>
      </c>
      <c r="L212" s="2994"/>
      <c r="M212" s="11">
        <f t="shared" si="33"/>
        <v>1</v>
      </c>
      <c r="N212" s="2994"/>
      <c r="O212" s="11">
        <f t="shared" si="34"/>
        <v>1</v>
      </c>
      <c r="P212" s="2994"/>
      <c r="Q212" s="11">
        <f t="shared" si="35"/>
        <v>1</v>
      </c>
      <c r="R212" s="712">
        <f t="shared" ca="1" si="36"/>
        <v>17087</v>
      </c>
      <c r="S212" s="2959">
        <f t="shared" ca="1" si="37"/>
        <v>322</v>
      </c>
    </row>
    <row r="213" spans="1:19">
      <c r="A213" s="2992" t="str">
        <f>Sheet1!F194</f>
        <v>1-704</v>
      </c>
      <c r="B213" s="2992">
        <f>Sheet1!G194</f>
        <v>188.39</v>
      </c>
      <c r="C213" s="11">
        <f t="shared" si="28"/>
        <v>0.99</v>
      </c>
      <c r="D213" s="2994"/>
      <c r="E213" s="11">
        <f t="shared" si="29"/>
        <v>1</v>
      </c>
      <c r="F213" s="2994"/>
      <c r="G213" s="11">
        <f t="shared" si="30"/>
        <v>1</v>
      </c>
      <c r="H213" s="2994"/>
      <c r="I213" s="11">
        <f t="shared" si="31"/>
        <v>1</v>
      </c>
      <c r="J213" s="2994"/>
      <c r="K213" s="11">
        <f t="shared" si="32"/>
        <v>1</v>
      </c>
      <c r="L213" s="2994"/>
      <c r="M213" s="11">
        <f t="shared" si="33"/>
        <v>1</v>
      </c>
      <c r="N213" s="2994"/>
      <c r="O213" s="11">
        <f t="shared" si="34"/>
        <v>1</v>
      </c>
      <c r="P213" s="2994"/>
      <c r="Q213" s="11">
        <f t="shared" si="35"/>
        <v>1</v>
      </c>
      <c r="R213" s="712">
        <f t="shared" ca="1" si="36"/>
        <v>17087</v>
      </c>
      <c r="S213" s="2959">
        <f t="shared" ca="1" si="37"/>
        <v>322</v>
      </c>
    </row>
    <row r="214" spans="1:19">
      <c r="A214" s="2992" t="str">
        <f>Sheet1!F195</f>
        <v>1-705</v>
      </c>
      <c r="B214" s="2992">
        <f>Sheet1!G195</f>
        <v>188.39</v>
      </c>
      <c r="C214" s="11">
        <f t="shared" si="28"/>
        <v>0.99</v>
      </c>
      <c r="D214" s="2994"/>
      <c r="E214" s="11">
        <f t="shared" si="29"/>
        <v>1</v>
      </c>
      <c r="F214" s="2994"/>
      <c r="G214" s="11">
        <f t="shared" si="30"/>
        <v>1</v>
      </c>
      <c r="H214" s="2994"/>
      <c r="I214" s="11">
        <f t="shared" si="31"/>
        <v>1</v>
      </c>
      <c r="J214" s="2994"/>
      <c r="K214" s="11">
        <f t="shared" si="32"/>
        <v>1</v>
      </c>
      <c r="L214" s="2994"/>
      <c r="M214" s="11">
        <f t="shared" si="33"/>
        <v>1</v>
      </c>
      <c r="N214" s="2994"/>
      <c r="O214" s="11">
        <f t="shared" si="34"/>
        <v>1</v>
      </c>
      <c r="P214" s="2994"/>
      <c r="Q214" s="11">
        <f t="shared" si="35"/>
        <v>1</v>
      </c>
      <c r="R214" s="712">
        <f t="shared" ca="1" si="36"/>
        <v>17087</v>
      </c>
      <c r="S214" s="2959">
        <f t="shared" ca="1" si="37"/>
        <v>322</v>
      </c>
    </row>
    <row r="215" spans="1:19">
      <c r="A215" s="2992" t="str">
        <f>Sheet1!F196</f>
        <v>1-706</v>
      </c>
      <c r="B215" s="2992">
        <f>Sheet1!G196</f>
        <v>188.39</v>
      </c>
      <c r="C215" s="11">
        <f t="shared" si="28"/>
        <v>0.99</v>
      </c>
      <c r="D215" s="2994"/>
      <c r="E215" s="11">
        <f t="shared" si="29"/>
        <v>1</v>
      </c>
      <c r="F215" s="2994"/>
      <c r="G215" s="11">
        <f t="shared" si="30"/>
        <v>1</v>
      </c>
      <c r="H215" s="2994"/>
      <c r="I215" s="11">
        <f t="shared" si="31"/>
        <v>1</v>
      </c>
      <c r="J215" s="2994"/>
      <c r="K215" s="11">
        <f t="shared" si="32"/>
        <v>1</v>
      </c>
      <c r="L215" s="2994"/>
      <c r="M215" s="11">
        <f t="shared" si="33"/>
        <v>1</v>
      </c>
      <c r="N215" s="2994"/>
      <c r="O215" s="11">
        <f t="shared" si="34"/>
        <v>1</v>
      </c>
      <c r="P215" s="2994"/>
      <c r="Q215" s="11">
        <f t="shared" si="35"/>
        <v>1</v>
      </c>
      <c r="R215" s="712">
        <f t="shared" ca="1" si="36"/>
        <v>17087</v>
      </c>
      <c r="S215" s="2959">
        <f t="shared" ca="1" si="37"/>
        <v>322</v>
      </c>
    </row>
    <row r="216" spans="1:19">
      <c r="A216" s="2992" t="str">
        <f>Sheet1!F197</f>
        <v>1-707</v>
      </c>
      <c r="B216" s="2992">
        <f>Sheet1!G197</f>
        <v>187.53</v>
      </c>
      <c r="C216" s="11">
        <f t="shared" si="28"/>
        <v>0.99</v>
      </c>
      <c r="D216" s="2994"/>
      <c r="E216" s="11">
        <f t="shared" si="29"/>
        <v>1</v>
      </c>
      <c r="F216" s="2994"/>
      <c r="G216" s="11">
        <f t="shared" si="30"/>
        <v>1</v>
      </c>
      <c r="H216" s="2994"/>
      <c r="I216" s="11">
        <f t="shared" si="31"/>
        <v>1</v>
      </c>
      <c r="J216" s="2994"/>
      <c r="K216" s="11">
        <f t="shared" si="32"/>
        <v>1</v>
      </c>
      <c r="L216" s="2994"/>
      <c r="M216" s="11">
        <f t="shared" si="33"/>
        <v>1</v>
      </c>
      <c r="N216" s="2994"/>
      <c r="O216" s="11">
        <f t="shared" si="34"/>
        <v>1</v>
      </c>
      <c r="P216" s="2994"/>
      <c r="Q216" s="11">
        <f t="shared" si="35"/>
        <v>1</v>
      </c>
      <c r="R216" s="712">
        <f t="shared" ca="1" si="36"/>
        <v>17087</v>
      </c>
      <c r="S216" s="2959">
        <f t="shared" ca="1" si="37"/>
        <v>320</v>
      </c>
    </row>
    <row r="217" spans="1:19">
      <c r="A217" s="2992" t="str">
        <f>Sheet1!F198</f>
        <v>1-708</v>
      </c>
      <c r="B217" s="2992">
        <f>Sheet1!G198</f>
        <v>210.19</v>
      </c>
      <c r="C217" s="11">
        <f t="shared" si="28"/>
        <v>0.98</v>
      </c>
      <c r="D217" s="2994"/>
      <c r="E217" s="11">
        <f t="shared" si="29"/>
        <v>1</v>
      </c>
      <c r="F217" s="2994"/>
      <c r="G217" s="11">
        <f t="shared" si="30"/>
        <v>1</v>
      </c>
      <c r="H217" s="2994"/>
      <c r="I217" s="11">
        <f t="shared" si="31"/>
        <v>1</v>
      </c>
      <c r="J217" s="2994"/>
      <c r="K217" s="11">
        <f t="shared" si="32"/>
        <v>1</v>
      </c>
      <c r="L217" s="2994"/>
      <c r="M217" s="11">
        <f t="shared" si="33"/>
        <v>1</v>
      </c>
      <c r="N217" s="2994"/>
      <c r="O217" s="11">
        <f t="shared" si="34"/>
        <v>1</v>
      </c>
      <c r="P217" s="2994"/>
      <c r="Q217" s="11">
        <f t="shared" si="35"/>
        <v>1</v>
      </c>
      <c r="R217" s="712">
        <f t="shared" ca="1" si="36"/>
        <v>16915</v>
      </c>
      <c r="S217" s="2959">
        <f t="shared" ca="1" si="37"/>
        <v>356</v>
      </c>
    </row>
    <row r="218" spans="1:19">
      <c r="A218" s="2992" t="str">
        <f>Sheet1!F199</f>
        <v>1-709</v>
      </c>
      <c r="B218" s="2992">
        <f>Sheet1!G199</f>
        <v>169.2</v>
      </c>
      <c r="C218" s="11">
        <f t="shared" ref="C218:C281" si="38">IF(B218="",1,(LOOKUP(B218,$3:$3,$4:$4)-LOOKUP($B$24,$3:$3,$4:$4)+100)/100)</f>
        <v>0.99</v>
      </c>
      <c r="D218" s="2994"/>
      <c r="E218" s="11">
        <f t="shared" ref="E218:E281" si="39">(SUMIF($5:$5,D218,$6:$6)-SUMIF($5:$5,$D$24,$6:$6)+100)/100</f>
        <v>1</v>
      </c>
      <c r="F218" s="2994"/>
      <c r="G218" s="11">
        <f t="shared" ref="G218:G281" si="40">(SUMIF($7:$7,F218,$8:$8)-SUMIF($7:$7,$F$24,$8:$8)+100)/100</f>
        <v>1</v>
      </c>
      <c r="H218" s="2994"/>
      <c r="I218" s="11">
        <f t="shared" ref="I218:I281" si="41">(SUMIF($9:$9,H218,$10:$10)-SUMIF($9:$9,$H$24,$10:$10)+100)/100</f>
        <v>1</v>
      </c>
      <c r="J218" s="2994"/>
      <c r="K218" s="11">
        <f t="shared" ref="K218:K281" si="42">(SUMIF($11:$11,J218,$12:$12)-SUMIF($11:$11,$J$24,$12:$12)+100)/100</f>
        <v>1</v>
      </c>
      <c r="L218" s="2994"/>
      <c r="M218" s="11">
        <f t="shared" ref="M218:M281" si="43">(SUMIF($13:$13,L218,$14:$14)-SUMIF($13:$13,$L$24,$14:$14)+100)/100</f>
        <v>1</v>
      </c>
      <c r="N218" s="2994"/>
      <c r="O218" s="11">
        <f t="shared" ref="O218:O281" si="44">(SUMIF($15:$15,N218,$16:$16)-SUMIF($15:$15,$N$24,$16:$16)+100)/100</f>
        <v>1</v>
      </c>
      <c r="P218" s="2994"/>
      <c r="Q218" s="11">
        <f t="shared" ref="Q218:Q281" si="45">(SUMIF($17:$17,P218,$18:$18)-SUMIF($17:$17,$P$24,$18:$18)+100)/100</f>
        <v>1</v>
      </c>
      <c r="R218" s="712">
        <f t="shared" ref="R218:R281" ca="1" si="46">IF(B218="",0,ROUND($R$24*C218*E218*G218*I218*K218*M218*O218*Q218,0))</f>
        <v>17087</v>
      </c>
      <c r="S218" s="2959">
        <f t="shared" ca="1" si="37"/>
        <v>289</v>
      </c>
    </row>
    <row r="219" spans="1:19">
      <c r="A219" s="2992" t="str">
        <f>Sheet1!F200</f>
        <v>1-710</v>
      </c>
      <c r="B219" s="2992">
        <f>Sheet1!G200</f>
        <v>178.35</v>
      </c>
      <c r="C219" s="11">
        <f t="shared" si="38"/>
        <v>0.99</v>
      </c>
      <c r="D219" s="2994"/>
      <c r="E219" s="11">
        <f t="shared" si="39"/>
        <v>1</v>
      </c>
      <c r="F219" s="2994"/>
      <c r="G219" s="11">
        <f t="shared" si="40"/>
        <v>1</v>
      </c>
      <c r="H219" s="2994"/>
      <c r="I219" s="11">
        <f t="shared" si="41"/>
        <v>1</v>
      </c>
      <c r="J219" s="2994"/>
      <c r="K219" s="11">
        <f t="shared" si="42"/>
        <v>1</v>
      </c>
      <c r="L219" s="2994"/>
      <c r="M219" s="11">
        <f t="shared" si="43"/>
        <v>1</v>
      </c>
      <c r="N219" s="2994"/>
      <c r="O219" s="11">
        <f t="shared" si="44"/>
        <v>1</v>
      </c>
      <c r="P219" s="2994"/>
      <c r="Q219" s="11">
        <f t="shared" si="45"/>
        <v>1</v>
      </c>
      <c r="R219" s="712">
        <f t="shared" ca="1" si="46"/>
        <v>17087</v>
      </c>
      <c r="S219" s="2959">
        <f t="shared" ca="1" si="37"/>
        <v>305</v>
      </c>
    </row>
    <row r="220" spans="1:19">
      <c r="A220" s="2992" t="str">
        <f>Sheet1!F201</f>
        <v>1-711</v>
      </c>
      <c r="B220" s="2992">
        <f>Sheet1!G201</f>
        <v>208.92</v>
      </c>
      <c r="C220" s="11">
        <f t="shared" si="38"/>
        <v>0.98</v>
      </c>
      <c r="D220" s="2994"/>
      <c r="E220" s="11">
        <f t="shared" si="39"/>
        <v>1</v>
      </c>
      <c r="F220" s="2994"/>
      <c r="G220" s="11">
        <f t="shared" si="40"/>
        <v>1</v>
      </c>
      <c r="H220" s="2994"/>
      <c r="I220" s="11">
        <f t="shared" si="41"/>
        <v>1</v>
      </c>
      <c r="J220" s="2994"/>
      <c r="K220" s="11">
        <f t="shared" si="42"/>
        <v>1</v>
      </c>
      <c r="L220" s="2994"/>
      <c r="M220" s="11">
        <f t="shared" si="43"/>
        <v>1</v>
      </c>
      <c r="N220" s="2994"/>
      <c r="O220" s="11">
        <f t="shared" si="44"/>
        <v>1</v>
      </c>
      <c r="P220" s="2994"/>
      <c r="Q220" s="11">
        <f t="shared" si="45"/>
        <v>1</v>
      </c>
      <c r="R220" s="712">
        <f t="shared" ca="1" si="46"/>
        <v>16915</v>
      </c>
      <c r="S220" s="2959">
        <f t="shared" ca="1" si="37"/>
        <v>353</v>
      </c>
    </row>
    <row r="221" spans="1:19">
      <c r="A221" s="2992" t="str">
        <f>Sheet1!F202</f>
        <v>1-712</v>
      </c>
      <c r="B221" s="2992">
        <f>Sheet1!G202</f>
        <v>188.35</v>
      </c>
      <c r="C221" s="11">
        <f t="shared" si="38"/>
        <v>0.99</v>
      </c>
      <c r="D221" s="2994"/>
      <c r="E221" s="11">
        <f t="shared" si="39"/>
        <v>1</v>
      </c>
      <c r="F221" s="2994"/>
      <c r="G221" s="11">
        <f t="shared" si="40"/>
        <v>1</v>
      </c>
      <c r="H221" s="2994"/>
      <c r="I221" s="11">
        <f t="shared" si="41"/>
        <v>1</v>
      </c>
      <c r="J221" s="2994"/>
      <c r="K221" s="11">
        <f t="shared" si="42"/>
        <v>1</v>
      </c>
      <c r="L221" s="2994"/>
      <c r="M221" s="11">
        <f t="shared" si="43"/>
        <v>1</v>
      </c>
      <c r="N221" s="2994"/>
      <c r="O221" s="11">
        <f t="shared" si="44"/>
        <v>1</v>
      </c>
      <c r="P221" s="2994"/>
      <c r="Q221" s="11">
        <f t="shared" si="45"/>
        <v>1</v>
      </c>
      <c r="R221" s="712">
        <f t="shared" ca="1" si="46"/>
        <v>17087</v>
      </c>
      <c r="S221" s="2959">
        <f t="shared" ca="1" si="37"/>
        <v>322</v>
      </c>
    </row>
    <row r="222" spans="1:19">
      <c r="A222" s="2992" t="str">
        <f>Sheet1!F203</f>
        <v>1-713</v>
      </c>
      <c r="B222" s="2992">
        <f>Sheet1!G203</f>
        <v>188.39</v>
      </c>
      <c r="C222" s="11">
        <f t="shared" si="38"/>
        <v>0.99</v>
      </c>
      <c r="D222" s="2994"/>
      <c r="E222" s="11">
        <f t="shared" si="39"/>
        <v>1</v>
      </c>
      <c r="F222" s="2994"/>
      <c r="G222" s="11">
        <f t="shared" si="40"/>
        <v>1</v>
      </c>
      <c r="H222" s="2994"/>
      <c r="I222" s="11">
        <f t="shared" si="41"/>
        <v>1</v>
      </c>
      <c r="J222" s="2994"/>
      <c r="K222" s="11">
        <f t="shared" si="42"/>
        <v>1</v>
      </c>
      <c r="L222" s="2994"/>
      <c r="M222" s="11">
        <f t="shared" si="43"/>
        <v>1</v>
      </c>
      <c r="N222" s="2994"/>
      <c r="O222" s="11">
        <f t="shared" si="44"/>
        <v>1</v>
      </c>
      <c r="P222" s="2994"/>
      <c r="Q222" s="11">
        <f t="shared" si="45"/>
        <v>1</v>
      </c>
      <c r="R222" s="712">
        <f t="shared" ca="1" si="46"/>
        <v>17087</v>
      </c>
      <c r="S222" s="2959">
        <f t="shared" ca="1" si="37"/>
        <v>322</v>
      </c>
    </row>
    <row r="223" spans="1:19">
      <c r="A223" s="2992" t="str">
        <f>Sheet1!F204</f>
        <v>1-714</v>
      </c>
      <c r="B223" s="2992">
        <f>Sheet1!G204</f>
        <v>188.39</v>
      </c>
      <c r="C223" s="11">
        <f t="shared" si="38"/>
        <v>0.99</v>
      </c>
      <c r="D223" s="2994"/>
      <c r="E223" s="11">
        <f t="shared" si="39"/>
        <v>1</v>
      </c>
      <c r="F223" s="2994"/>
      <c r="G223" s="11">
        <f t="shared" si="40"/>
        <v>1</v>
      </c>
      <c r="H223" s="2994"/>
      <c r="I223" s="11">
        <f t="shared" si="41"/>
        <v>1</v>
      </c>
      <c r="J223" s="2994"/>
      <c r="K223" s="11">
        <f t="shared" si="42"/>
        <v>1</v>
      </c>
      <c r="L223" s="2994"/>
      <c r="M223" s="11">
        <f t="shared" si="43"/>
        <v>1</v>
      </c>
      <c r="N223" s="2994"/>
      <c r="O223" s="11">
        <f t="shared" si="44"/>
        <v>1</v>
      </c>
      <c r="P223" s="2994"/>
      <c r="Q223" s="11">
        <f t="shared" si="45"/>
        <v>1</v>
      </c>
      <c r="R223" s="712">
        <f t="shared" ca="1" si="46"/>
        <v>17087</v>
      </c>
      <c r="S223" s="2959">
        <f t="shared" ref="S223:S286" ca="1" si="47">ROUND(R223*B223/10000,0)</f>
        <v>322</v>
      </c>
    </row>
    <row r="224" spans="1:19">
      <c r="A224" s="2992" t="str">
        <f>Sheet1!F205</f>
        <v>1-715</v>
      </c>
      <c r="B224" s="2992">
        <f>Sheet1!G205</f>
        <v>188.39</v>
      </c>
      <c r="C224" s="11">
        <f t="shared" si="38"/>
        <v>0.99</v>
      </c>
      <c r="D224" s="2994"/>
      <c r="E224" s="11">
        <f t="shared" si="39"/>
        <v>1</v>
      </c>
      <c r="F224" s="2994"/>
      <c r="G224" s="11">
        <f t="shared" si="40"/>
        <v>1</v>
      </c>
      <c r="H224" s="2994"/>
      <c r="I224" s="11">
        <f t="shared" si="41"/>
        <v>1</v>
      </c>
      <c r="J224" s="2994"/>
      <c r="K224" s="11">
        <f t="shared" si="42"/>
        <v>1</v>
      </c>
      <c r="L224" s="2994"/>
      <c r="M224" s="11">
        <f t="shared" si="43"/>
        <v>1</v>
      </c>
      <c r="N224" s="2994"/>
      <c r="O224" s="11">
        <f t="shared" si="44"/>
        <v>1</v>
      </c>
      <c r="P224" s="2994"/>
      <c r="Q224" s="11">
        <f t="shared" si="45"/>
        <v>1</v>
      </c>
      <c r="R224" s="712">
        <f t="shared" ca="1" si="46"/>
        <v>17087</v>
      </c>
      <c r="S224" s="2959">
        <f t="shared" ca="1" si="47"/>
        <v>322</v>
      </c>
    </row>
    <row r="225" spans="1:19">
      <c r="A225" s="2992" t="str">
        <f>Sheet1!F206</f>
        <v>1-716</v>
      </c>
      <c r="B225" s="2992">
        <f>Sheet1!G206</f>
        <v>188.39</v>
      </c>
      <c r="C225" s="11">
        <f t="shared" si="38"/>
        <v>0.99</v>
      </c>
      <c r="D225" s="2994"/>
      <c r="E225" s="11">
        <f t="shared" si="39"/>
        <v>1</v>
      </c>
      <c r="F225" s="2994"/>
      <c r="G225" s="11">
        <f t="shared" si="40"/>
        <v>1</v>
      </c>
      <c r="H225" s="2994"/>
      <c r="I225" s="11">
        <f t="shared" si="41"/>
        <v>1</v>
      </c>
      <c r="J225" s="2994"/>
      <c r="K225" s="11">
        <f t="shared" si="42"/>
        <v>1</v>
      </c>
      <c r="L225" s="2994"/>
      <c r="M225" s="11">
        <f t="shared" si="43"/>
        <v>1</v>
      </c>
      <c r="N225" s="2994"/>
      <c r="O225" s="11">
        <f t="shared" si="44"/>
        <v>1</v>
      </c>
      <c r="P225" s="2994"/>
      <c r="Q225" s="11">
        <f t="shared" si="45"/>
        <v>1</v>
      </c>
      <c r="R225" s="712">
        <f t="shared" ca="1" si="46"/>
        <v>17087</v>
      </c>
      <c r="S225" s="2959">
        <f t="shared" ca="1" si="47"/>
        <v>322</v>
      </c>
    </row>
    <row r="226" spans="1:19">
      <c r="A226" s="2992" t="str">
        <f>Sheet1!F207</f>
        <v>1-717</v>
      </c>
      <c r="B226" s="2992">
        <f>Sheet1!G207</f>
        <v>188.39</v>
      </c>
      <c r="C226" s="11">
        <f t="shared" si="38"/>
        <v>0.99</v>
      </c>
      <c r="D226" s="2994"/>
      <c r="E226" s="11">
        <f t="shared" si="39"/>
        <v>1</v>
      </c>
      <c r="F226" s="2994"/>
      <c r="G226" s="11">
        <f t="shared" si="40"/>
        <v>1</v>
      </c>
      <c r="H226" s="2994"/>
      <c r="I226" s="11">
        <f t="shared" si="41"/>
        <v>1</v>
      </c>
      <c r="J226" s="2994"/>
      <c r="K226" s="11">
        <f t="shared" si="42"/>
        <v>1</v>
      </c>
      <c r="L226" s="2994"/>
      <c r="M226" s="11">
        <f t="shared" si="43"/>
        <v>1</v>
      </c>
      <c r="N226" s="2994"/>
      <c r="O226" s="11">
        <f t="shared" si="44"/>
        <v>1</v>
      </c>
      <c r="P226" s="2994"/>
      <c r="Q226" s="11">
        <f t="shared" si="45"/>
        <v>1</v>
      </c>
      <c r="R226" s="712">
        <f t="shared" ca="1" si="46"/>
        <v>17087</v>
      </c>
      <c r="S226" s="2959">
        <f t="shared" ca="1" si="47"/>
        <v>322</v>
      </c>
    </row>
    <row r="227" spans="1:19">
      <c r="A227" s="2992" t="str">
        <f>Sheet1!F208</f>
        <v>1-718</v>
      </c>
      <c r="B227" s="2992">
        <f>Sheet1!G208</f>
        <v>279.91000000000003</v>
      </c>
      <c r="C227" s="11">
        <f t="shared" si="38"/>
        <v>0.98</v>
      </c>
      <c r="D227" s="2994"/>
      <c r="E227" s="11">
        <f t="shared" si="39"/>
        <v>1</v>
      </c>
      <c r="F227" s="2994"/>
      <c r="G227" s="11">
        <f t="shared" si="40"/>
        <v>1</v>
      </c>
      <c r="H227" s="2994"/>
      <c r="I227" s="11">
        <f t="shared" si="41"/>
        <v>1</v>
      </c>
      <c r="J227" s="2994"/>
      <c r="K227" s="11">
        <f t="shared" si="42"/>
        <v>1</v>
      </c>
      <c r="L227" s="2994"/>
      <c r="M227" s="11">
        <f t="shared" si="43"/>
        <v>1</v>
      </c>
      <c r="N227" s="2994"/>
      <c r="O227" s="11">
        <f t="shared" si="44"/>
        <v>1</v>
      </c>
      <c r="P227" s="2994"/>
      <c r="Q227" s="11">
        <f t="shared" si="45"/>
        <v>1</v>
      </c>
      <c r="R227" s="712">
        <f t="shared" ca="1" si="46"/>
        <v>16915</v>
      </c>
      <c r="S227" s="2959">
        <f t="shared" ca="1" si="47"/>
        <v>473</v>
      </c>
    </row>
    <row r="228" spans="1:19">
      <c r="A228" s="2992" t="str">
        <f>Sheet1!F209</f>
        <v>1-719</v>
      </c>
      <c r="B228" s="2992">
        <f>Sheet1!G209</f>
        <v>175.75</v>
      </c>
      <c r="C228" s="11">
        <f t="shared" si="38"/>
        <v>0.99</v>
      </c>
      <c r="D228" s="2994"/>
      <c r="E228" s="11">
        <f t="shared" si="39"/>
        <v>1</v>
      </c>
      <c r="F228" s="2994"/>
      <c r="G228" s="11">
        <f t="shared" si="40"/>
        <v>1</v>
      </c>
      <c r="H228" s="2994"/>
      <c r="I228" s="11">
        <f t="shared" si="41"/>
        <v>1</v>
      </c>
      <c r="J228" s="2994"/>
      <c r="K228" s="11">
        <f t="shared" si="42"/>
        <v>1</v>
      </c>
      <c r="L228" s="2994"/>
      <c r="M228" s="11">
        <f t="shared" si="43"/>
        <v>1</v>
      </c>
      <c r="N228" s="2994"/>
      <c r="O228" s="11">
        <f t="shared" si="44"/>
        <v>1</v>
      </c>
      <c r="P228" s="2994"/>
      <c r="Q228" s="11">
        <f t="shared" si="45"/>
        <v>1</v>
      </c>
      <c r="R228" s="712">
        <f t="shared" ca="1" si="46"/>
        <v>17087</v>
      </c>
      <c r="S228" s="2959">
        <f t="shared" ca="1" si="47"/>
        <v>300</v>
      </c>
    </row>
    <row r="229" spans="1:19">
      <c r="A229" s="2992" t="str">
        <f>Sheet1!F210</f>
        <v>1-720</v>
      </c>
      <c r="B229" s="2992">
        <f>Sheet1!G210</f>
        <v>188.32</v>
      </c>
      <c r="C229" s="11">
        <f t="shared" si="38"/>
        <v>0.99</v>
      </c>
      <c r="D229" s="2994"/>
      <c r="E229" s="11">
        <f t="shared" si="39"/>
        <v>1</v>
      </c>
      <c r="F229" s="2994"/>
      <c r="G229" s="11">
        <f t="shared" si="40"/>
        <v>1</v>
      </c>
      <c r="H229" s="2994"/>
      <c r="I229" s="11">
        <f t="shared" si="41"/>
        <v>1</v>
      </c>
      <c r="J229" s="2994"/>
      <c r="K229" s="11">
        <f t="shared" si="42"/>
        <v>1</v>
      </c>
      <c r="L229" s="2994"/>
      <c r="M229" s="11">
        <f t="shared" si="43"/>
        <v>1</v>
      </c>
      <c r="N229" s="2994"/>
      <c r="O229" s="11">
        <f t="shared" si="44"/>
        <v>1</v>
      </c>
      <c r="P229" s="2994"/>
      <c r="Q229" s="11">
        <f t="shared" si="45"/>
        <v>1</v>
      </c>
      <c r="R229" s="712">
        <f t="shared" ca="1" si="46"/>
        <v>17087</v>
      </c>
      <c r="S229" s="2959">
        <f t="shared" ca="1" si="47"/>
        <v>322</v>
      </c>
    </row>
    <row r="230" spans="1:19">
      <c r="A230" s="2992" t="str">
        <f>Sheet1!F211</f>
        <v>2-701</v>
      </c>
      <c r="B230" s="2992">
        <f>Sheet1!G211</f>
        <v>210.22</v>
      </c>
      <c r="C230" s="11">
        <f t="shared" si="38"/>
        <v>0.98</v>
      </c>
      <c r="D230" s="2994"/>
      <c r="E230" s="11">
        <f t="shared" si="39"/>
        <v>1</v>
      </c>
      <c r="F230" s="2994"/>
      <c r="G230" s="11">
        <f t="shared" si="40"/>
        <v>1</v>
      </c>
      <c r="H230" s="2994"/>
      <c r="I230" s="11">
        <f t="shared" si="41"/>
        <v>1</v>
      </c>
      <c r="J230" s="2994"/>
      <c r="K230" s="11">
        <f t="shared" si="42"/>
        <v>1</v>
      </c>
      <c r="L230" s="2994"/>
      <c r="M230" s="11">
        <f t="shared" si="43"/>
        <v>1</v>
      </c>
      <c r="N230" s="2994"/>
      <c r="O230" s="11">
        <f t="shared" si="44"/>
        <v>1</v>
      </c>
      <c r="P230" s="2994"/>
      <c r="Q230" s="11">
        <f t="shared" si="45"/>
        <v>1</v>
      </c>
      <c r="R230" s="712">
        <f t="shared" ca="1" si="46"/>
        <v>16915</v>
      </c>
      <c r="S230" s="2959">
        <f t="shared" ca="1" si="47"/>
        <v>356</v>
      </c>
    </row>
    <row r="231" spans="1:19">
      <c r="A231" s="2992" t="str">
        <f>Sheet1!F212</f>
        <v>2-702</v>
      </c>
      <c r="B231" s="2992">
        <f>Sheet1!G212</f>
        <v>187.56</v>
      </c>
      <c r="C231" s="11">
        <f t="shared" si="38"/>
        <v>0.99</v>
      </c>
      <c r="D231" s="2994"/>
      <c r="E231" s="11">
        <f t="shared" si="39"/>
        <v>1</v>
      </c>
      <c r="F231" s="2994"/>
      <c r="G231" s="11">
        <f t="shared" si="40"/>
        <v>1</v>
      </c>
      <c r="H231" s="2994"/>
      <c r="I231" s="11">
        <f t="shared" si="41"/>
        <v>1</v>
      </c>
      <c r="J231" s="2994"/>
      <c r="K231" s="11">
        <f t="shared" si="42"/>
        <v>1</v>
      </c>
      <c r="L231" s="2994"/>
      <c r="M231" s="11">
        <f t="shared" si="43"/>
        <v>1</v>
      </c>
      <c r="N231" s="2994"/>
      <c r="O231" s="11">
        <f t="shared" si="44"/>
        <v>1</v>
      </c>
      <c r="P231" s="2994"/>
      <c r="Q231" s="11">
        <f t="shared" si="45"/>
        <v>1</v>
      </c>
      <c r="R231" s="712">
        <f t="shared" ca="1" si="46"/>
        <v>17087</v>
      </c>
      <c r="S231" s="2959">
        <f t="shared" ca="1" si="47"/>
        <v>320</v>
      </c>
    </row>
    <row r="232" spans="1:19">
      <c r="A232" s="2992" t="str">
        <f>Sheet1!F213</f>
        <v>2-703</v>
      </c>
      <c r="B232" s="2992">
        <f>Sheet1!G213</f>
        <v>188.42</v>
      </c>
      <c r="C232" s="11">
        <f t="shared" si="38"/>
        <v>0.99</v>
      </c>
      <c r="D232" s="2994"/>
      <c r="E232" s="11">
        <f t="shared" si="39"/>
        <v>1</v>
      </c>
      <c r="F232" s="2994"/>
      <c r="G232" s="11">
        <f t="shared" si="40"/>
        <v>1</v>
      </c>
      <c r="H232" s="2994"/>
      <c r="I232" s="11">
        <f t="shared" si="41"/>
        <v>1</v>
      </c>
      <c r="J232" s="2994"/>
      <c r="K232" s="11">
        <f t="shared" si="42"/>
        <v>1</v>
      </c>
      <c r="L232" s="2994"/>
      <c r="M232" s="11">
        <f t="shared" si="43"/>
        <v>1</v>
      </c>
      <c r="N232" s="2994"/>
      <c r="O232" s="11">
        <f t="shared" si="44"/>
        <v>1</v>
      </c>
      <c r="P232" s="2994"/>
      <c r="Q232" s="11">
        <f t="shared" si="45"/>
        <v>1</v>
      </c>
      <c r="R232" s="712">
        <f t="shared" ca="1" si="46"/>
        <v>17087</v>
      </c>
      <c r="S232" s="2959">
        <f t="shared" ca="1" si="47"/>
        <v>322</v>
      </c>
    </row>
    <row r="233" spans="1:19">
      <c r="A233" s="2992" t="str">
        <f>Sheet1!F214</f>
        <v>2-704</v>
      </c>
      <c r="B233" s="2992">
        <f>Sheet1!G214</f>
        <v>188.42</v>
      </c>
      <c r="C233" s="11">
        <f t="shared" si="38"/>
        <v>0.99</v>
      </c>
      <c r="D233" s="2994"/>
      <c r="E233" s="11">
        <f t="shared" si="39"/>
        <v>1</v>
      </c>
      <c r="F233" s="2994"/>
      <c r="G233" s="11">
        <f t="shared" si="40"/>
        <v>1</v>
      </c>
      <c r="H233" s="2994"/>
      <c r="I233" s="11">
        <f t="shared" si="41"/>
        <v>1</v>
      </c>
      <c r="J233" s="2994"/>
      <c r="K233" s="11">
        <f t="shared" si="42"/>
        <v>1</v>
      </c>
      <c r="L233" s="2994"/>
      <c r="M233" s="11">
        <f t="shared" si="43"/>
        <v>1</v>
      </c>
      <c r="N233" s="2994"/>
      <c r="O233" s="11">
        <f t="shared" si="44"/>
        <v>1</v>
      </c>
      <c r="P233" s="2994"/>
      <c r="Q233" s="11">
        <f t="shared" si="45"/>
        <v>1</v>
      </c>
      <c r="R233" s="712">
        <f t="shared" ca="1" si="46"/>
        <v>17087</v>
      </c>
      <c r="S233" s="2959">
        <f t="shared" ca="1" si="47"/>
        <v>322</v>
      </c>
    </row>
    <row r="234" spans="1:19">
      <c r="A234" s="2992" t="str">
        <f>Sheet1!F215</f>
        <v>2-705</v>
      </c>
      <c r="B234" s="2992">
        <f>Sheet1!G215</f>
        <v>188.42</v>
      </c>
      <c r="C234" s="11">
        <f t="shared" si="38"/>
        <v>0.99</v>
      </c>
      <c r="D234" s="2994"/>
      <c r="E234" s="11">
        <f t="shared" si="39"/>
        <v>1</v>
      </c>
      <c r="F234" s="2994"/>
      <c r="G234" s="11">
        <f t="shared" si="40"/>
        <v>1</v>
      </c>
      <c r="H234" s="2994"/>
      <c r="I234" s="11">
        <f t="shared" si="41"/>
        <v>1</v>
      </c>
      <c r="J234" s="2994"/>
      <c r="K234" s="11">
        <f t="shared" si="42"/>
        <v>1</v>
      </c>
      <c r="L234" s="2994"/>
      <c r="M234" s="11">
        <f t="shared" si="43"/>
        <v>1</v>
      </c>
      <c r="N234" s="2994"/>
      <c r="O234" s="11">
        <f t="shared" si="44"/>
        <v>1</v>
      </c>
      <c r="P234" s="2994"/>
      <c r="Q234" s="11">
        <f t="shared" si="45"/>
        <v>1</v>
      </c>
      <c r="R234" s="712">
        <f t="shared" ca="1" si="46"/>
        <v>17087</v>
      </c>
      <c r="S234" s="2959">
        <f t="shared" ca="1" si="47"/>
        <v>322</v>
      </c>
    </row>
    <row r="235" spans="1:19">
      <c r="A235" s="2992" t="str">
        <f>Sheet1!F216</f>
        <v>2-706</v>
      </c>
      <c r="B235" s="2992">
        <f>Sheet1!G216</f>
        <v>188.42</v>
      </c>
      <c r="C235" s="11">
        <f t="shared" si="38"/>
        <v>0.99</v>
      </c>
      <c r="D235" s="2994"/>
      <c r="E235" s="11">
        <f t="shared" si="39"/>
        <v>1</v>
      </c>
      <c r="F235" s="2994"/>
      <c r="G235" s="11">
        <f t="shared" si="40"/>
        <v>1</v>
      </c>
      <c r="H235" s="2994"/>
      <c r="I235" s="11">
        <f t="shared" si="41"/>
        <v>1</v>
      </c>
      <c r="J235" s="2994"/>
      <c r="K235" s="11">
        <f t="shared" si="42"/>
        <v>1</v>
      </c>
      <c r="L235" s="2994"/>
      <c r="M235" s="11">
        <f t="shared" si="43"/>
        <v>1</v>
      </c>
      <c r="N235" s="2994"/>
      <c r="O235" s="11">
        <f t="shared" si="44"/>
        <v>1</v>
      </c>
      <c r="P235" s="2994"/>
      <c r="Q235" s="11">
        <f t="shared" si="45"/>
        <v>1</v>
      </c>
      <c r="R235" s="712">
        <f t="shared" ca="1" si="46"/>
        <v>17087</v>
      </c>
      <c r="S235" s="2959">
        <f t="shared" ca="1" si="47"/>
        <v>322</v>
      </c>
    </row>
    <row r="236" spans="1:19">
      <c r="A236" s="2992" t="str">
        <f>Sheet1!F217</f>
        <v>2-707</v>
      </c>
      <c r="B236" s="2992">
        <f>Sheet1!G217</f>
        <v>188.42</v>
      </c>
      <c r="C236" s="11">
        <f t="shared" si="38"/>
        <v>0.99</v>
      </c>
      <c r="D236" s="2994"/>
      <c r="E236" s="11">
        <f t="shared" si="39"/>
        <v>1</v>
      </c>
      <c r="F236" s="2994"/>
      <c r="G236" s="11">
        <f t="shared" si="40"/>
        <v>1</v>
      </c>
      <c r="H236" s="2994"/>
      <c r="I236" s="11">
        <f t="shared" si="41"/>
        <v>1</v>
      </c>
      <c r="J236" s="2994"/>
      <c r="K236" s="11">
        <f t="shared" si="42"/>
        <v>1</v>
      </c>
      <c r="L236" s="2994"/>
      <c r="M236" s="11">
        <f t="shared" si="43"/>
        <v>1</v>
      </c>
      <c r="N236" s="2994"/>
      <c r="O236" s="11">
        <f t="shared" si="44"/>
        <v>1</v>
      </c>
      <c r="P236" s="2994"/>
      <c r="Q236" s="11">
        <f t="shared" si="45"/>
        <v>1</v>
      </c>
      <c r="R236" s="712">
        <f t="shared" ca="1" si="46"/>
        <v>17087</v>
      </c>
      <c r="S236" s="2959">
        <f t="shared" ca="1" si="47"/>
        <v>322</v>
      </c>
    </row>
    <row r="237" spans="1:19">
      <c r="A237" s="2992" t="str">
        <f>Sheet1!F218</f>
        <v>2-708</v>
      </c>
      <c r="B237" s="2992">
        <f>Sheet1!G218</f>
        <v>186.36</v>
      </c>
      <c r="C237" s="11">
        <f t="shared" si="38"/>
        <v>0.99</v>
      </c>
      <c r="D237" s="2994"/>
      <c r="E237" s="11">
        <f t="shared" si="39"/>
        <v>1</v>
      </c>
      <c r="F237" s="2994"/>
      <c r="G237" s="11">
        <f t="shared" si="40"/>
        <v>1</v>
      </c>
      <c r="H237" s="2994"/>
      <c r="I237" s="11">
        <f t="shared" si="41"/>
        <v>1</v>
      </c>
      <c r="J237" s="2994"/>
      <c r="K237" s="11">
        <f t="shared" si="42"/>
        <v>1</v>
      </c>
      <c r="L237" s="2994"/>
      <c r="M237" s="11">
        <f t="shared" si="43"/>
        <v>1</v>
      </c>
      <c r="N237" s="2994"/>
      <c r="O237" s="11">
        <f t="shared" si="44"/>
        <v>1</v>
      </c>
      <c r="P237" s="2994"/>
      <c r="Q237" s="11">
        <f t="shared" si="45"/>
        <v>1</v>
      </c>
      <c r="R237" s="712">
        <f t="shared" ca="1" si="46"/>
        <v>17087</v>
      </c>
      <c r="S237" s="2959">
        <f t="shared" ca="1" si="47"/>
        <v>318</v>
      </c>
    </row>
    <row r="238" spans="1:19">
      <c r="A238" s="2992" t="str">
        <f>Sheet1!F219</f>
        <v>2-709</v>
      </c>
      <c r="B238" s="2992">
        <f>Sheet1!G219</f>
        <v>188.36</v>
      </c>
      <c r="C238" s="11">
        <f t="shared" si="38"/>
        <v>0.99</v>
      </c>
      <c r="D238" s="2994"/>
      <c r="E238" s="11">
        <f t="shared" si="39"/>
        <v>1</v>
      </c>
      <c r="F238" s="2994"/>
      <c r="G238" s="11">
        <f t="shared" si="40"/>
        <v>1</v>
      </c>
      <c r="H238" s="2994"/>
      <c r="I238" s="11">
        <f t="shared" si="41"/>
        <v>1</v>
      </c>
      <c r="J238" s="2994"/>
      <c r="K238" s="11">
        <f t="shared" si="42"/>
        <v>1</v>
      </c>
      <c r="L238" s="2994"/>
      <c r="M238" s="11">
        <f t="shared" si="43"/>
        <v>1</v>
      </c>
      <c r="N238" s="2994"/>
      <c r="O238" s="11">
        <f t="shared" si="44"/>
        <v>1</v>
      </c>
      <c r="P238" s="2994"/>
      <c r="Q238" s="11">
        <f t="shared" si="45"/>
        <v>1</v>
      </c>
      <c r="R238" s="712">
        <f t="shared" ca="1" si="46"/>
        <v>17087</v>
      </c>
      <c r="S238" s="2959">
        <f t="shared" ca="1" si="47"/>
        <v>322</v>
      </c>
    </row>
    <row r="239" spans="1:19">
      <c r="A239" s="2992" t="str">
        <f>Sheet1!F220</f>
        <v>2-710</v>
      </c>
      <c r="B239" s="2992">
        <f>Sheet1!G220</f>
        <v>175.78</v>
      </c>
      <c r="C239" s="11">
        <f t="shared" si="38"/>
        <v>0.99</v>
      </c>
      <c r="D239" s="2994"/>
      <c r="E239" s="11">
        <f t="shared" si="39"/>
        <v>1</v>
      </c>
      <c r="F239" s="2994"/>
      <c r="G239" s="11">
        <f t="shared" si="40"/>
        <v>1</v>
      </c>
      <c r="H239" s="2994"/>
      <c r="I239" s="11">
        <f t="shared" si="41"/>
        <v>1</v>
      </c>
      <c r="J239" s="2994"/>
      <c r="K239" s="11">
        <f t="shared" si="42"/>
        <v>1</v>
      </c>
      <c r="L239" s="2994"/>
      <c r="M239" s="11">
        <f t="shared" si="43"/>
        <v>1</v>
      </c>
      <c r="N239" s="2994"/>
      <c r="O239" s="11">
        <f t="shared" si="44"/>
        <v>1</v>
      </c>
      <c r="P239" s="2994"/>
      <c r="Q239" s="11">
        <f t="shared" si="45"/>
        <v>1</v>
      </c>
      <c r="R239" s="712">
        <f t="shared" ca="1" si="46"/>
        <v>17087</v>
      </c>
      <c r="S239" s="2959">
        <f t="shared" ca="1" si="47"/>
        <v>300</v>
      </c>
    </row>
    <row r="240" spans="1:19">
      <c r="A240" s="2992" t="str">
        <f>Sheet1!F221</f>
        <v>2-711</v>
      </c>
      <c r="B240" s="2992">
        <f>Sheet1!G221</f>
        <v>279.95999999999998</v>
      </c>
      <c r="C240" s="11">
        <f t="shared" si="38"/>
        <v>0.98</v>
      </c>
      <c r="D240" s="2994"/>
      <c r="E240" s="11">
        <f t="shared" si="39"/>
        <v>1</v>
      </c>
      <c r="F240" s="2994"/>
      <c r="G240" s="11">
        <f t="shared" si="40"/>
        <v>1</v>
      </c>
      <c r="H240" s="2994"/>
      <c r="I240" s="11">
        <f t="shared" si="41"/>
        <v>1</v>
      </c>
      <c r="J240" s="2994"/>
      <c r="K240" s="11">
        <f t="shared" si="42"/>
        <v>1</v>
      </c>
      <c r="L240" s="2994"/>
      <c r="M240" s="11">
        <f t="shared" si="43"/>
        <v>1</v>
      </c>
      <c r="N240" s="2994"/>
      <c r="O240" s="11">
        <f t="shared" si="44"/>
        <v>1</v>
      </c>
      <c r="P240" s="2994"/>
      <c r="Q240" s="11">
        <f t="shared" si="45"/>
        <v>1</v>
      </c>
      <c r="R240" s="712">
        <f t="shared" ca="1" si="46"/>
        <v>16915</v>
      </c>
      <c r="S240" s="2959">
        <f t="shared" ca="1" si="47"/>
        <v>474</v>
      </c>
    </row>
    <row r="241" spans="1:19">
      <c r="A241" s="2992" t="str">
        <f>Sheet1!F222</f>
        <v>2-712</v>
      </c>
      <c r="B241" s="2992">
        <f>Sheet1!G222</f>
        <v>188.43</v>
      </c>
      <c r="C241" s="11">
        <f t="shared" si="38"/>
        <v>0.99</v>
      </c>
      <c r="D241" s="2994"/>
      <c r="E241" s="11">
        <f t="shared" si="39"/>
        <v>1</v>
      </c>
      <c r="F241" s="2994"/>
      <c r="G241" s="11">
        <f t="shared" si="40"/>
        <v>1</v>
      </c>
      <c r="H241" s="2994"/>
      <c r="I241" s="11">
        <f t="shared" si="41"/>
        <v>1</v>
      </c>
      <c r="J241" s="2994"/>
      <c r="K241" s="11">
        <f t="shared" si="42"/>
        <v>1</v>
      </c>
      <c r="L241" s="2994"/>
      <c r="M241" s="11">
        <f t="shared" si="43"/>
        <v>1</v>
      </c>
      <c r="N241" s="2994"/>
      <c r="O241" s="11">
        <f t="shared" si="44"/>
        <v>1</v>
      </c>
      <c r="P241" s="2994"/>
      <c r="Q241" s="11">
        <f t="shared" si="45"/>
        <v>1</v>
      </c>
      <c r="R241" s="712">
        <f t="shared" ca="1" si="46"/>
        <v>17087</v>
      </c>
      <c r="S241" s="2959">
        <f t="shared" ca="1" si="47"/>
        <v>322</v>
      </c>
    </row>
    <row r="242" spans="1:19">
      <c r="A242" s="2992" t="str">
        <f>Sheet1!F223</f>
        <v>2-713</v>
      </c>
      <c r="B242" s="2992">
        <f>Sheet1!G223</f>
        <v>188.43</v>
      </c>
      <c r="C242" s="11">
        <f t="shared" si="38"/>
        <v>0.99</v>
      </c>
      <c r="D242" s="2994"/>
      <c r="E242" s="11">
        <f t="shared" si="39"/>
        <v>1</v>
      </c>
      <c r="F242" s="2994"/>
      <c r="G242" s="11">
        <f t="shared" si="40"/>
        <v>1</v>
      </c>
      <c r="H242" s="2994"/>
      <c r="I242" s="11">
        <f t="shared" si="41"/>
        <v>1</v>
      </c>
      <c r="J242" s="2994"/>
      <c r="K242" s="11">
        <f t="shared" si="42"/>
        <v>1</v>
      </c>
      <c r="L242" s="2994"/>
      <c r="M242" s="11">
        <f t="shared" si="43"/>
        <v>1</v>
      </c>
      <c r="N242" s="2994"/>
      <c r="O242" s="11">
        <f t="shared" si="44"/>
        <v>1</v>
      </c>
      <c r="P242" s="2994"/>
      <c r="Q242" s="11">
        <f t="shared" si="45"/>
        <v>1</v>
      </c>
      <c r="R242" s="712">
        <f t="shared" ca="1" si="46"/>
        <v>17087</v>
      </c>
      <c r="S242" s="2959">
        <f t="shared" ca="1" si="47"/>
        <v>322</v>
      </c>
    </row>
    <row r="243" spans="1:19">
      <c r="A243" s="2992" t="str">
        <f>Sheet1!F224</f>
        <v>2-714</v>
      </c>
      <c r="B243" s="2992">
        <f>Sheet1!G224</f>
        <v>188.43</v>
      </c>
      <c r="C243" s="11">
        <f t="shared" si="38"/>
        <v>0.99</v>
      </c>
      <c r="D243" s="2994"/>
      <c r="E243" s="11">
        <f t="shared" si="39"/>
        <v>1</v>
      </c>
      <c r="F243" s="2994"/>
      <c r="G243" s="11">
        <f t="shared" si="40"/>
        <v>1</v>
      </c>
      <c r="H243" s="2994"/>
      <c r="I243" s="11">
        <f t="shared" si="41"/>
        <v>1</v>
      </c>
      <c r="J243" s="2994"/>
      <c r="K243" s="11">
        <f t="shared" si="42"/>
        <v>1</v>
      </c>
      <c r="L243" s="2994"/>
      <c r="M243" s="11">
        <f t="shared" si="43"/>
        <v>1</v>
      </c>
      <c r="N243" s="2994"/>
      <c r="O243" s="11">
        <f t="shared" si="44"/>
        <v>1</v>
      </c>
      <c r="P243" s="2994"/>
      <c r="Q243" s="11">
        <f t="shared" si="45"/>
        <v>1</v>
      </c>
      <c r="R243" s="712">
        <f t="shared" ca="1" si="46"/>
        <v>17087</v>
      </c>
      <c r="S243" s="2959">
        <f t="shared" ca="1" si="47"/>
        <v>322</v>
      </c>
    </row>
    <row r="244" spans="1:19">
      <c r="A244" s="2992" t="str">
        <f>Sheet1!F225</f>
        <v>2-715</v>
      </c>
      <c r="B244" s="2992">
        <f>Sheet1!G225</f>
        <v>188.43</v>
      </c>
      <c r="C244" s="11">
        <f t="shared" si="38"/>
        <v>0.99</v>
      </c>
      <c r="D244" s="2994"/>
      <c r="E244" s="11">
        <f t="shared" si="39"/>
        <v>1</v>
      </c>
      <c r="F244" s="2994"/>
      <c r="G244" s="11">
        <f t="shared" si="40"/>
        <v>1</v>
      </c>
      <c r="H244" s="2994"/>
      <c r="I244" s="11">
        <f t="shared" si="41"/>
        <v>1</v>
      </c>
      <c r="J244" s="2994"/>
      <c r="K244" s="11">
        <f t="shared" si="42"/>
        <v>1</v>
      </c>
      <c r="L244" s="2994"/>
      <c r="M244" s="11">
        <f t="shared" si="43"/>
        <v>1</v>
      </c>
      <c r="N244" s="2994"/>
      <c r="O244" s="11">
        <f t="shared" si="44"/>
        <v>1</v>
      </c>
      <c r="P244" s="2994"/>
      <c r="Q244" s="11">
        <f t="shared" si="45"/>
        <v>1</v>
      </c>
      <c r="R244" s="712">
        <f t="shared" ca="1" si="46"/>
        <v>17087</v>
      </c>
      <c r="S244" s="2959">
        <f t="shared" ca="1" si="47"/>
        <v>322</v>
      </c>
    </row>
    <row r="245" spans="1:19">
      <c r="A245" s="2992" t="str">
        <f>Sheet1!F226</f>
        <v>2-716</v>
      </c>
      <c r="B245" s="2992">
        <f>Sheet1!G226</f>
        <v>188.43</v>
      </c>
      <c r="C245" s="11">
        <f t="shared" si="38"/>
        <v>0.99</v>
      </c>
      <c r="D245" s="2994"/>
      <c r="E245" s="11">
        <f t="shared" si="39"/>
        <v>1</v>
      </c>
      <c r="F245" s="2994"/>
      <c r="G245" s="11">
        <f t="shared" si="40"/>
        <v>1</v>
      </c>
      <c r="H245" s="2994"/>
      <c r="I245" s="11">
        <f t="shared" si="41"/>
        <v>1</v>
      </c>
      <c r="J245" s="2994"/>
      <c r="K245" s="11">
        <f t="shared" si="42"/>
        <v>1</v>
      </c>
      <c r="L245" s="2994"/>
      <c r="M245" s="11">
        <f t="shared" si="43"/>
        <v>1</v>
      </c>
      <c r="N245" s="2994"/>
      <c r="O245" s="11">
        <f t="shared" si="44"/>
        <v>1</v>
      </c>
      <c r="P245" s="2994"/>
      <c r="Q245" s="11">
        <f t="shared" si="45"/>
        <v>1</v>
      </c>
      <c r="R245" s="712">
        <f t="shared" ca="1" si="46"/>
        <v>17087</v>
      </c>
      <c r="S245" s="2959">
        <f t="shared" ca="1" si="47"/>
        <v>322</v>
      </c>
    </row>
    <row r="246" spans="1:19">
      <c r="A246" s="2992" t="str">
        <f>Sheet1!F227</f>
        <v>2-717</v>
      </c>
      <c r="B246" s="2992">
        <f>Sheet1!G227</f>
        <v>188.38</v>
      </c>
      <c r="C246" s="11">
        <f t="shared" si="38"/>
        <v>0.99</v>
      </c>
      <c r="D246" s="2994"/>
      <c r="E246" s="11">
        <f t="shared" si="39"/>
        <v>1</v>
      </c>
      <c r="F246" s="2994"/>
      <c r="G246" s="11">
        <f t="shared" si="40"/>
        <v>1</v>
      </c>
      <c r="H246" s="2994"/>
      <c r="I246" s="11">
        <f t="shared" si="41"/>
        <v>1</v>
      </c>
      <c r="J246" s="2994"/>
      <c r="K246" s="11">
        <f t="shared" si="42"/>
        <v>1</v>
      </c>
      <c r="L246" s="2994"/>
      <c r="M246" s="11">
        <f t="shared" si="43"/>
        <v>1</v>
      </c>
      <c r="N246" s="2994"/>
      <c r="O246" s="11">
        <f t="shared" si="44"/>
        <v>1</v>
      </c>
      <c r="P246" s="2994"/>
      <c r="Q246" s="11">
        <f t="shared" si="45"/>
        <v>1</v>
      </c>
      <c r="R246" s="712">
        <f t="shared" ca="1" si="46"/>
        <v>17087</v>
      </c>
      <c r="S246" s="2959">
        <f t="shared" ca="1" si="47"/>
        <v>322</v>
      </c>
    </row>
    <row r="247" spans="1:19">
      <c r="A247" s="2992" t="str">
        <f>Sheet1!F228</f>
        <v>2-718</v>
      </c>
      <c r="B247" s="2992">
        <f>Sheet1!G228</f>
        <v>208.95</v>
      </c>
      <c r="C247" s="11">
        <f t="shared" si="38"/>
        <v>0.98</v>
      </c>
      <c r="D247" s="2994"/>
      <c r="E247" s="11">
        <f t="shared" si="39"/>
        <v>1</v>
      </c>
      <c r="F247" s="2994"/>
      <c r="G247" s="11">
        <f t="shared" si="40"/>
        <v>1</v>
      </c>
      <c r="H247" s="2994"/>
      <c r="I247" s="11">
        <f t="shared" si="41"/>
        <v>1</v>
      </c>
      <c r="J247" s="2994"/>
      <c r="K247" s="11">
        <f t="shared" si="42"/>
        <v>1</v>
      </c>
      <c r="L247" s="2994"/>
      <c r="M247" s="11">
        <f t="shared" si="43"/>
        <v>1</v>
      </c>
      <c r="N247" s="2994"/>
      <c r="O247" s="11">
        <f t="shared" si="44"/>
        <v>1</v>
      </c>
      <c r="P247" s="2994"/>
      <c r="Q247" s="11">
        <f t="shared" si="45"/>
        <v>1</v>
      </c>
      <c r="R247" s="712">
        <f t="shared" ca="1" si="46"/>
        <v>16915</v>
      </c>
      <c r="S247" s="2959">
        <f t="shared" ca="1" si="47"/>
        <v>353</v>
      </c>
    </row>
    <row r="248" spans="1:19">
      <c r="A248" s="2992" t="str">
        <f>Sheet1!F229</f>
        <v>2-719</v>
      </c>
      <c r="B248" s="2992">
        <f>Sheet1!G229</f>
        <v>189.85</v>
      </c>
      <c r="C248" s="11">
        <f t="shared" si="38"/>
        <v>0.99</v>
      </c>
      <c r="D248" s="2994"/>
      <c r="E248" s="11">
        <f t="shared" si="39"/>
        <v>1</v>
      </c>
      <c r="F248" s="2994"/>
      <c r="G248" s="11">
        <f t="shared" si="40"/>
        <v>1</v>
      </c>
      <c r="H248" s="2994"/>
      <c r="I248" s="11">
        <f t="shared" si="41"/>
        <v>1</v>
      </c>
      <c r="J248" s="2994"/>
      <c r="K248" s="11">
        <f t="shared" si="42"/>
        <v>1</v>
      </c>
      <c r="L248" s="2994"/>
      <c r="M248" s="11">
        <f t="shared" si="43"/>
        <v>1</v>
      </c>
      <c r="N248" s="2994"/>
      <c r="O248" s="11">
        <f t="shared" si="44"/>
        <v>1</v>
      </c>
      <c r="P248" s="2994"/>
      <c r="Q248" s="11">
        <f t="shared" si="45"/>
        <v>1</v>
      </c>
      <c r="R248" s="712">
        <f t="shared" ca="1" si="46"/>
        <v>17087</v>
      </c>
      <c r="S248" s="2959">
        <f t="shared" ca="1" si="47"/>
        <v>324</v>
      </c>
    </row>
    <row r="249" spans="1:19">
      <c r="A249" s="2992" t="str">
        <f>Sheet1!F230</f>
        <v>2-720</v>
      </c>
      <c r="B249" s="2992">
        <f>Sheet1!G230</f>
        <v>169.23</v>
      </c>
      <c r="C249" s="11">
        <f t="shared" si="38"/>
        <v>0.99</v>
      </c>
      <c r="D249" s="2994"/>
      <c r="E249" s="11">
        <f t="shared" si="39"/>
        <v>1</v>
      </c>
      <c r="F249" s="2994"/>
      <c r="G249" s="11">
        <f t="shared" si="40"/>
        <v>1</v>
      </c>
      <c r="H249" s="2994"/>
      <c r="I249" s="11">
        <f t="shared" si="41"/>
        <v>1</v>
      </c>
      <c r="J249" s="2994"/>
      <c r="K249" s="11">
        <f t="shared" si="42"/>
        <v>1</v>
      </c>
      <c r="L249" s="2994"/>
      <c r="M249" s="11">
        <f t="shared" si="43"/>
        <v>1</v>
      </c>
      <c r="N249" s="2994"/>
      <c r="O249" s="11">
        <f t="shared" si="44"/>
        <v>1</v>
      </c>
      <c r="P249" s="2994"/>
      <c r="Q249" s="11">
        <f t="shared" si="45"/>
        <v>1</v>
      </c>
      <c r="R249" s="712">
        <f t="shared" ca="1" si="46"/>
        <v>17087</v>
      </c>
      <c r="S249" s="2959">
        <f t="shared" ca="1" si="47"/>
        <v>289</v>
      </c>
    </row>
    <row r="250" spans="1:19">
      <c r="A250" s="2992" t="str">
        <f>Sheet1!F231</f>
        <v>3-701</v>
      </c>
      <c r="B250" s="2992">
        <f>Sheet1!G231</f>
        <v>49.61</v>
      </c>
      <c r="C250" s="11">
        <f t="shared" si="38"/>
        <v>1</v>
      </c>
      <c r="D250" s="2994"/>
      <c r="E250" s="11">
        <f t="shared" si="39"/>
        <v>1</v>
      </c>
      <c r="F250" s="2994"/>
      <c r="G250" s="11">
        <f t="shared" si="40"/>
        <v>1</v>
      </c>
      <c r="H250" s="2994"/>
      <c r="I250" s="11">
        <f t="shared" si="41"/>
        <v>1</v>
      </c>
      <c r="J250" s="2994"/>
      <c r="K250" s="11">
        <f t="shared" si="42"/>
        <v>1</v>
      </c>
      <c r="L250" s="2994"/>
      <c r="M250" s="11">
        <f t="shared" si="43"/>
        <v>1</v>
      </c>
      <c r="N250" s="2994"/>
      <c r="O250" s="11">
        <f t="shared" si="44"/>
        <v>1</v>
      </c>
      <c r="P250" s="2994"/>
      <c r="Q250" s="11">
        <f t="shared" si="45"/>
        <v>1</v>
      </c>
      <c r="R250" s="712">
        <f t="shared" ca="1" si="46"/>
        <v>17260</v>
      </c>
      <c r="S250" s="2959">
        <f t="shared" ca="1" si="47"/>
        <v>86</v>
      </c>
    </row>
    <row r="251" spans="1:19">
      <c r="A251" s="2992" t="str">
        <f>Sheet1!F232</f>
        <v>3-702</v>
      </c>
      <c r="B251" s="2992">
        <f>Sheet1!G232</f>
        <v>50.63</v>
      </c>
      <c r="C251" s="11">
        <f t="shared" si="38"/>
        <v>1</v>
      </c>
      <c r="D251" s="2994"/>
      <c r="E251" s="11">
        <f t="shared" si="39"/>
        <v>1</v>
      </c>
      <c r="F251" s="2994"/>
      <c r="G251" s="11">
        <f t="shared" si="40"/>
        <v>1</v>
      </c>
      <c r="H251" s="2994"/>
      <c r="I251" s="11">
        <f t="shared" si="41"/>
        <v>1</v>
      </c>
      <c r="J251" s="2994"/>
      <c r="K251" s="11">
        <f t="shared" si="42"/>
        <v>1</v>
      </c>
      <c r="L251" s="2994"/>
      <c r="M251" s="11">
        <f t="shared" si="43"/>
        <v>1</v>
      </c>
      <c r="N251" s="2994"/>
      <c r="O251" s="11">
        <f t="shared" si="44"/>
        <v>1</v>
      </c>
      <c r="P251" s="2994"/>
      <c r="Q251" s="11">
        <f t="shared" si="45"/>
        <v>1</v>
      </c>
      <c r="R251" s="712">
        <f t="shared" ca="1" si="46"/>
        <v>17260</v>
      </c>
      <c r="S251" s="2959">
        <f t="shared" ca="1" si="47"/>
        <v>87</v>
      </c>
    </row>
    <row r="252" spans="1:19">
      <c r="A252" s="2992" t="str">
        <f>Sheet1!F233</f>
        <v>3-703</v>
      </c>
      <c r="B252" s="2992">
        <f>Sheet1!G233</f>
        <v>50.63</v>
      </c>
      <c r="C252" s="11">
        <f t="shared" si="38"/>
        <v>1</v>
      </c>
      <c r="D252" s="2994"/>
      <c r="E252" s="11">
        <f t="shared" si="39"/>
        <v>1</v>
      </c>
      <c r="F252" s="2994"/>
      <c r="G252" s="11">
        <f t="shared" si="40"/>
        <v>1</v>
      </c>
      <c r="H252" s="2994"/>
      <c r="I252" s="11">
        <f t="shared" si="41"/>
        <v>1</v>
      </c>
      <c r="J252" s="2994"/>
      <c r="K252" s="11">
        <f t="shared" si="42"/>
        <v>1</v>
      </c>
      <c r="L252" s="2994"/>
      <c r="M252" s="11">
        <f t="shared" si="43"/>
        <v>1</v>
      </c>
      <c r="N252" s="2994"/>
      <c r="O252" s="11">
        <f t="shared" si="44"/>
        <v>1</v>
      </c>
      <c r="P252" s="2994"/>
      <c r="Q252" s="11">
        <f t="shared" si="45"/>
        <v>1</v>
      </c>
      <c r="R252" s="712">
        <f t="shared" ca="1" si="46"/>
        <v>17260</v>
      </c>
      <c r="S252" s="2959">
        <f t="shared" ca="1" si="47"/>
        <v>87</v>
      </c>
    </row>
    <row r="253" spans="1:19">
      <c r="A253" s="2992" t="str">
        <f>Sheet1!F234</f>
        <v>3-704</v>
      </c>
      <c r="B253" s="2992">
        <f>Sheet1!G234</f>
        <v>50.63</v>
      </c>
      <c r="C253" s="11">
        <f t="shared" si="38"/>
        <v>1</v>
      </c>
      <c r="D253" s="2994"/>
      <c r="E253" s="11">
        <f t="shared" si="39"/>
        <v>1</v>
      </c>
      <c r="F253" s="2994"/>
      <c r="G253" s="11">
        <f t="shared" si="40"/>
        <v>1</v>
      </c>
      <c r="H253" s="2994"/>
      <c r="I253" s="11">
        <f t="shared" si="41"/>
        <v>1</v>
      </c>
      <c r="J253" s="2994"/>
      <c r="K253" s="11">
        <f t="shared" si="42"/>
        <v>1</v>
      </c>
      <c r="L253" s="2994"/>
      <c r="M253" s="11">
        <f t="shared" si="43"/>
        <v>1</v>
      </c>
      <c r="N253" s="2994"/>
      <c r="O253" s="11">
        <f t="shared" si="44"/>
        <v>1</v>
      </c>
      <c r="P253" s="2994"/>
      <c r="Q253" s="11">
        <f t="shared" si="45"/>
        <v>1</v>
      </c>
      <c r="R253" s="712">
        <f t="shared" ca="1" si="46"/>
        <v>17260</v>
      </c>
      <c r="S253" s="2959">
        <f t="shared" ca="1" si="47"/>
        <v>87</v>
      </c>
    </row>
    <row r="254" spans="1:19">
      <c r="A254" s="2992" t="str">
        <f>Sheet1!F235</f>
        <v>3-705</v>
      </c>
      <c r="B254" s="2992">
        <f>Sheet1!G235</f>
        <v>50.63</v>
      </c>
      <c r="C254" s="11">
        <f t="shared" si="38"/>
        <v>1</v>
      </c>
      <c r="D254" s="2994"/>
      <c r="E254" s="11">
        <f t="shared" si="39"/>
        <v>1</v>
      </c>
      <c r="F254" s="2994"/>
      <c r="G254" s="11">
        <f t="shared" si="40"/>
        <v>1</v>
      </c>
      <c r="H254" s="2994"/>
      <c r="I254" s="11">
        <f t="shared" si="41"/>
        <v>1</v>
      </c>
      <c r="J254" s="2994"/>
      <c r="K254" s="11">
        <f t="shared" si="42"/>
        <v>1</v>
      </c>
      <c r="L254" s="2994"/>
      <c r="M254" s="11">
        <f t="shared" si="43"/>
        <v>1</v>
      </c>
      <c r="N254" s="2994"/>
      <c r="O254" s="11">
        <f t="shared" si="44"/>
        <v>1</v>
      </c>
      <c r="P254" s="2994"/>
      <c r="Q254" s="11">
        <f t="shared" si="45"/>
        <v>1</v>
      </c>
      <c r="R254" s="712">
        <f t="shared" ca="1" si="46"/>
        <v>17260</v>
      </c>
      <c r="S254" s="2959">
        <f t="shared" ca="1" si="47"/>
        <v>87</v>
      </c>
    </row>
    <row r="255" spans="1:19">
      <c r="A255" s="2992" t="str">
        <f>Sheet1!F236</f>
        <v>3-706</v>
      </c>
      <c r="B255" s="2992">
        <f>Sheet1!G236</f>
        <v>50.63</v>
      </c>
      <c r="C255" s="11">
        <f t="shared" si="38"/>
        <v>1</v>
      </c>
      <c r="D255" s="2994"/>
      <c r="E255" s="11">
        <f t="shared" si="39"/>
        <v>1</v>
      </c>
      <c r="F255" s="2994"/>
      <c r="G255" s="11">
        <f t="shared" si="40"/>
        <v>1</v>
      </c>
      <c r="H255" s="2994"/>
      <c r="I255" s="11">
        <f t="shared" si="41"/>
        <v>1</v>
      </c>
      <c r="J255" s="2994"/>
      <c r="K255" s="11">
        <f t="shared" si="42"/>
        <v>1</v>
      </c>
      <c r="L255" s="2994"/>
      <c r="M255" s="11">
        <f t="shared" si="43"/>
        <v>1</v>
      </c>
      <c r="N255" s="2994"/>
      <c r="O255" s="11">
        <f t="shared" si="44"/>
        <v>1</v>
      </c>
      <c r="P255" s="2994"/>
      <c r="Q255" s="11">
        <f t="shared" si="45"/>
        <v>1</v>
      </c>
      <c r="R255" s="712">
        <f t="shared" ca="1" si="46"/>
        <v>17260</v>
      </c>
      <c r="S255" s="2959">
        <f t="shared" ca="1" si="47"/>
        <v>87</v>
      </c>
    </row>
    <row r="256" spans="1:19">
      <c r="A256" s="2992" t="str">
        <f>Sheet1!F237</f>
        <v>3-707</v>
      </c>
      <c r="B256" s="2992">
        <f>Sheet1!G237</f>
        <v>50.63</v>
      </c>
      <c r="C256" s="11">
        <f t="shared" si="38"/>
        <v>1</v>
      </c>
      <c r="D256" s="2994"/>
      <c r="E256" s="11">
        <f t="shared" si="39"/>
        <v>1</v>
      </c>
      <c r="F256" s="2994"/>
      <c r="G256" s="11">
        <f t="shared" si="40"/>
        <v>1</v>
      </c>
      <c r="H256" s="2994"/>
      <c r="I256" s="11">
        <f t="shared" si="41"/>
        <v>1</v>
      </c>
      <c r="J256" s="2994"/>
      <c r="K256" s="11">
        <f t="shared" si="42"/>
        <v>1</v>
      </c>
      <c r="L256" s="2994"/>
      <c r="M256" s="11">
        <f t="shared" si="43"/>
        <v>1</v>
      </c>
      <c r="N256" s="2994"/>
      <c r="O256" s="11">
        <f t="shared" si="44"/>
        <v>1</v>
      </c>
      <c r="P256" s="2994"/>
      <c r="Q256" s="11">
        <f t="shared" si="45"/>
        <v>1</v>
      </c>
      <c r="R256" s="712">
        <f t="shared" ca="1" si="46"/>
        <v>17260</v>
      </c>
      <c r="S256" s="2959">
        <f t="shared" ca="1" si="47"/>
        <v>87</v>
      </c>
    </row>
    <row r="257" spans="1:19">
      <c r="A257" s="2992" t="str">
        <f>Sheet1!F238</f>
        <v>3-708</v>
      </c>
      <c r="B257" s="2992">
        <f>Sheet1!G238</f>
        <v>50.63</v>
      </c>
      <c r="C257" s="11">
        <f t="shared" si="38"/>
        <v>1</v>
      </c>
      <c r="D257" s="2994"/>
      <c r="E257" s="11">
        <f t="shared" si="39"/>
        <v>1</v>
      </c>
      <c r="F257" s="2994"/>
      <c r="G257" s="11">
        <f t="shared" si="40"/>
        <v>1</v>
      </c>
      <c r="H257" s="2994"/>
      <c r="I257" s="11">
        <f t="shared" si="41"/>
        <v>1</v>
      </c>
      <c r="J257" s="2994"/>
      <c r="K257" s="11">
        <f t="shared" si="42"/>
        <v>1</v>
      </c>
      <c r="L257" s="2994"/>
      <c r="M257" s="11">
        <f t="shared" si="43"/>
        <v>1</v>
      </c>
      <c r="N257" s="2994"/>
      <c r="O257" s="11">
        <f t="shared" si="44"/>
        <v>1</v>
      </c>
      <c r="P257" s="2994"/>
      <c r="Q257" s="11">
        <f t="shared" si="45"/>
        <v>1</v>
      </c>
      <c r="R257" s="712">
        <f t="shared" ca="1" si="46"/>
        <v>17260</v>
      </c>
      <c r="S257" s="2959">
        <f t="shared" ca="1" si="47"/>
        <v>87</v>
      </c>
    </row>
    <row r="258" spans="1:19">
      <c r="A258" s="2992" t="str">
        <f>Sheet1!F239</f>
        <v>3-709</v>
      </c>
      <c r="B258" s="2992">
        <f>Sheet1!G239</f>
        <v>50.63</v>
      </c>
      <c r="C258" s="11">
        <f t="shared" si="38"/>
        <v>1</v>
      </c>
      <c r="D258" s="2994"/>
      <c r="E258" s="11">
        <f t="shared" si="39"/>
        <v>1</v>
      </c>
      <c r="F258" s="2994"/>
      <c r="G258" s="11">
        <f t="shared" si="40"/>
        <v>1</v>
      </c>
      <c r="H258" s="2994"/>
      <c r="I258" s="11">
        <f t="shared" si="41"/>
        <v>1</v>
      </c>
      <c r="J258" s="2994"/>
      <c r="K258" s="11">
        <f t="shared" si="42"/>
        <v>1</v>
      </c>
      <c r="L258" s="2994"/>
      <c r="M258" s="11">
        <f t="shared" si="43"/>
        <v>1</v>
      </c>
      <c r="N258" s="2994"/>
      <c r="O258" s="11">
        <f t="shared" si="44"/>
        <v>1</v>
      </c>
      <c r="P258" s="2994"/>
      <c r="Q258" s="11">
        <f t="shared" si="45"/>
        <v>1</v>
      </c>
      <c r="R258" s="712">
        <f t="shared" ca="1" si="46"/>
        <v>17260</v>
      </c>
      <c r="S258" s="2959">
        <f t="shared" ca="1" si="47"/>
        <v>87</v>
      </c>
    </row>
    <row r="259" spans="1:19">
      <c r="A259" s="2992" t="str">
        <f>Sheet1!F240</f>
        <v>3-710</v>
      </c>
      <c r="B259" s="2992">
        <f>Sheet1!G240</f>
        <v>50.63</v>
      </c>
      <c r="C259" s="11">
        <f t="shared" si="38"/>
        <v>1</v>
      </c>
      <c r="D259" s="2994"/>
      <c r="E259" s="11">
        <f t="shared" si="39"/>
        <v>1</v>
      </c>
      <c r="F259" s="2994"/>
      <c r="G259" s="11">
        <f t="shared" si="40"/>
        <v>1</v>
      </c>
      <c r="H259" s="2994"/>
      <c r="I259" s="11">
        <f t="shared" si="41"/>
        <v>1</v>
      </c>
      <c r="J259" s="2994"/>
      <c r="K259" s="11">
        <f t="shared" si="42"/>
        <v>1</v>
      </c>
      <c r="L259" s="2994"/>
      <c r="M259" s="11">
        <f t="shared" si="43"/>
        <v>1</v>
      </c>
      <c r="N259" s="2994"/>
      <c r="O259" s="11">
        <f t="shared" si="44"/>
        <v>1</v>
      </c>
      <c r="P259" s="2994"/>
      <c r="Q259" s="11">
        <f t="shared" si="45"/>
        <v>1</v>
      </c>
      <c r="R259" s="712">
        <f t="shared" ca="1" si="46"/>
        <v>17260</v>
      </c>
      <c r="S259" s="2959">
        <f t="shared" ca="1" si="47"/>
        <v>87</v>
      </c>
    </row>
    <row r="260" spans="1:19">
      <c r="A260" s="2992" t="str">
        <f>Sheet1!F241</f>
        <v>3-711</v>
      </c>
      <c r="B260" s="2992">
        <f>Sheet1!G241</f>
        <v>50.63</v>
      </c>
      <c r="C260" s="11">
        <f t="shared" si="38"/>
        <v>1</v>
      </c>
      <c r="D260" s="2994"/>
      <c r="E260" s="11">
        <f t="shared" si="39"/>
        <v>1</v>
      </c>
      <c r="F260" s="2994"/>
      <c r="G260" s="11">
        <f t="shared" si="40"/>
        <v>1</v>
      </c>
      <c r="H260" s="2994"/>
      <c r="I260" s="11">
        <f t="shared" si="41"/>
        <v>1</v>
      </c>
      <c r="J260" s="2994"/>
      <c r="K260" s="11">
        <f t="shared" si="42"/>
        <v>1</v>
      </c>
      <c r="L260" s="2994"/>
      <c r="M260" s="11">
        <f t="shared" si="43"/>
        <v>1</v>
      </c>
      <c r="N260" s="2994"/>
      <c r="O260" s="11">
        <f t="shared" si="44"/>
        <v>1</v>
      </c>
      <c r="P260" s="2994"/>
      <c r="Q260" s="11">
        <f t="shared" si="45"/>
        <v>1</v>
      </c>
      <c r="R260" s="712">
        <f t="shared" ca="1" si="46"/>
        <v>17260</v>
      </c>
      <c r="S260" s="2959">
        <f t="shared" ca="1" si="47"/>
        <v>87</v>
      </c>
    </row>
    <row r="261" spans="1:19">
      <c r="A261" s="2992" t="str">
        <f>Sheet1!F242</f>
        <v>3-712</v>
      </c>
      <c r="B261" s="2992">
        <f>Sheet1!G242</f>
        <v>49.53</v>
      </c>
      <c r="C261" s="11">
        <f t="shared" si="38"/>
        <v>1</v>
      </c>
      <c r="D261" s="2994"/>
      <c r="E261" s="11">
        <f t="shared" si="39"/>
        <v>1</v>
      </c>
      <c r="F261" s="2994"/>
      <c r="G261" s="11">
        <f t="shared" si="40"/>
        <v>1</v>
      </c>
      <c r="H261" s="2994"/>
      <c r="I261" s="11">
        <f t="shared" si="41"/>
        <v>1</v>
      </c>
      <c r="J261" s="2994"/>
      <c r="K261" s="11">
        <f t="shared" si="42"/>
        <v>1</v>
      </c>
      <c r="L261" s="2994"/>
      <c r="M261" s="11">
        <f t="shared" si="43"/>
        <v>1</v>
      </c>
      <c r="N261" s="2994"/>
      <c r="O261" s="11">
        <f t="shared" si="44"/>
        <v>1</v>
      </c>
      <c r="P261" s="2994"/>
      <c r="Q261" s="11">
        <f t="shared" si="45"/>
        <v>1</v>
      </c>
      <c r="R261" s="712">
        <f t="shared" ca="1" si="46"/>
        <v>17260</v>
      </c>
      <c r="S261" s="2959">
        <f t="shared" ca="1" si="47"/>
        <v>85</v>
      </c>
    </row>
    <row r="262" spans="1:19">
      <c r="A262" s="2992" t="str">
        <f>Sheet1!F243</f>
        <v>3-713</v>
      </c>
      <c r="B262" s="2992">
        <f>Sheet1!G243</f>
        <v>55.7</v>
      </c>
      <c r="C262" s="11">
        <f t="shared" si="38"/>
        <v>1</v>
      </c>
      <c r="D262" s="2994"/>
      <c r="E262" s="11">
        <f t="shared" si="39"/>
        <v>1</v>
      </c>
      <c r="F262" s="2994"/>
      <c r="G262" s="11">
        <f t="shared" si="40"/>
        <v>1</v>
      </c>
      <c r="H262" s="2994"/>
      <c r="I262" s="11">
        <f t="shared" si="41"/>
        <v>1</v>
      </c>
      <c r="J262" s="2994"/>
      <c r="K262" s="11">
        <f t="shared" si="42"/>
        <v>1</v>
      </c>
      <c r="L262" s="2994"/>
      <c r="M262" s="11">
        <f t="shared" si="43"/>
        <v>1</v>
      </c>
      <c r="N262" s="2994"/>
      <c r="O262" s="11">
        <f t="shared" si="44"/>
        <v>1</v>
      </c>
      <c r="P262" s="2994"/>
      <c r="Q262" s="11">
        <f t="shared" si="45"/>
        <v>1</v>
      </c>
      <c r="R262" s="712">
        <f t="shared" ca="1" si="46"/>
        <v>17260</v>
      </c>
      <c r="S262" s="2959">
        <f t="shared" ca="1" si="47"/>
        <v>96</v>
      </c>
    </row>
    <row r="263" spans="1:19">
      <c r="A263" s="2992" t="str">
        <f>Sheet1!F244</f>
        <v>3-714</v>
      </c>
      <c r="B263" s="2992">
        <f>Sheet1!G244</f>
        <v>60.21</v>
      </c>
      <c r="C263" s="11">
        <f t="shared" si="38"/>
        <v>1</v>
      </c>
      <c r="D263" s="2994"/>
      <c r="E263" s="11">
        <f t="shared" si="39"/>
        <v>1</v>
      </c>
      <c r="F263" s="2994"/>
      <c r="G263" s="11">
        <f t="shared" si="40"/>
        <v>1</v>
      </c>
      <c r="H263" s="2994"/>
      <c r="I263" s="11">
        <f t="shared" si="41"/>
        <v>1</v>
      </c>
      <c r="J263" s="2994"/>
      <c r="K263" s="11">
        <f t="shared" si="42"/>
        <v>1</v>
      </c>
      <c r="L263" s="2994"/>
      <c r="M263" s="11">
        <f t="shared" si="43"/>
        <v>1</v>
      </c>
      <c r="N263" s="2994"/>
      <c r="O263" s="11">
        <f t="shared" si="44"/>
        <v>1</v>
      </c>
      <c r="P263" s="2994"/>
      <c r="Q263" s="11">
        <f t="shared" si="45"/>
        <v>1</v>
      </c>
      <c r="R263" s="712">
        <f t="shared" ca="1" si="46"/>
        <v>17260</v>
      </c>
      <c r="S263" s="2959">
        <f t="shared" ca="1" si="47"/>
        <v>104</v>
      </c>
    </row>
    <row r="264" spans="1:19">
      <c r="A264" s="2992" t="str">
        <f>Sheet1!F245</f>
        <v>3-715</v>
      </c>
      <c r="B264" s="2992">
        <f>Sheet1!G245</f>
        <v>58.75</v>
      </c>
      <c r="C264" s="11">
        <f t="shared" si="38"/>
        <v>1</v>
      </c>
      <c r="D264" s="2994"/>
      <c r="E264" s="11">
        <f t="shared" si="39"/>
        <v>1</v>
      </c>
      <c r="F264" s="2994"/>
      <c r="G264" s="11">
        <f t="shared" si="40"/>
        <v>1</v>
      </c>
      <c r="H264" s="2994"/>
      <c r="I264" s="11">
        <f t="shared" si="41"/>
        <v>1</v>
      </c>
      <c r="J264" s="2994"/>
      <c r="K264" s="11">
        <f t="shared" si="42"/>
        <v>1</v>
      </c>
      <c r="L264" s="2994"/>
      <c r="M264" s="11">
        <f t="shared" si="43"/>
        <v>1</v>
      </c>
      <c r="N264" s="2994"/>
      <c r="O264" s="11">
        <f t="shared" si="44"/>
        <v>1</v>
      </c>
      <c r="P264" s="2994"/>
      <c r="Q264" s="11">
        <f t="shared" si="45"/>
        <v>1</v>
      </c>
      <c r="R264" s="712">
        <f t="shared" ca="1" si="46"/>
        <v>17260</v>
      </c>
      <c r="S264" s="2959">
        <f t="shared" ca="1" si="47"/>
        <v>101</v>
      </c>
    </row>
    <row r="265" spans="1:19">
      <c r="A265" s="2992" t="str">
        <f>Sheet1!F246</f>
        <v>3-716</v>
      </c>
      <c r="B265" s="2992">
        <f>Sheet1!G246</f>
        <v>61.88</v>
      </c>
      <c r="C265" s="11">
        <f t="shared" si="38"/>
        <v>1</v>
      </c>
      <c r="D265" s="2994"/>
      <c r="E265" s="11">
        <f t="shared" si="39"/>
        <v>1</v>
      </c>
      <c r="F265" s="2994"/>
      <c r="G265" s="11">
        <f t="shared" si="40"/>
        <v>1</v>
      </c>
      <c r="H265" s="2994"/>
      <c r="I265" s="11">
        <f t="shared" si="41"/>
        <v>1</v>
      </c>
      <c r="J265" s="2994"/>
      <c r="K265" s="11">
        <f t="shared" si="42"/>
        <v>1</v>
      </c>
      <c r="L265" s="2994"/>
      <c r="M265" s="11">
        <f t="shared" si="43"/>
        <v>1</v>
      </c>
      <c r="N265" s="2994"/>
      <c r="O265" s="11">
        <f t="shared" si="44"/>
        <v>1</v>
      </c>
      <c r="P265" s="2994"/>
      <c r="Q265" s="11">
        <f t="shared" si="45"/>
        <v>1</v>
      </c>
      <c r="R265" s="712">
        <f t="shared" ca="1" si="46"/>
        <v>17260</v>
      </c>
      <c r="S265" s="2959">
        <f t="shared" ca="1" si="47"/>
        <v>107</v>
      </c>
    </row>
    <row r="266" spans="1:19">
      <c r="A266" s="2992" t="str">
        <f>Sheet1!F247</f>
        <v>3-717</v>
      </c>
      <c r="B266" s="2992">
        <f>Sheet1!G247</f>
        <v>61.41</v>
      </c>
      <c r="C266" s="11">
        <f t="shared" si="38"/>
        <v>1</v>
      </c>
      <c r="D266" s="2994"/>
      <c r="E266" s="11">
        <f t="shared" si="39"/>
        <v>1</v>
      </c>
      <c r="F266" s="2994"/>
      <c r="G266" s="11">
        <f t="shared" si="40"/>
        <v>1</v>
      </c>
      <c r="H266" s="2994"/>
      <c r="I266" s="11">
        <f t="shared" si="41"/>
        <v>1</v>
      </c>
      <c r="J266" s="2994"/>
      <c r="K266" s="11">
        <f t="shared" si="42"/>
        <v>1</v>
      </c>
      <c r="L266" s="2994"/>
      <c r="M266" s="11">
        <f t="shared" si="43"/>
        <v>1</v>
      </c>
      <c r="N266" s="2994"/>
      <c r="O266" s="11">
        <f t="shared" si="44"/>
        <v>1</v>
      </c>
      <c r="P266" s="2994"/>
      <c r="Q266" s="11">
        <f t="shared" si="45"/>
        <v>1</v>
      </c>
      <c r="R266" s="712">
        <f t="shared" ca="1" si="46"/>
        <v>17260</v>
      </c>
      <c r="S266" s="2959">
        <f t="shared" ca="1" si="47"/>
        <v>106</v>
      </c>
    </row>
    <row r="267" spans="1:19">
      <c r="A267" s="2992" t="str">
        <f>Sheet1!F248</f>
        <v>3-718</v>
      </c>
      <c r="B267" s="2992">
        <f>Sheet1!G248</f>
        <v>61.41</v>
      </c>
      <c r="C267" s="11">
        <f t="shared" si="38"/>
        <v>1</v>
      </c>
      <c r="D267" s="2994"/>
      <c r="E267" s="11">
        <f t="shared" si="39"/>
        <v>1</v>
      </c>
      <c r="F267" s="2994"/>
      <c r="G267" s="11">
        <f t="shared" si="40"/>
        <v>1</v>
      </c>
      <c r="H267" s="2994"/>
      <c r="I267" s="11">
        <f t="shared" si="41"/>
        <v>1</v>
      </c>
      <c r="J267" s="2994"/>
      <c r="K267" s="11">
        <f t="shared" si="42"/>
        <v>1</v>
      </c>
      <c r="L267" s="2994"/>
      <c r="M267" s="11">
        <f t="shared" si="43"/>
        <v>1</v>
      </c>
      <c r="N267" s="2994"/>
      <c r="O267" s="11">
        <f t="shared" si="44"/>
        <v>1</v>
      </c>
      <c r="P267" s="2994"/>
      <c r="Q267" s="11">
        <f t="shared" si="45"/>
        <v>1</v>
      </c>
      <c r="R267" s="712">
        <f t="shared" ca="1" si="46"/>
        <v>17260</v>
      </c>
      <c r="S267" s="2959">
        <f t="shared" ca="1" si="47"/>
        <v>106</v>
      </c>
    </row>
    <row r="268" spans="1:19">
      <c r="A268" s="2992" t="str">
        <f>Sheet1!F249</f>
        <v>3-719</v>
      </c>
      <c r="B268" s="2992">
        <f>Sheet1!G249</f>
        <v>61.41</v>
      </c>
      <c r="C268" s="11">
        <f t="shared" si="38"/>
        <v>1</v>
      </c>
      <c r="D268" s="2994"/>
      <c r="E268" s="11">
        <f t="shared" si="39"/>
        <v>1</v>
      </c>
      <c r="F268" s="2994"/>
      <c r="G268" s="11">
        <f t="shared" si="40"/>
        <v>1</v>
      </c>
      <c r="H268" s="2994"/>
      <c r="I268" s="11">
        <f t="shared" si="41"/>
        <v>1</v>
      </c>
      <c r="J268" s="2994"/>
      <c r="K268" s="11">
        <f t="shared" si="42"/>
        <v>1</v>
      </c>
      <c r="L268" s="2994"/>
      <c r="M268" s="11">
        <f t="shared" si="43"/>
        <v>1</v>
      </c>
      <c r="N268" s="2994"/>
      <c r="O268" s="11">
        <f t="shared" si="44"/>
        <v>1</v>
      </c>
      <c r="P268" s="2994"/>
      <c r="Q268" s="11">
        <f t="shared" si="45"/>
        <v>1</v>
      </c>
      <c r="R268" s="712">
        <f t="shared" ca="1" si="46"/>
        <v>17260</v>
      </c>
      <c r="S268" s="2959">
        <f t="shared" ca="1" si="47"/>
        <v>106</v>
      </c>
    </row>
    <row r="269" spans="1:19">
      <c r="A269" s="2992" t="str">
        <f>Sheet1!F250</f>
        <v>4-701</v>
      </c>
      <c r="B269" s="2992">
        <f>Sheet1!G250</f>
        <v>65.760000000000005</v>
      </c>
      <c r="C269" s="11">
        <f t="shared" si="38"/>
        <v>1</v>
      </c>
      <c r="D269" s="2994"/>
      <c r="E269" s="11">
        <f t="shared" si="39"/>
        <v>1</v>
      </c>
      <c r="F269" s="2994"/>
      <c r="G269" s="11">
        <f t="shared" si="40"/>
        <v>1</v>
      </c>
      <c r="H269" s="2994"/>
      <c r="I269" s="11">
        <f t="shared" si="41"/>
        <v>1</v>
      </c>
      <c r="J269" s="2994"/>
      <c r="K269" s="11">
        <f t="shared" si="42"/>
        <v>1</v>
      </c>
      <c r="L269" s="2994"/>
      <c r="M269" s="11">
        <f t="shared" si="43"/>
        <v>1</v>
      </c>
      <c r="N269" s="2994"/>
      <c r="O269" s="11">
        <f t="shared" si="44"/>
        <v>1</v>
      </c>
      <c r="P269" s="2994"/>
      <c r="Q269" s="11">
        <f t="shared" si="45"/>
        <v>1</v>
      </c>
      <c r="R269" s="712">
        <f t="shared" ca="1" si="46"/>
        <v>17260</v>
      </c>
      <c r="S269" s="2959">
        <f t="shared" ca="1" si="47"/>
        <v>114</v>
      </c>
    </row>
    <row r="270" spans="1:19">
      <c r="A270" s="2992" t="str">
        <f>Sheet1!F251</f>
        <v>4-702</v>
      </c>
      <c r="B270" s="2992">
        <f>Sheet1!G251</f>
        <v>59.41</v>
      </c>
      <c r="C270" s="11">
        <f t="shared" si="38"/>
        <v>1</v>
      </c>
      <c r="D270" s="2994"/>
      <c r="E270" s="11">
        <f t="shared" si="39"/>
        <v>1</v>
      </c>
      <c r="F270" s="2994"/>
      <c r="G270" s="11">
        <f t="shared" si="40"/>
        <v>1</v>
      </c>
      <c r="H270" s="2994"/>
      <c r="I270" s="11">
        <f t="shared" si="41"/>
        <v>1</v>
      </c>
      <c r="J270" s="2994"/>
      <c r="K270" s="11">
        <f t="shared" si="42"/>
        <v>1</v>
      </c>
      <c r="L270" s="2994"/>
      <c r="M270" s="11">
        <f t="shared" si="43"/>
        <v>1</v>
      </c>
      <c r="N270" s="2994"/>
      <c r="O270" s="11">
        <f t="shared" si="44"/>
        <v>1</v>
      </c>
      <c r="P270" s="2994"/>
      <c r="Q270" s="11">
        <f t="shared" si="45"/>
        <v>1</v>
      </c>
      <c r="R270" s="712">
        <f t="shared" ca="1" si="46"/>
        <v>17260</v>
      </c>
      <c r="S270" s="2959">
        <f t="shared" ca="1" si="47"/>
        <v>103</v>
      </c>
    </row>
    <row r="271" spans="1:19">
      <c r="A271" s="2992" t="str">
        <f>Sheet1!F252</f>
        <v>4-703</v>
      </c>
      <c r="B271" s="2992">
        <f>Sheet1!G252</f>
        <v>60.69</v>
      </c>
      <c r="C271" s="11">
        <f t="shared" si="38"/>
        <v>1</v>
      </c>
      <c r="D271" s="2994"/>
      <c r="E271" s="11">
        <f t="shared" si="39"/>
        <v>1</v>
      </c>
      <c r="F271" s="2994"/>
      <c r="G271" s="11">
        <f t="shared" si="40"/>
        <v>1</v>
      </c>
      <c r="H271" s="2994"/>
      <c r="I271" s="11">
        <f t="shared" si="41"/>
        <v>1</v>
      </c>
      <c r="J271" s="2994"/>
      <c r="K271" s="11">
        <f t="shared" si="42"/>
        <v>1</v>
      </c>
      <c r="L271" s="2994"/>
      <c r="M271" s="11">
        <f t="shared" si="43"/>
        <v>1</v>
      </c>
      <c r="N271" s="2994"/>
      <c r="O271" s="11">
        <f t="shared" si="44"/>
        <v>1</v>
      </c>
      <c r="P271" s="2994"/>
      <c r="Q271" s="11">
        <f t="shared" si="45"/>
        <v>1</v>
      </c>
      <c r="R271" s="712">
        <f t="shared" ca="1" si="46"/>
        <v>17260</v>
      </c>
      <c r="S271" s="2959">
        <f t="shared" ca="1" si="47"/>
        <v>105</v>
      </c>
    </row>
    <row r="272" spans="1:19">
      <c r="A272" s="2992" t="str">
        <f>Sheet1!F253</f>
        <v>4-704</v>
      </c>
      <c r="B272" s="2992">
        <f>Sheet1!G253</f>
        <v>60.69</v>
      </c>
      <c r="C272" s="11">
        <f t="shared" si="38"/>
        <v>1</v>
      </c>
      <c r="D272" s="2994"/>
      <c r="E272" s="11">
        <f t="shared" si="39"/>
        <v>1</v>
      </c>
      <c r="F272" s="2994"/>
      <c r="G272" s="11">
        <f t="shared" si="40"/>
        <v>1</v>
      </c>
      <c r="H272" s="2994"/>
      <c r="I272" s="11">
        <f t="shared" si="41"/>
        <v>1</v>
      </c>
      <c r="J272" s="2994"/>
      <c r="K272" s="11">
        <f t="shared" si="42"/>
        <v>1</v>
      </c>
      <c r="L272" s="2994"/>
      <c r="M272" s="11">
        <f t="shared" si="43"/>
        <v>1</v>
      </c>
      <c r="N272" s="2994"/>
      <c r="O272" s="11">
        <f t="shared" si="44"/>
        <v>1</v>
      </c>
      <c r="P272" s="2994"/>
      <c r="Q272" s="11">
        <f t="shared" si="45"/>
        <v>1</v>
      </c>
      <c r="R272" s="712">
        <f t="shared" ca="1" si="46"/>
        <v>17260</v>
      </c>
      <c r="S272" s="2959">
        <f t="shared" ca="1" si="47"/>
        <v>105</v>
      </c>
    </row>
    <row r="273" spans="1:19">
      <c r="A273" s="2992" t="str">
        <f>Sheet1!F254</f>
        <v>4-705</v>
      </c>
      <c r="B273" s="2992">
        <f>Sheet1!G254</f>
        <v>60.69</v>
      </c>
      <c r="C273" s="11">
        <f t="shared" si="38"/>
        <v>1</v>
      </c>
      <c r="D273" s="2994"/>
      <c r="E273" s="11">
        <f t="shared" si="39"/>
        <v>1</v>
      </c>
      <c r="F273" s="2994"/>
      <c r="G273" s="11">
        <f t="shared" si="40"/>
        <v>1</v>
      </c>
      <c r="H273" s="2994"/>
      <c r="I273" s="11">
        <f t="shared" si="41"/>
        <v>1</v>
      </c>
      <c r="J273" s="2994"/>
      <c r="K273" s="11">
        <f t="shared" si="42"/>
        <v>1</v>
      </c>
      <c r="L273" s="2994"/>
      <c r="M273" s="11">
        <f t="shared" si="43"/>
        <v>1</v>
      </c>
      <c r="N273" s="2994"/>
      <c r="O273" s="11">
        <f t="shared" si="44"/>
        <v>1</v>
      </c>
      <c r="P273" s="2994"/>
      <c r="Q273" s="11">
        <f t="shared" si="45"/>
        <v>1</v>
      </c>
      <c r="R273" s="712">
        <f t="shared" ca="1" si="46"/>
        <v>17260</v>
      </c>
      <c r="S273" s="2959">
        <f t="shared" ca="1" si="47"/>
        <v>105</v>
      </c>
    </row>
    <row r="274" spans="1:19">
      <c r="A274" s="2992" t="str">
        <f>Sheet1!F255</f>
        <v>4-706</v>
      </c>
      <c r="B274" s="2992">
        <f>Sheet1!G255</f>
        <v>60.69</v>
      </c>
      <c r="C274" s="11">
        <f t="shared" si="38"/>
        <v>1</v>
      </c>
      <c r="D274" s="2994"/>
      <c r="E274" s="11">
        <f t="shared" si="39"/>
        <v>1</v>
      </c>
      <c r="F274" s="2994"/>
      <c r="G274" s="11">
        <f t="shared" si="40"/>
        <v>1</v>
      </c>
      <c r="H274" s="2994"/>
      <c r="I274" s="11">
        <f t="shared" si="41"/>
        <v>1</v>
      </c>
      <c r="J274" s="2994"/>
      <c r="K274" s="11">
        <f t="shared" si="42"/>
        <v>1</v>
      </c>
      <c r="L274" s="2994"/>
      <c r="M274" s="11">
        <f t="shared" si="43"/>
        <v>1</v>
      </c>
      <c r="N274" s="2994"/>
      <c r="O274" s="11">
        <f t="shared" si="44"/>
        <v>1</v>
      </c>
      <c r="P274" s="2994"/>
      <c r="Q274" s="11">
        <f t="shared" si="45"/>
        <v>1</v>
      </c>
      <c r="R274" s="712">
        <f t="shared" ca="1" si="46"/>
        <v>17260</v>
      </c>
      <c r="S274" s="2959">
        <f t="shared" ca="1" si="47"/>
        <v>105</v>
      </c>
    </row>
    <row r="275" spans="1:19">
      <c r="A275" s="2992" t="str">
        <f>Sheet1!F256</f>
        <v>4-707</v>
      </c>
      <c r="B275" s="2992">
        <f>Sheet1!G256</f>
        <v>60.69</v>
      </c>
      <c r="C275" s="11">
        <f t="shared" si="38"/>
        <v>1</v>
      </c>
      <c r="D275" s="2994"/>
      <c r="E275" s="11">
        <f t="shared" si="39"/>
        <v>1</v>
      </c>
      <c r="F275" s="2994"/>
      <c r="G275" s="11">
        <f t="shared" si="40"/>
        <v>1</v>
      </c>
      <c r="H275" s="2994"/>
      <c r="I275" s="11">
        <f t="shared" si="41"/>
        <v>1</v>
      </c>
      <c r="J275" s="2994"/>
      <c r="K275" s="11">
        <f t="shared" si="42"/>
        <v>1</v>
      </c>
      <c r="L275" s="2994"/>
      <c r="M275" s="11">
        <f t="shared" si="43"/>
        <v>1</v>
      </c>
      <c r="N275" s="2994"/>
      <c r="O275" s="11">
        <f t="shared" si="44"/>
        <v>1</v>
      </c>
      <c r="P275" s="2994"/>
      <c r="Q275" s="11">
        <f t="shared" si="45"/>
        <v>1</v>
      </c>
      <c r="R275" s="712">
        <f t="shared" ca="1" si="46"/>
        <v>17260</v>
      </c>
      <c r="S275" s="2959">
        <f t="shared" ca="1" si="47"/>
        <v>105</v>
      </c>
    </row>
    <row r="276" spans="1:19">
      <c r="A276" s="2992" t="str">
        <f>Sheet1!F257</f>
        <v>4-708</v>
      </c>
      <c r="B276" s="2992">
        <f>Sheet1!G257</f>
        <v>60.69</v>
      </c>
      <c r="C276" s="11">
        <f t="shared" si="38"/>
        <v>1</v>
      </c>
      <c r="D276" s="2994"/>
      <c r="E276" s="11">
        <f t="shared" si="39"/>
        <v>1</v>
      </c>
      <c r="F276" s="2994"/>
      <c r="G276" s="11">
        <f t="shared" si="40"/>
        <v>1</v>
      </c>
      <c r="H276" s="2994"/>
      <c r="I276" s="11">
        <f t="shared" si="41"/>
        <v>1</v>
      </c>
      <c r="J276" s="2994"/>
      <c r="K276" s="11">
        <f t="shared" si="42"/>
        <v>1</v>
      </c>
      <c r="L276" s="2994"/>
      <c r="M276" s="11">
        <f t="shared" si="43"/>
        <v>1</v>
      </c>
      <c r="N276" s="2994"/>
      <c r="O276" s="11">
        <f t="shared" si="44"/>
        <v>1</v>
      </c>
      <c r="P276" s="2994"/>
      <c r="Q276" s="11">
        <f t="shared" si="45"/>
        <v>1</v>
      </c>
      <c r="R276" s="712">
        <f t="shared" ca="1" si="46"/>
        <v>17260</v>
      </c>
      <c r="S276" s="2959">
        <f t="shared" ca="1" si="47"/>
        <v>105</v>
      </c>
    </row>
    <row r="277" spans="1:19">
      <c r="A277" s="2992" t="str">
        <f>Sheet1!F258</f>
        <v>4-709</v>
      </c>
      <c r="B277" s="2992">
        <f>Sheet1!G258</f>
        <v>60.69</v>
      </c>
      <c r="C277" s="11">
        <f t="shared" si="38"/>
        <v>1</v>
      </c>
      <c r="D277" s="2994"/>
      <c r="E277" s="11">
        <f t="shared" si="39"/>
        <v>1</v>
      </c>
      <c r="F277" s="2994"/>
      <c r="G277" s="11">
        <f t="shared" si="40"/>
        <v>1</v>
      </c>
      <c r="H277" s="2994"/>
      <c r="I277" s="11">
        <f t="shared" si="41"/>
        <v>1</v>
      </c>
      <c r="J277" s="2994"/>
      <c r="K277" s="11">
        <f t="shared" si="42"/>
        <v>1</v>
      </c>
      <c r="L277" s="2994"/>
      <c r="M277" s="11">
        <f t="shared" si="43"/>
        <v>1</v>
      </c>
      <c r="N277" s="2994"/>
      <c r="O277" s="11">
        <f t="shared" si="44"/>
        <v>1</v>
      </c>
      <c r="P277" s="2994"/>
      <c r="Q277" s="11">
        <f t="shared" si="45"/>
        <v>1</v>
      </c>
      <c r="R277" s="712">
        <f t="shared" ca="1" si="46"/>
        <v>17260</v>
      </c>
      <c r="S277" s="2959">
        <f t="shared" ca="1" si="47"/>
        <v>105</v>
      </c>
    </row>
    <row r="278" spans="1:19">
      <c r="A278" s="2992" t="str">
        <f>Sheet1!F259</f>
        <v>4-710</v>
      </c>
      <c r="B278" s="2992">
        <f>Sheet1!G259</f>
        <v>60.69</v>
      </c>
      <c r="C278" s="11">
        <f t="shared" si="38"/>
        <v>1</v>
      </c>
      <c r="D278" s="2994"/>
      <c r="E278" s="11">
        <f t="shared" si="39"/>
        <v>1</v>
      </c>
      <c r="F278" s="2994"/>
      <c r="G278" s="11">
        <f t="shared" si="40"/>
        <v>1</v>
      </c>
      <c r="H278" s="2994"/>
      <c r="I278" s="11">
        <f t="shared" si="41"/>
        <v>1</v>
      </c>
      <c r="J278" s="2994"/>
      <c r="K278" s="11">
        <f t="shared" si="42"/>
        <v>1</v>
      </c>
      <c r="L278" s="2994"/>
      <c r="M278" s="11">
        <f t="shared" si="43"/>
        <v>1</v>
      </c>
      <c r="N278" s="2994"/>
      <c r="O278" s="11">
        <f t="shared" si="44"/>
        <v>1</v>
      </c>
      <c r="P278" s="2994"/>
      <c r="Q278" s="11">
        <f t="shared" si="45"/>
        <v>1</v>
      </c>
      <c r="R278" s="712">
        <f t="shared" ca="1" si="46"/>
        <v>17260</v>
      </c>
      <c r="S278" s="2959">
        <f t="shared" ca="1" si="47"/>
        <v>105</v>
      </c>
    </row>
    <row r="279" spans="1:19">
      <c r="A279" s="2992" t="str">
        <f>Sheet1!F260</f>
        <v>4-711</v>
      </c>
      <c r="B279" s="2992">
        <f>Sheet1!G260</f>
        <v>60.69</v>
      </c>
      <c r="C279" s="11">
        <f t="shared" si="38"/>
        <v>1</v>
      </c>
      <c r="D279" s="2994"/>
      <c r="E279" s="11">
        <f t="shared" si="39"/>
        <v>1</v>
      </c>
      <c r="F279" s="2994"/>
      <c r="G279" s="11">
        <f t="shared" si="40"/>
        <v>1</v>
      </c>
      <c r="H279" s="2994"/>
      <c r="I279" s="11">
        <f t="shared" si="41"/>
        <v>1</v>
      </c>
      <c r="J279" s="2994"/>
      <c r="K279" s="11">
        <f t="shared" si="42"/>
        <v>1</v>
      </c>
      <c r="L279" s="2994"/>
      <c r="M279" s="11">
        <f t="shared" si="43"/>
        <v>1</v>
      </c>
      <c r="N279" s="2994"/>
      <c r="O279" s="11">
        <f t="shared" si="44"/>
        <v>1</v>
      </c>
      <c r="P279" s="2994"/>
      <c r="Q279" s="11">
        <f t="shared" si="45"/>
        <v>1</v>
      </c>
      <c r="R279" s="712">
        <f t="shared" ca="1" si="46"/>
        <v>17260</v>
      </c>
      <c r="S279" s="2959">
        <f t="shared" ca="1" si="47"/>
        <v>105</v>
      </c>
    </row>
    <row r="280" spans="1:19">
      <c r="A280" s="2992" t="str">
        <f>Sheet1!F261</f>
        <v>4-712</v>
      </c>
      <c r="B280" s="2992">
        <f>Sheet1!G261</f>
        <v>48.86</v>
      </c>
      <c r="C280" s="11">
        <f t="shared" si="38"/>
        <v>1</v>
      </c>
      <c r="D280" s="2994"/>
      <c r="E280" s="11">
        <f t="shared" si="39"/>
        <v>1</v>
      </c>
      <c r="F280" s="2994"/>
      <c r="G280" s="11">
        <f t="shared" si="40"/>
        <v>1</v>
      </c>
      <c r="H280" s="2994"/>
      <c r="I280" s="11">
        <f t="shared" si="41"/>
        <v>1</v>
      </c>
      <c r="J280" s="2994"/>
      <c r="K280" s="11">
        <f t="shared" si="42"/>
        <v>1</v>
      </c>
      <c r="L280" s="2994"/>
      <c r="M280" s="11">
        <f t="shared" si="43"/>
        <v>1</v>
      </c>
      <c r="N280" s="2994"/>
      <c r="O280" s="11">
        <f t="shared" si="44"/>
        <v>1</v>
      </c>
      <c r="P280" s="2994"/>
      <c r="Q280" s="11">
        <f t="shared" si="45"/>
        <v>1</v>
      </c>
      <c r="R280" s="712">
        <f t="shared" ca="1" si="46"/>
        <v>17260</v>
      </c>
      <c r="S280" s="2959">
        <f t="shared" ca="1" si="47"/>
        <v>84</v>
      </c>
    </row>
    <row r="281" spans="1:19">
      <c r="A281" s="2992" t="str">
        <f>Sheet1!F262</f>
        <v>4-713</v>
      </c>
      <c r="B281" s="2992">
        <f>Sheet1!G262</f>
        <v>48.86</v>
      </c>
      <c r="C281" s="11">
        <f t="shared" si="38"/>
        <v>1</v>
      </c>
      <c r="D281" s="2994"/>
      <c r="E281" s="11">
        <f t="shared" si="39"/>
        <v>1</v>
      </c>
      <c r="F281" s="2994"/>
      <c r="G281" s="11">
        <f t="shared" si="40"/>
        <v>1</v>
      </c>
      <c r="H281" s="2994"/>
      <c r="I281" s="11">
        <f t="shared" si="41"/>
        <v>1</v>
      </c>
      <c r="J281" s="2994"/>
      <c r="K281" s="11">
        <f t="shared" si="42"/>
        <v>1</v>
      </c>
      <c r="L281" s="2994"/>
      <c r="M281" s="11">
        <f t="shared" si="43"/>
        <v>1</v>
      </c>
      <c r="N281" s="2994"/>
      <c r="O281" s="11">
        <f t="shared" si="44"/>
        <v>1</v>
      </c>
      <c r="P281" s="2994"/>
      <c r="Q281" s="11">
        <f t="shared" si="45"/>
        <v>1</v>
      </c>
      <c r="R281" s="712">
        <f t="shared" ca="1" si="46"/>
        <v>17260</v>
      </c>
      <c r="S281" s="2959">
        <f t="shared" ca="1" si="47"/>
        <v>84</v>
      </c>
    </row>
    <row r="282" spans="1:19">
      <c r="A282" s="2992" t="str">
        <f>Sheet1!F263</f>
        <v>4-714</v>
      </c>
      <c r="B282" s="2992">
        <f>Sheet1!G263</f>
        <v>48.86</v>
      </c>
      <c r="C282" s="11">
        <f t="shared" ref="C282:C345" si="48">IF(B282="",1,(LOOKUP(B282,$3:$3,$4:$4)-LOOKUP($B$24,$3:$3,$4:$4)+100)/100)</f>
        <v>1</v>
      </c>
      <c r="D282" s="2994"/>
      <c r="E282" s="11">
        <f t="shared" ref="E282:E345" si="49">(SUMIF($5:$5,D282,$6:$6)-SUMIF($5:$5,$D$24,$6:$6)+100)/100</f>
        <v>1</v>
      </c>
      <c r="F282" s="2994"/>
      <c r="G282" s="11">
        <f t="shared" ref="G282:G345" si="50">(SUMIF($7:$7,F282,$8:$8)-SUMIF($7:$7,$F$24,$8:$8)+100)/100</f>
        <v>1</v>
      </c>
      <c r="H282" s="2994"/>
      <c r="I282" s="11">
        <f t="shared" ref="I282:I345" si="51">(SUMIF($9:$9,H282,$10:$10)-SUMIF($9:$9,$H$24,$10:$10)+100)/100</f>
        <v>1</v>
      </c>
      <c r="J282" s="2994"/>
      <c r="K282" s="11">
        <f t="shared" ref="K282:K345" si="52">(SUMIF($11:$11,J282,$12:$12)-SUMIF($11:$11,$J$24,$12:$12)+100)/100</f>
        <v>1</v>
      </c>
      <c r="L282" s="2994"/>
      <c r="M282" s="11">
        <f t="shared" ref="M282:M345" si="53">(SUMIF($13:$13,L282,$14:$14)-SUMIF($13:$13,$L$24,$14:$14)+100)/100</f>
        <v>1</v>
      </c>
      <c r="N282" s="2994"/>
      <c r="O282" s="11">
        <f t="shared" ref="O282:O345" si="54">(SUMIF($15:$15,N282,$16:$16)-SUMIF($15:$15,$N$24,$16:$16)+100)/100</f>
        <v>1</v>
      </c>
      <c r="P282" s="2994"/>
      <c r="Q282" s="11">
        <f t="shared" ref="Q282:Q345" si="55">(SUMIF($17:$17,P282,$18:$18)-SUMIF($17:$17,$P$24,$18:$18)+100)/100</f>
        <v>1</v>
      </c>
      <c r="R282" s="712">
        <f t="shared" ref="R282:R345" ca="1" si="56">IF(B282="",0,ROUND($R$24*C282*E282*G282*I282*K282*M282*O282*Q282,0))</f>
        <v>17260</v>
      </c>
      <c r="S282" s="2959">
        <f t="shared" ca="1" si="47"/>
        <v>84</v>
      </c>
    </row>
    <row r="283" spans="1:19">
      <c r="A283" s="2992" t="str">
        <f>Sheet1!F264</f>
        <v>4-715</v>
      </c>
      <c r="B283" s="2992">
        <f>Sheet1!G264</f>
        <v>54.87</v>
      </c>
      <c r="C283" s="11">
        <f t="shared" si="48"/>
        <v>1</v>
      </c>
      <c r="D283" s="2994"/>
      <c r="E283" s="11">
        <f t="shared" si="49"/>
        <v>1</v>
      </c>
      <c r="F283" s="2994"/>
      <c r="G283" s="11">
        <f t="shared" si="50"/>
        <v>1</v>
      </c>
      <c r="H283" s="2994"/>
      <c r="I283" s="11">
        <f t="shared" si="51"/>
        <v>1</v>
      </c>
      <c r="J283" s="2994"/>
      <c r="K283" s="11">
        <f t="shared" si="52"/>
        <v>1</v>
      </c>
      <c r="L283" s="2994"/>
      <c r="M283" s="11">
        <f t="shared" si="53"/>
        <v>1</v>
      </c>
      <c r="N283" s="2994"/>
      <c r="O283" s="11">
        <f t="shared" si="54"/>
        <v>1</v>
      </c>
      <c r="P283" s="2994"/>
      <c r="Q283" s="11">
        <f t="shared" si="55"/>
        <v>1</v>
      </c>
      <c r="R283" s="712">
        <f t="shared" ca="1" si="56"/>
        <v>17260</v>
      </c>
      <c r="S283" s="2959">
        <f t="shared" ca="1" si="47"/>
        <v>95</v>
      </c>
    </row>
    <row r="284" spans="1:19">
      <c r="A284" s="2992" t="str">
        <f>Sheet1!F265</f>
        <v>4-716</v>
      </c>
      <c r="B284" s="2992">
        <f>Sheet1!G265</f>
        <v>88.13</v>
      </c>
      <c r="C284" s="11">
        <f t="shared" si="48"/>
        <v>1</v>
      </c>
      <c r="D284" s="2994"/>
      <c r="E284" s="11">
        <f t="shared" si="49"/>
        <v>1</v>
      </c>
      <c r="F284" s="2994"/>
      <c r="G284" s="11">
        <f t="shared" si="50"/>
        <v>1</v>
      </c>
      <c r="H284" s="2994"/>
      <c r="I284" s="11">
        <f t="shared" si="51"/>
        <v>1</v>
      </c>
      <c r="J284" s="2994"/>
      <c r="K284" s="11">
        <f t="shared" si="52"/>
        <v>1</v>
      </c>
      <c r="L284" s="2994"/>
      <c r="M284" s="11">
        <f t="shared" si="53"/>
        <v>1</v>
      </c>
      <c r="N284" s="2994"/>
      <c r="O284" s="11">
        <f t="shared" si="54"/>
        <v>1</v>
      </c>
      <c r="P284" s="2994"/>
      <c r="Q284" s="11">
        <f t="shared" si="55"/>
        <v>1</v>
      </c>
      <c r="R284" s="712">
        <f t="shared" ca="1" si="56"/>
        <v>17260</v>
      </c>
      <c r="S284" s="2959">
        <f t="shared" ca="1" si="47"/>
        <v>152</v>
      </c>
    </row>
    <row r="285" spans="1:19">
      <c r="A285" s="2992" t="str">
        <f>Sheet1!F266</f>
        <v>4-717</v>
      </c>
      <c r="B285" s="2992">
        <f>Sheet1!G266</f>
        <v>5.81</v>
      </c>
      <c r="C285" s="11">
        <f t="shared" si="48"/>
        <v>1</v>
      </c>
      <c r="D285" s="2994"/>
      <c r="E285" s="11">
        <f t="shared" si="49"/>
        <v>1</v>
      </c>
      <c r="F285" s="2994"/>
      <c r="G285" s="11">
        <f t="shared" si="50"/>
        <v>1</v>
      </c>
      <c r="H285" s="2994"/>
      <c r="I285" s="11">
        <f t="shared" si="51"/>
        <v>1</v>
      </c>
      <c r="J285" s="2994"/>
      <c r="K285" s="11">
        <f t="shared" si="52"/>
        <v>1</v>
      </c>
      <c r="L285" s="2994"/>
      <c r="M285" s="11">
        <f t="shared" si="53"/>
        <v>1</v>
      </c>
      <c r="N285" s="2994"/>
      <c r="O285" s="11">
        <f t="shared" si="54"/>
        <v>1</v>
      </c>
      <c r="P285" s="2994"/>
      <c r="Q285" s="11">
        <f t="shared" si="55"/>
        <v>1</v>
      </c>
      <c r="R285" s="712">
        <f t="shared" ca="1" si="56"/>
        <v>17260</v>
      </c>
      <c r="S285" s="2959">
        <f t="shared" ca="1" si="47"/>
        <v>10</v>
      </c>
    </row>
    <row r="286" spans="1:19">
      <c r="A286" s="2992" t="str">
        <f>Sheet1!F267</f>
        <v>1-801</v>
      </c>
      <c r="B286" s="2992">
        <f>Sheet1!G267</f>
        <v>186.33</v>
      </c>
      <c r="C286" s="11">
        <f t="shared" si="48"/>
        <v>0.99</v>
      </c>
      <c r="D286" s="2994"/>
      <c r="E286" s="11">
        <f t="shared" si="49"/>
        <v>1</v>
      </c>
      <c r="F286" s="2994"/>
      <c r="G286" s="11">
        <f t="shared" si="50"/>
        <v>1</v>
      </c>
      <c r="H286" s="2994"/>
      <c r="I286" s="11">
        <f t="shared" si="51"/>
        <v>1</v>
      </c>
      <c r="J286" s="2994"/>
      <c r="K286" s="11">
        <f t="shared" si="52"/>
        <v>1</v>
      </c>
      <c r="L286" s="2994"/>
      <c r="M286" s="11">
        <f t="shared" si="53"/>
        <v>1</v>
      </c>
      <c r="N286" s="2994"/>
      <c r="O286" s="11">
        <f t="shared" si="54"/>
        <v>1</v>
      </c>
      <c r="P286" s="2994"/>
      <c r="Q286" s="11">
        <f t="shared" si="55"/>
        <v>1</v>
      </c>
      <c r="R286" s="712">
        <f t="shared" ca="1" si="56"/>
        <v>17087</v>
      </c>
      <c r="S286" s="2959">
        <f t="shared" ca="1" si="47"/>
        <v>318</v>
      </c>
    </row>
    <row r="287" spans="1:19">
      <c r="A287" s="2992" t="str">
        <f>Sheet1!F268</f>
        <v>1-802</v>
      </c>
      <c r="B287" s="2992">
        <f>Sheet1!G268</f>
        <v>188.39</v>
      </c>
      <c r="C287" s="11">
        <f t="shared" si="48"/>
        <v>0.99</v>
      </c>
      <c r="D287" s="2994"/>
      <c r="E287" s="11">
        <f t="shared" si="49"/>
        <v>1</v>
      </c>
      <c r="F287" s="2994"/>
      <c r="G287" s="11">
        <f t="shared" si="50"/>
        <v>1</v>
      </c>
      <c r="H287" s="2994"/>
      <c r="I287" s="11">
        <f t="shared" si="51"/>
        <v>1</v>
      </c>
      <c r="J287" s="2994"/>
      <c r="K287" s="11">
        <f t="shared" si="52"/>
        <v>1</v>
      </c>
      <c r="L287" s="2994"/>
      <c r="M287" s="11">
        <f t="shared" si="53"/>
        <v>1</v>
      </c>
      <c r="N287" s="2994"/>
      <c r="O287" s="11">
        <f t="shared" si="54"/>
        <v>1</v>
      </c>
      <c r="P287" s="2994"/>
      <c r="Q287" s="11">
        <f t="shared" si="55"/>
        <v>1</v>
      </c>
      <c r="R287" s="712">
        <f t="shared" ca="1" si="56"/>
        <v>17087</v>
      </c>
      <c r="S287" s="2959">
        <f t="shared" ref="S287:S320" ca="1" si="57">ROUND(R287*B287/10000,0)</f>
        <v>322</v>
      </c>
    </row>
    <row r="288" spans="1:19">
      <c r="A288" s="2992" t="str">
        <f>Sheet1!F269</f>
        <v>1-803</v>
      </c>
      <c r="B288" s="2992">
        <f>Sheet1!G269</f>
        <v>188.39</v>
      </c>
      <c r="C288" s="11">
        <f t="shared" si="48"/>
        <v>0.99</v>
      </c>
      <c r="D288" s="2994"/>
      <c r="E288" s="11">
        <f t="shared" si="49"/>
        <v>1</v>
      </c>
      <c r="F288" s="2994"/>
      <c r="G288" s="11">
        <f t="shared" si="50"/>
        <v>1</v>
      </c>
      <c r="H288" s="2994"/>
      <c r="I288" s="11">
        <f t="shared" si="51"/>
        <v>1</v>
      </c>
      <c r="J288" s="2994"/>
      <c r="K288" s="11">
        <f t="shared" si="52"/>
        <v>1</v>
      </c>
      <c r="L288" s="2994"/>
      <c r="M288" s="11">
        <f t="shared" si="53"/>
        <v>1</v>
      </c>
      <c r="N288" s="2994"/>
      <c r="O288" s="11">
        <f t="shared" si="54"/>
        <v>1</v>
      </c>
      <c r="P288" s="2994"/>
      <c r="Q288" s="11">
        <f t="shared" si="55"/>
        <v>1</v>
      </c>
      <c r="R288" s="712">
        <f t="shared" ca="1" si="56"/>
        <v>17087</v>
      </c>
      <c r="S288" s="2959">
        <f t="shared" ca="1" si="57"/>
        <v>322</v>
      </c>
    </row>
    <row r="289" spans="1:19">
      <c r="A289" s="2992" t="str">
        <f>Sheet1!F270</f>
        <v>1-804</v>
      </c>
      <c r="B289" s="2992">
        <f>Sheet1!G270</f>
        <v>188.39</v>
      </c>
      <c r="C289" s="11">
        <f t="shared" si="48"/>
        <v>0.99</v>
      </c>
      <c r="D289" s="2994"/>
      <c r="E289" s="11">
        <f t="shared" si="49"/>
        <v>1</v>
      </c>
      <c r="F289" s="2994"/>
      <c r="G289" s="11">
        <f t="shared" si="50"/>
        <v>1</v>
      </c>
      <c r="H289" s="2994"/>
      <c r="I289" s="11">
        <f t="shared" si="51"/>
        <v>1</v>
      </c>
      <c r="J289" s="2994"/>
      <c r="K289" s="11">
        <f t="shared" si="52"/>
        <v>1</v>
      </c>
      <c r="L289" s="2994"/>
      <c r="M289" s="11">
        <f t="shared" si="53"/>
        <v>1</v>
      </c>
      <c r="N289" s="2994"/>
      <c r="O289" s="11">
        <f t="shared" si="54"/>
        <v>1</v>
      </c>
      <c r="P289" s="2994"/>
      <c r="Q289" s="11">
        <f t="shared" si="55"/>
        <v>1</v>
      </c>
      <c r="R289" s="712">
        <f t="shared" ca="1" si="56"/>
        <v>17087</v>
      </c>
      <c r="S289" s="2959">
        <f t="shared" ca="1" si="57"/>
        <v>322</v>
      </c>
    </row>
    <row r="290" spans="1:19">
      <c r="A290" s="2992" t="str">
        <f>Sheet1!F271</f>
        <v>1-805</v>
      </c>
      <c r="B290" s="2992">
        <f>Sheet1!G271</f>
        <v>188.39</v>
      </c>
      <c r="C290" s="11">
        <f t="shared" si="48"/>
        <v>0.99</v>
      </c>
      <c r="D290" s="2994"/>
      <c r="E290" s="11">
        <f t="shared" si="49"/>
        <v>1</v>
      </c>
      <c r="F290" s="2994"/>
      <c r="G290" s="11">
        <f t="shared" si="50"/>
        <v>1</v>
      </c>
      <c r="H290" s="2994"/>
      <c r="I290" s="11">
        <f t="shared" si="51"/>
        <v>1</v>
      </c>
      <c r="J290" s="2994"/>
      <c r="K290" s="11">
        <f t="shared" si="52"/>
        <v>1</v>
      </c>
      <c r="L290" s="2994"/>
      <c r="M290" s="11">
        <f t="shared" si="53"/>
        <v>1</v>
      </c>
      <c r="N290" s="2994"/>
      <c r="O290" s="11">
        <f t="shared" si="54"/>
        <v>1</v>
      </c>
      <c r="P290" s="2994"/>
      <c r="Q290" s="11">
        <f t="shared" si="55"/>
        <v>1</v>
      </c>
      <c r="R290" s="712">
        <f t="shared" ca="1" si="56"/>
        <v>17087</v>
      </c>
      <c r="S290" s="2959">
        <f t="shared" ca="1" si="57"/>
        <v>322</v>
      </c>
    </row>
    <row r="291" spans="1:19">
      <c r="A291" s="2992" t="str">
        <f>Sheet1!F272</f>
        <v>1-806</v>
      </c>
      <c r="B291" s="2992">
        <f>Sheet1!G272</f>
        <v>188.39</v>
      </c>
      <c r="C291" s="11">
        <f t="shared" si="48"/>
        <v>0.99</v>
      </c>
      <c r="D291" s="2994"/>
      <c r="E291" s="11">
        <f t="shared" si="49"/>
        <v>1</v>
      </c>
      <c r="F291" s="2994"/>
      <c r="G291" s="11">
        <f t="shared" si="50"/>
        <v>1</v>
      </c>
      <c r="H291" s="2994"/>
      <c r="I291" s="11">
        <f t="shared" si="51"/>
        <v>1</v>
      </c>
      <c r="J291" s="2994"/>
      <c r="K291" s="11">
        <f t="shared" si="52"/>
        <v>1</v>
      </c>
      <c r="L291" s="2994"/>
      <c r="M291" s="11">
        <f t="shared" si="53"/>
        <v>1</v>
      </c>
      <c r="N291" s="2994"/>
      <c r="O291" s="11">
        <f t="shared" si="54"/>
        <v>1</v>
      </c>
      <c r="P291" s="2994"/>
      <c r="Q291" s="11">
        <f t="shared" si="55"/>
        <v>1</v>
      </c>
      <c r="R291" s="712">
        <f t="shared" ca="1" si="56"/>
        <v>17087</v>
      </c>
      <c r="S291" s="2959">
        <f t="shared" ca="1" si="57"/>
        <v>322</v>
      </c>
    </row>
    <row r="292" spans="1:19">
      <c r="A292" s="2992" t="str">
        <f>Sheet1!F273</f>
        <v>1-807</v>
      </c>
      <c r="B292" s="2992">
        <f>Sheet1!G273</f>
        <v>187.53</v>
      </c>
      <c r="C292" s="11">
        <f t="shared" si="48"/>
        <v>0.99</v>
      </c>
      <c r="D292" s="2994"/>
      <c r="E292" s="11">
        <f t="shared" si="49"/>
        <v>1</v>
      </c>
      <c r="F292" s="2994"/>
      <c r="G292" s="11">
        <f t="shared" si="50"/>
        <v>1</v>
      </c>
      <c r="H292" s="2994"/>
      <c r="I292" s="11">
        <f t="shared" si="51"/>
        <v>1</v>
      </c>
      <c r="J292" s="2994"/>
      <c r="K292" s="11">
        <f t="shared" si="52"/>
        <v>1</v>
      </c>
      <c r="L292" s="2994"/>
      <c r="M292" s="11">
        <f t="shared" si="53"/>
        <v>1</v>
      </c>
      <c r="N292" s="2994"/>
      <c r="O292" s="11">
        <f t="shared" si="54"/>
        <v>1</v>
      </c>
      <c r="P292" s="2994"/>
      <c r="Q292" s="11">
        <f t="shared" si="55"/>
        <v>1</v>
      </c>
      <c r="R292" s="712">
        <f t="shared" ca="1" si="56"/>
        <v>17087</v>
      </c>
      <c r="S292" s="2959">
        <f t="shared" ca="1" si="57"/>
        <v>320</v>
      </c>
    </row>
    <row r="293" spans="1:19">
      <c r="A293" s="2992" t="str">
        <f>Sheet1!F274</f>
        <v>1-808</v>
      </c>
      <c r="B293" s="2992">
        <f>Sheet1!G274</f>
        <v>210.19</v>
      </c>
      <c r="C293" s="11">
        <f t="shared" si="48"/>
        <v>0.98</v>
      </c>
      <c r="D293" s="2994"/>
      <c r="E293" s="11">
        <f t="shared" si="49"/>
        <v>1</v>
      </c>
      <c r="F293" s="2994"/>
      <c r="G293" s="11">
        <f t="shared" si="50"/>
        <v>1</v>
      </c>
      <c r="H293" s="2994"/>
      <c r="I293" s="11">
        <f t="shared" si="51"/>
        <v>1</v>
      </c>
      <c r="J293" s="2994"/>
      <c r="K293" s="11">
        <f t="shared" si="52"/>
        <v>1</v>
      </c>
      <c r="L293" s="2994"/>
      <c r="M293" s="11">
        <f t="shared" si="53"/>
        <v>1</v>
      </c>
      <c r="N293" s="2994"/>
      <c r="O293" s="11">
        <f t="shared" si="54"/>
        <v>1</v>
      </c>
      <c r="P293" s="2994"/>
      <c r="Q293" s="11">
        <f t="shared" si="55"/>
        <v>1</v>
      </c>
      <c r="R293" s="712">
        <f t="shared" ca="1" si="56"/>
        <v>16915</v>
      </c>
      <c r="S293" s="2959">
        <f t="shared" ca="1" si="57"/>
        <v>356</v>
      </c>
    </row>
    <row r="294" spans="1:19">
      <c r="A294" s="2992" t="str">
        <f>Sheet1!F275</f>
        <v>1-809</v>
      </c>
      <c r="B294" s="2992">
        <f>Sheet1!G275</f>
        <v>169.2</v>
      </c>
      <c r="C294" s="11">
        <f t="shared" si="48"/>
        <v>0.99</v>
      </c>
      <c r="D294" s="2994"/>
      <c r="E294" s="11">
        <f t="shared" si="49"/>
        <v>1</v>
      </c>
      <c r="F294" s="2994"/>
      <c r="G294" s="11">
        <f t="shared" si="50"/>
        <v>1</v>
      </c>
      <c r="H294" s="2994"/>
      <c r="I294" s="11">
        <f t="shared" si="51"/>
        <v>1</v>
      </c>
      <c r="J294" s="2994"/>
      <c r="K294" s="11">
        <f t="shared" si="52"/>
        <v>1</v>
      </c>
      <c r="L294" s="2994"/>
      <c r="M294" s="11">
        <f t="shared" si="53"/>
        <v>1</v>
      </c>
      <c r="N294" s="2994"/>
      <c r="O294" s="11">
        <f t="shared" si="54"/>
        <v>1</v>
      </c>
      <c r="P294" s="2994"/>
      <c r="Q294" s="11">
        <f t="shared" si="55"/>
        <v>1</v>
      </c>
      <c r="R294" s="712">
        <f t="shared" ca="1" si="56"/>
        <v>17087</v>
      </c>
      <c r="S294" s="2959">
        <f t="shared" ca="1" si="57"/>
        <v>289</v>
      </c>
    </row>
    <row r="295" spans="1:19">
      <c r="A295" s="2992" t="str">
        <f>Sheet1!F276</f>
        <v>1-810</v>
      </c>
      <c r="B295" s="2992">
        <f>Sheet1!G276</f>
        <v>178.35</v>
      </c>
      <c r="C295" s="11">
        <f t="shared" si="48"/>
        <v>0.99</v>
      </c>
      <c r="D295" s="2994"/>
      <c r="E295" s="11">
        <f t="shared" si="49"/>
        <v>1</v>
      </c>
      <c r="F295" s="2994"/>
      <c r="G295" s="11">
        <f t="shared" si="50"/>
        <v>1</v>
      </c>
      <c r="H295" s="2994"/>
      <c r="I295" s="11">
        <f t="shared" si="51"/>
        <v>1</v>
      </c>
      <c r="J295" s="2994"/>
      <c r="K295" s="11">
        <f t="shared" si="52"/>
        <v>1</v>
      </c>
      <c r="L295" s="2994"/>
      <c r="M295" s="11">
        <f t="shared" si="53"/>
        <v>1</v>
      </c>
      <c r="N295" s="2994"/>
      <c r="O295" s="11">
        <f t="shared" si="54"/>
        <v>1</v>
      </c>
      <c r="P295" s="2994"/>
      <c r="Q295" s="11">
        <f t="shared" si="55"/>
        <v>1</v>
      </c>
      <c r="R295" s="712">
        <f t="shared" ca="1" si="56"/>
        <v>17087</v>
      </c>
      <c r="S295" s="2959">
        <f t="shared" ca="1" si="57"/>
        <v>305</v>
      </c>
    </row>
    <row r="296" spans="1:19">
      <c r="A296" s="2992" t="str">
        <f>Sheet1!F277</f>
        <v>1-811</v>
      </c>
      <c r="B296" s="2992">
        <f>Sheet1!G277</f>
        <v>208.92</v>
      </c>
      <c r="C296" s="11">
        <f t="shared" si="48"/>
        <v>0.98</v>
      </c>
      <c r="D296" s="2994"/>
      <c r="E296" s="11">
        <f t="shared" si="49"/>
        <v>1</v>
      </c>
      <c r="F296" s="2994"/>
      <c r="G296" s="11">
        <f t="shared" si="50"/>
        <v>1</v>
      </c>
      <c r="H296" s="2994"/>
      <c r="I296" s="11">
        <f t="shared" si="51"/>
        <v>1</v>
      </c>
      <c r="J296" s="2994"/>
      <c r="K296" s="11">
        <f t="shared" si="52"/>
        <v>1</v>
      </c>
      <c r="L296" s="2994"/>
      <c r="M296" s="11">
        <f t="shared" si="53"/>
        <v>1</v>
      </c>
      <c r="N296" s="2994"/>
      <c r="O296" s="11">
        <f t="shared" si="54"/>
        <v>1</v>
      </c>
      <c r="P296" s="2994"/>
      <c r="Q296" s="11">
        <f t="shared" si="55"/>
        <v>1</v>
      </c>
      <c r="R296" s="712">
        <f t="shared" ca="1" si="56"/>
        <v>16915</v>
      </c>
      <c r="S296" s="2959">
        <f t="shared" ca="1" si="57"/>
        <v>353</v>
      </c>
    </row>
    <row r="297" spans="1:19">
      <c r="A297" s="2992" t="str">
        <f>Sheet1!F278</f>
        <v>1-812</v>
      </c>
      <c r="B297" s="2992">
        <f>Sheet1!G278</f>
        <v>188.35</v>
      </c>
      <c r="C297" s="11">
        <f t="shared" si="48"/>
        <v>0.99</v>
      </c>
      <c r="D297" s="2994"/>
      <c r="E297" s="11">
        <f t="shared" si="49"/>
        <v>1</v>
      </c>
      <c r="F297" s="2994"/>
      <c r="G297" s="11">
        <f t="shared" si="50"/>
        <v>1</v>
      </c>
      <c r="H297" s="2994"/>
      <c r="I297" s="11">
        <f t="shared" si="51"/>
        <v>1</v>
      </c>
      <c r="J297" s="2994"/>
      <c r="K297" s="11">
        <f t="shared" si="52"/>
        <v>1</v>
      </c>
      <c r="L297" s="2994"/>
      <c r="M297" s="11">
        <f t="shared" si="53"/>
        <v>1</v>
      </c>
      <c r="N297" s="2994"/>
      <c r="O297" s="11">
        <f t="shared" si="54"/>
        <v>1</v>
      </c>
      <c r="P297" s="2994"/>
      <c r="Q297" s="11">
        <f t="shared" si="55"/>
        <v>1</v>
      </c>
      <c r="R297" s="712">
        <f t="shared" ca="1" si="56"/>
        <v>17087</v>
      </c>
      <c r="S297" s="2959">
        <f t="shared" ca="1" si="57"/>
        <v>322</v>
      </c>
    </row>
    <row r="298" spans="1:19">
      <c r="A298" s="2992" t="str">
        <f>Sheet1!F279</f>
        <v>1-813</v>
      </c>
      <c r="B298" s="2992">
        <f>Sheet1!G279</f>
        <v>188.39</v>
      </c>
      <c r="C298" s="11">
        <f t="shared" si="48"/>
        <v>0.99</v>
      </c>
      <c r="D298" s="2994"/>
      <c r="E298" s="11">
        <f t="shared" si="49"/>
        <v>1</v>
      </c>
      <c r="F298" s="2994"/>
      <c r="G298" s="11">
        <f t="shared" si="50"/>
        <v>1</v>
      </c>
      <c r="H298" s="2994"/>
      <c r="I298" s="11">
        <f t="shared" si="51"/>
        <v>1</v>
      </c>
      <c r="J298" s="2994"/>
      <c r="K298" s="11">
        <f t="shared" si="52"/>
        <v>1</v>
      </c>
      <c r="L298" s="2994"/>
      <c r="M298" s="11">
        <f t="shared" si="53"/>
        <v>1</v>
      </c>
      <c r="N298" s="2994"/>
      <c r="O298" s="11">
        <f t="shared" si="54"/>
        <v>1</v>
      </c>
      <c r="P298" s="2994"/>
      <c r="Q298" s="11">
        <f t="shared" si="55"/>
        <v>1</v>
      </c>
      <c r="R298" s="712">
        <f t="shared" ca="1" si="56"/>
        <v>17087</v>
      </c>
      <c r="S298" s="2959">
        <f t="shared" ca="1" si="57"/>
        <v>322</v>
      </c>
    </row>
    <row r="299" spans="1:19">
      <c r="A299" s="2992" t="str">
        <f>Sheet1!F280</f>
        <v>1-814</v>
      </c>
      <c r="B299" s="2992">
        <f>Sheet1!G280</f>
        <v>188.39</v>
      </c>
      <c r="C299" s="11">
        <f t="shared" si="48"/>
        <v>0.99</v>
      </c>
      <c r="D299" s="2994"/>
      <c r="E299" s="11">
        <f t="shared" si="49"/>
        <v>1</v>
      </c>
      <c r="F299" s="2994"/>
      <c r="G299" s="11">
        <f t="shared" si="50"/>
        <v>1</v>
      </c>
      <c r="H299" s="2994"/>
      <c r="I299" s="11">
        <f t="shared" si="51"/>
        <v>1</v>
      </c>
      <c r="J299" s="2994"/>
      <c r="K299" s="11">
        <f t="shared" si="52"/>
        <v>1</v>
      </c>
      <c r="L299" s="2994"/>
      <c r="M299" s="11">
        <f t="shared" si="53"/>
        <v>1</v>
      </c>
      <c r="N299" s="2994"/>
      <c r="O299" s="11">
        <f t="shared" si="54"/>
        <v>1</v>
      </c>
      <c r="P299" s="2994"/>
      <c r="Q299" s="11">
        <f t="shared" si="55"/>
        <v>1</v>
      </c>
      <c r="R299" s="712">
        <f t="shared" ca="1" si="56"/>
        <v>17087</v>
      </c>
      <c r="S299" s="2959">
        <f t="shared" ca="1" si="57"/>
        <v>322</v>
      </c>
    </row>
    <row r="300" spans="1:19">
      <c r="A300" s="2992" t="str">
        <f>Sheet1!F281</f>
        <v>1-815</v>
      </c>
      <c r="B300" s="2992">
        <f>Sheet1!G281</f>
        <v>188.39</v>
      </c>
      <c r="C300" s="11">
        <f t="shared" si="48"/>
        <v>0.99</v>
      </c>
      <c r="D300" s="2994"/>
      <c r="E300" s="11">
        <f t="shared" si="49"/>
        <v>1</v>
      </c>
      <c r="F300" s="2994"/>
      <c r="G300" s="11">
        <f t="shared" si="50"/>
        <v>1</v>
      </c>
      <c r="H300" s="2994"/>
      <c r="I300" s="11">
        <f t="shared" si="51"/>
        <v>1</v>
      </c>
      <c r="J300" s="2994"/>
      <c r="K300" s="11">
        <f t="shared" si="52"/>
        <v>1</v>
      </c>
      <c r="L300" s="2994"/>
      <c r="M300" s="11">
        <f t="shared" si="53"/>
        <v>1</v>
      </c>
      <c r="N300" s="2994"/>
      <c r="O300" s="11">
        <f t="shared" si="54"/>
        <v>1</v>
      </c>
      <c r="P300" s="2994"/>
      <c r="Q300" s="11">
        <f t="shared" si="55"/>
        <v>1</v>
      </c>
      <c r="R300" s="712">
        <f t="shared" ca="1" si="56"/>
        <v>17087</v>
      </c>
      <c r="S300" s="2959">
        <f t="shared" ca="1" si="57"/>
        <v>322</v>
      </c>
    </row>
    <row r="301" spans="1:19">
      <c r="A301" s="2992" t="str">
        <f>Sheet1!F282</f>
        <v>1-816</v>
      </c>
      <c r="B301" s="2992">
        <f>Sheet1!G282</f>
        <v>188.39</v>
      </c>
      <c r="C301" s="11">
        <f t="shared" si="48"/>
        <v>0.99</v>
      </c>
      <c r="D301" s="2994"/>
      <c r="E301" s="11">
        <f t="shared" si="49"/>
        <v>1</v>
      </c>
      <c r="F301" s="2994"/>
      <c r="G301" s="11">
        <f t="shared" si="50"/>
        <v>1</v>
      </c>
      <c r="H301" s="2994"/>
      <c r="I301" s="11">
        <f t="shared" si="51"/>
        <v>1</v>
      </c>
      <c r="J301" s="2994"/>
      <c r="K301" s="11">
        <f t="shared" si="52"/>
        <v>1</v>
      </c>
      <c r="L301" s="2994"/>
      <c r="M301" s="11">
        <f t="shared" si="53"/>
        <v>1</v>
      </c>
      <c r="N301" s="2994"/>
      <c r="O301" s="11">
        <f t="shared" si="54"/>
        <v>1</v>
      </c>
      <c r="P301" s="2994"/>
      <c r="Q301" s="11">
        <f t="shared" si="55"/>
        <v>1</v>
      </c>
      <c r="R301" s="712">
        <f t="shared" ca="1" si="56"/>
        <v>17087</v>
      </c>
      <c r="S301" s="2959">
        <f t="shared" ca="1" si="57"/>
        <v>322</v>
      </c>
    </row>
    <row r="302" spans="1:19">
      <c r="A302" s="2992" t="str">
        <f>Sheet1!F283</f>
        <v>1-817</v>
      </c>
      <c r="B302" s="2992">
        <f>Sheet1!G283</f>
        <v>188.39</v>
      </c>
      <c r="C302" s="11">
        <f t="shared" si="48"/>
        <v>0.99</v>
      </c>
      <c r="D302" s="2994"/>
      <c r="E302" s="11">
        <f t="shared" si="49"/>
        <v>1</v>
      </c>
      <c r="F302" s="2994"/>
      <c r="G302" s="11">
        <f t="shared" si="50"/>
        <v>1</v>
      </c>
      <c r="H302" s="2994"/>
      <c r="I302" s="11">
        <f t="shared" si="51"/>
        <v>1</v>
      </c>
      <c r="J302" s="2994"/>
      <c r="K302" s="11">
        <f t="shared" si="52"/>
        <v>1</v>
      </c>
      <c r="L302" s="2994"/>
      <c r="M302" s="11">
        <f t="shared" si="53"/>
        <v>1</v>
      </c>
      <c r="N302" s="2994"/>
      <c r="O302" s="11">
        <f t="shared" si="54"/>
        <v>1</v>
      </c>
      <c r="P302" s="2994"/>
      <c r="Q302" s="11">
        <f t="shared" si="55"/>
        <v>1</v>
      </c>
      <c r="R302" s="712">
        <f t="shared" ca="1" si="56"/>
        <v>17087</v>
      </c>
      <c r="S302" s="2959">
        <f t="shared" ca="1" si="57"/>
        <v>322</v>
      </c>
    </row>
    <row r="303" spans="1:19">
      <c r="A303" s="2992" t="str">
        <f>Sheet1!F284</f>
        <v>1-818</v>
      </c>
      <c r="B303" s="2992">
        <f>Sheet1!G284</f>
        <v>279.91000000000003</v>
      </c>
      <c r="C303" s="11">
        <f t="shared" si="48"/>
        <v>0.98</v>
      </c>
      <c r="D303" s="2994"/>
      <c r="E303" s="11">
        <f t="shared" si="49"/>
        <v>1</v>
      </c>
      <c r="F303" s="2994"/>
      <c r="G303" s="11">
        <f t="shared" si="50"/>
        <v>1</v>
      </c>
      <c r="H303" s="2994"/>
      <c r="I303" s="11">
        <f t="shared" si="51"/>
        <v>1</v>
      </c>
      <c r="J303" s="2994"/>
      <c r="K303" s="11">
        <f t="shared" si="52"/>
        <v>1</v>
      </c>
      <c r="L303" s="2994"/>
      <c r="M303" s="11">
        <f t="shared" si="53"/>
        <v>1</v>
      </c>
      <c r="N303" s="2994"/>
      <c r="O303" s="11">
        <f t="shared" si="54"/>
        <v>1</v>
      </c>
      <c r="P303" s="2994"/>
      <c r="Q303" s="11">
        <f t="shared" si="55"/>
        <v>1</v>
      </c>
      <c r="R303" s="712">
        <f t="shared" ca="1" si="56"/>
        <v>16915</v>
      </c>
      <c r="S303" s="2959">
        <f t="shared" ca="1" si="57"/>
        <v>473</v>
      </c>
    </row>
    <row r="304" spans="1:19">
      <c r="A304" s="2992" t="str">
        <f>Sheet1!F285</f>
        <v>1-819</v>
      </c>
      <c r="B304" s="2992">
        <f>Sheet1!G285</f>
        <v>175.75</v>
      </c>
      <c r="C304" s="11">
        <f t="shared" si="48"/>
        <v>0.99</v>
      </c>
      <c r="D304" s="2994"/>
      <c r="E304" s="11">
        <f t="shared" si="49"/>
        <v>1</v>
      </c>
      <c r="F304" s="2994"/>
      <c r="G304" s="11">
        <f t="shared" si="50"/>
        <v>1</v>
      </c>
      <c r="H304" s="2994"/>
      <c r="I304" s="11">
        <f t="shared" si="51"/>
        <v>1</v>
      </c>
      <c r="J304" s="2994"/>
      <c r="K304" s="11">
        <f t="shared" si="52"/>
        <v>1</v>
      </c>
      <c r="L304" s="2994"/>
      <c r="M304" s="11">
        <f t="shared" si="53"/>
        <v>1</v>
      </c>
      <c r="N304" s="2994"/>
      <c r="O304" s="11">
        <f t="shared" si="54"/>
        <v>1</v>
      </c>
      <c r="P304" s="2994"/>
      <c r="Q304" s="11">
        <f t="shared" si="55"/>
        <v>1</v>
      </c>
      <c r="R304" s="712">
        <f t="shared" ca="1" si="56"/>
        <v>17087</v>
      </c>
      <c r="S304" s="2959">
        <f t="shared" ca="1" si="57"/>
        <v>300</v>
      </c>
    </row>
    <row r="305" spans="1:19">
      <c r="A305" s="2992" t="str">
        <f>Sheet1!F286</f>
        <v>1-820</v>
      </c>
      <c r="B305" s="2992">
        <f>Sheet1!G286</f>
        <v>188.32</v>
      </c>
      <c r="C305" s="11">
        <f t="shared" si="48"/>
        <v>0.99</v>
      </c>
      <c r="D305" s="2994"/>
      <c r="E305" s="11">
        <f t="shared" si="49"/>
        <v>1</v>
      </c>
      <c r="F305" s="2994"/>
      <c r="G305" s="11">
        <f t="shared" si="50"/>
        <v>1</v>
      </c>
      <c r="H305" s="2994"/>
      <c r="I305" s="11">
        <f t="shared" si="51"/>
        <v>1</v>
      </c>
      <c r="J305" s="2994"/>
      <c r="K305" s="11">
        <f t="shared" si="52"/>
        <v>1</v>
      </c>
      <c r="L305" s="2994"/>
      <c r="M305" s="11">
        <f t="shared" si="53"/>
        <v>1</v>
      </c>
      <c r="N305" s="2994"/>
      <c r="O305" s="11">
        <f t="shared" si="54"/>
        <v>1</v>
      </c>
      <c r="P305" s="2994"/>
      <c r="Q305" s="11">
        <f t="shared" si="55"/>
        <v>1</v>
      </c>
      <c r="R305" s="712">
        <f t="shared" ca="1" si="56"/>
        <v>17087</v>
      </c>
      <c r="S305" s="2959">
        <f t="shared" ca="1" si="57"/>
        <v>322</v>
      </c>
    </row>
    <row r="306" spans="1:19">
      <c r="A306" s="2992" t="str">
        <f>Sheet1!F287</f>
        <v>2-801</v>
      </c>
      <c r="B306" s="2992">
        <f>Sheet1!G287</f>
        <v>210.22</v>
      </c>
      <c r="C306" s="11">
        <f t="shared" si="48"/>
        <v>0.98</v>
      </c>
      <c r="D306" s="2994"/>
      <c r="E306" s="11">
        <f t="shared" si="49"/>
        <v>1</v>
      </c>
      <c r="F306" s="2994"/>
      <c r="G306" s="11">
        <f t="shared" si="50"/>
        <v>1</v>
      </c>
      <c r="H306" s="2994"/>
      <c r="I306" s="11">
        <f t="shared" si="51"/>
        <v>1</v>
      </c>
      <c r="J306" s="2994"/>
      <c r="K306" s="11">
        <f t="shared" si="52"/>
        <v>1</v>
      </c>
      <c r="L306" s="2994"/>
      <c r="M306" s="11">
        <f t="shared" si="53"/>
        <v>1</v>
      </c>
      <c r="N306" s="2994"/>
      <c r="O306" s="11">
        <f t="shared" si="54"/>
        <v>1</v>
      </c>
      <c r="P306" s="2994"/>
      <c r="Q306" s="11">
        <f t="shared" si="55"/>
        <v>1</v>
      </c>
      <c r="R306" s="712">
        <f t="shared" ca="1" si="56"/>
        <v>16915</v>
      </c>
      <c r="S306" s="2959">
        <f t="shared" ca="1" si="57"/>
        <v>356</v>
      </c>
    </row>
    <row r="307" spans="1:19">
      <c r="A307" s="2992" t="str">
        <f>Sheet1!F288</f>
        <v>2-802</v>
      </c>
      <c r="B307" s="2992">
        <f>Sheet1!G288</f>
        <v>187.56</v>
      </c>
      <c r="C307" s="11">
        <f t="shared" si="48"/>
        <v>0.99</v>
      </c>
      <c r="D307" s="2994"/>
      <c r="E307" s="11">
        <f t="shared" si="49"/>
        <v>1</v>
      </c>
      <c r="F307" s="2994"/>
      <c r="G307" s="11">
        <f t="shared" si="50"/>
        <v>1</v>
      </c>
      <c r="H307" s="2994"/>
      <c r="I307" s="11">
        <f t="shared" si="51"/>
        <v>1</v>
      </c>
      <c r="J307" s="2994"/>
      <c r="K307" s="11">
        <f t="shared" si="52"/>
        <v>1</v>
      </c>
      <c r="L307" s="2994"/>
      <c r="M307" s="11">
        <f t="shared" si="53"/>
        <v>1</v>
      </c>
      <c r="N307" s="2994"/>
      <c r="O307" s="11">
        <f t="shared" si="54"/>
        <v>1</v>
      </c>
      <c r="P307" s="2994"/>
      <c r="Q307" s="11">
        <f t="shared" si="55"/>
        <v>1</v>
      </c>
      <c r="R307" s="712">
        <f t="shared" ca="1" si="56"/>
        <v>17087</v>
      </c>
      <c r="S307" s="2959">
        <f t="shared" ca="1" si="57"/>
        <v>320</v>
      </c>
    </row>
    <row r="308" spans="1:19">
      <c r="A308" s="2992" t="str">
        <f>Sheet1!F289</f>
        <v>2-803</v>
      </c>
      <c r="B308" s="2992">
        <f>Sheet1!G289</f>
        <v>188.42</v>
      </c>
      <c r="C308" s="11">
        <f t="shared" si="48"/>
        <v>0.99</v>
      </c>
      <c r="D308" s="2994"/>
      <c r="E308" s="11">
        <f t="shared" si="49"/>
        <v>1</v>
      </c>
      <c r="F308" s="2994"/>
      <c r="G308" s="11">
        <f t="shared" si="50"/>
        <v>1</v>
      </c>
      <c r="H308" s="2994"/>
      <c r="I308" s="11">
        <f t="shared" si="51"/>
        <v>1</v>
      </c>
      <c r="J308" s="2994"/>
      <c r="K308" s="11">
        <f t="shared" si="52"/>
        <v>1</v>
      </c>
      <c r="L308" s="2994"/>
      <c r="M308" s="11">
        <f t="shared" si="53"/>
        <v>1</v>
      </c>
      <c r="N308" s="2994"/>
      <c r="O308" s="11">
        <f t="shared" si="54"/>
        <v>1</v>
      </c>
      <c r="P308" s="2994"/>
      <c r="Q308" s="11">
        <f t="shared" si="55"/>
        <v>1</v>
      </c>
      <c r="R308" s="712">
        <f t="shared" ca="1" si="56"/>
        <v>17087</v>
      </c>
      <c r="S308" s="2959">
        <f t="shared" ca="1" si="57"/>
        <v>322</v>
      </c>
    </row>
    <row r="309" spans="1:19">
      <c r="A309" s="2992" t="str">
        <f>Sheet1!F290</f>
        <v>2-804</v>
      </c>
      <c r="B309" s="2992">
        <f>Sheet1!G290</f>
        <v>188.42</v>
      </c>
      <c r="C309" s="11">
        <f t="shared" si="48"/>
        <v>0.99</v>
      </c>
      <c r="D309" s="2994"/>
      <c r="E309" s="11">
        <f t="shared" si="49"/>
        <v>1</v>
      </c>
      <c r="F309" s="2994"/>
      <c r="G309" s="11">
        <f t="shared" si="50"/>
        <v>1</v>
      </c>
      <c r="H309" s="2994"/>
      <c r="I309" s="11">
        <f t="shared" si="51"/>
        <v>1</v>
      </c>
      <c r="J309" s="2994"/>
      <c r="K309" s="11">
        <f t="shared" si="52"/>
        <v>1</v>
      </c>
      <c r="L309" s="2994"/>
      <c r="M309" s="11">
        <f t="shared" si="53"/>
        <v>1</v>
      </c>
      <c r="N309" s="2994"/>
      <c r="O309" s="11">
        <f t="shared" si="54"/>
        <v>1</v>
      </c>
      <c r="P309" s="2994"/>
      <c r="Q309" s="11">
        <f t="shared" si="55"/>
        <v>1</v>
      </c>
      <c r="R309" s="712">
        <f t="shared" ca="1" si="56"/>
        <v>17087</v>
      </c>
      <c r="S309" s="2959">
        <f t="shared" ca="1" si="57"/>
        <v>322</v>
      </c>
    </row>
    <row r="310" spans="1:19">
      <c r="A310" s="2992" t="str">
        <f>Sheet1!F291</f>
        <v>2-805</v>
      </c>
      <c r="B310" s="2992">
        <f>Sheet1!G291</f>
        <v>188.42</v>
      </c>
      <c r="C310" s="11">
        <f t="shared" si="48"/>
        <v>0.99</v>
      </c>
      <c r="D310" s="2994"/>
      <c r="E310" s="11">
        <f t="shared" si="49"/>
        <v>1</v>
      </c>
      <c r="F310" s="2994"/>
      <c r="G310" s="11">
        <f t="shared" si="50"/>
        <v>1</v>
      </c>
      <c r="H310" s="2994"/>
      <c r="I310" s="11">
        <f t="shared" si="51"/>
        <v>1</v>
      </c>
      <c r="J310" s="2994"/>
      <c r="K310" s="11">
        <f t="shared" si="52"/>
        <v>1</v>
      </c>
      <c r="L310" s="2994"/>
      <c r="M310" s="11">
        <f t="shared" si="53"/>
        <v>1</v>
      </c>
      <c r="N310" s="2994"/>
      <c r="O310" s="11">
        <f t="shared" si="54"/>
        <v>1</v>
      </c>
      <c r="P310" s="2994"/>
      <c r="Q310" s="11">
        <f t="shared" si="55"/>
        <v>1</v>
      </c>
      <c r="R310" s="712">
        <f t="shared" ca="1" si="56"/>
        <v>17087</v>
      </c>
      <c r="S310" s="2959">
        <f t="shared" ca="1" si="57"/>
        <v>322</v>
      </c>
    </row>
    <row r="311" spans="1:19">
      <c r="A311" s="2992" t="str">
        <f>Sheet1!F292</f>
        <v>2-806</v>
      </c>
      <c r="B311" s="2992">
        <f>Sheet1!G292</f>
        <v>188.42</v>
      </c>
      <c r="C311" s="11">
        <f t="shared" si="48"/>
        <v>0.99</v>
      </c>
      <c r="D311" s="2994"/>
      <c r="E311" s="11">
        <f t="shared" si="49"/>
        <v>1</v>
      </c>
      <c r="F311" s="2994"/>
      <c r="G311" s="11">
        <f t="shared" si="50"/>
        <v>1</v>
      </c>
      <c r="H311" s="2994"/>
      <c r="I311" s="11">
        <f t="shared" si="51"/>
        <v>1</v>
      </c>
      <c r="J311" s="2994"/>
      <c r="K311" s="11">
        <f t="shared" si="52"/>
        <v>1</v>
      </c>
      <c r="L311" s="2994"/>
      <c r="M311" s="11">
        <f t="shared" si="53"/>
        <v>1</v>
      </c>
      <c r="N311" s="2994"/>
      <c r="O311" s="11">
        <f t="shared" si="54"/>
        <v>1</v>
      </c>
      <c r="P311" s="2994"/>
      <c r="Q311" s="11">
        <f t="shared" si="55"/>
        <v>1</v>
      </c>
      <c r="R311" s="712">
        <f t="shared" ca="1" si="56"/>
        <v>17087</v>
      </c>
      <c r="S311" s="2959">
        <f t="shared" ca="1" si="57"/>
        <v>322</v>
      </c>
    </row>
    <row r="312" spans="1:19">
      <c r="A312" s="2992" t="str">
        <f>Sheet1!F293</f>
        <v>2-807</v>
      </c>
      <c r="B312" s="2992">
        <f>Sheet1!G293</f>
        <v>188.42</v>
      </c>
      <c r="C312" s="11">
        <f t="shared" si="48"/>
        <v>0.99</v>
      </c>
      <c r="D312" s="2994"/>
      <c r="E312" s="11">
        <f t="shared" si="49"/>
        <v>1</v>
      </c>
      <c r="F312" s="2994"/>
      <c r="G312" s="11">
        <f t="shared" si="50"/>
        <v>1</v>
      </c>
      <c r="H312" s="2994"/>
      <c r="I312" s="11">
        <f t="shared" si="51"/>
        <v>1</v>
      </c>
      <c r="J312" s="2994"/>
      <c r="K312" s="11">
        <f t="shared" si="52"/>
        <v>1</v>
      </c>
      <c r="L312" s="2994"/>
      <c r="M312" s="11">
        <f t="shared" si="53"/>
        <v>1</v>
      </c>
      <c r="N312" s="2994"/>
      <c r="O312" s="11">
        <f t="shared" si="54"/>
        <v>1</v>
      </c>
      <c r="P312" s="2994"/>
      <c r="Q312" s="11">
        <f t="shared" si="55"/>
        <v>1</v>
      </c>
      <c r="R312" s="712">
        <f t="shared" ca="1" si="56"/>
        <v>17087</v>
      </c>
      <c r="S312" s="2959">
        <f t="shared" ca="1" si="57"/>
        <v>322</v>
      </c>
    </row>
    <row r="313" spans="1:19">
      <c r="A313" s="2992" t="str">
        <f>Sheet1!F294</f>
        <v>2-808</v>
      </c>
      <c r="B313" s="2992">
        <f>Sheet1!G294</f>
        <v>186.36</v>
      </c>
      <c r="C313" s="11">
        <f t="shared" si="48"/>
        <v>0.99</v>
      </c>
      <c r="D313" s="2994"/>
      <c r="E313" s="11">
        <f t="shared" si="49"/>
        <v>1</v>
      </c>
      <c r="F313" s="2994"/>
      <c r="G313" s="11">
        <f t="shared" si="50"/>
        <v>1</v>
      </c>
      <c r="H313" s="2994"/>
      <c r="I313" s="11">
        <f t="shared" si="51"/>
        <v>1</v>
      </c>
      <c r="J313" s="2994"/>
      <c r="K313" s="11">
        <f t="shared" si="52"/>
        <v>1</v>
      </c>
      <c r="L313" s="2994"/>
      <c r="M313" s="11">
        <f t="shared" si="53"/>
        <v>1</v>
      </c>
      <c r="N313" s="2994"/>
      <c r="O313" s="11">
        <f t="shared" si="54"/>
        <v>1</v>
      </c>
      <c r="P313" s="2994"/>
      <c r="Q313" s="11">
        <f t="shared" si="55"/>
        <v>1</v>
      </c>
      <c r="R313" s="712">
        <f t="shared" ca="1" si="56"/>
        <v>17087</v>
      </c>
      <c r="S313" s="2959">
        <f t="shared" ca="1" si="57"/>
        <v>318</v>
      </c>
    </row>
    <row r="314" spans="1:19">
      <c r="A314" s="2992" t="str">
        <f>Sheet1!F295</f>
        <v>2-809</v>
      </c>
      <c r="B314" s="2992">
        <f>Sheet1!G295</f>
        <v>188.36</v>
      </c>
      <c r="C314" s="11">
        <f t="shared" si="48"/>
        <v>0.99</v>
      </c>
      <c r="D314" s="2994"/>
      <c r="E314" s="11">
        <f t="shared" si="49"/>
        <v>1</v>
      </c>
      <c r="F314" s="2994"/>
      <c r="G314" s="11">
        <f t="shared" si="50"/>
        <v>1</v>
      </c>
      <c r="H314" s="2994"/>
      <c r="I314" s="11">
        <f t="shared" si="51"/>
        <v>1</v>
      </c>
      <c r="J314" s="2994"/>
      <c r="K314" s="11">
        <f t="shared" si="52"/>
        <v>1</v>
      </c>
      <c r="L314" s="2994"/>
      <c r="M314" s="11">
        <f t="shared" si="53"/>
        <v>1</v>
      </c>
      <c r="N314" s="2994"/>
      <c r="O314" s="11">
        <f t="shared" si="54"/>
        <v>1</v>
      </c>
      <c r="P314" s="2994"/>
      <c r="Q314" s="11">
        <f t="shared" si="55"/>
        <v>1</v>
      </c>
      <c r="R314" s="712">
        <f t="shared" ca="1" si="56"/>
        <v>17087</v>
      </c>
      <c r="S314" s="2959">
        <f t="shared" ca="1" si="57"/>
        <v>322</v>
      </c>
    </row>
    <row r="315" spans="1:19">
      <c r="A315" s="2992" t="str">
        <f>Sheet1!F296</f>
        <v>2-810</v>
      </c>
      <c r="B315" s="2992">
        <f>Sheet1!G296</f>
        <v>175.78</v>
      </c>
      <c r="C315" s="11">
        <f t="shared" si="48"/>
        <v>0.99</v>
      </c>
      <c r="D315" s="2994"/>
      <c r="E315" s="11">
        <f t="shared" si="49"/>
        <v>1</v>
      </c>
      <c r="F315" s="2994"/>
      <c r="G315" s="11">
        <f t="shared" si="50"/>
        <v>1</v>
      </c>
      <c r="H315" s="2994"/>
      <c r="I315" s="11">
        <f t="shared" si="51"/>
        <v>1</v>
      </c>
      <c r="J315" s="2994"/>
      <c r="K315" s="11">
        <f t="shared" si="52"/>
        <v>1</v>
      </c>
      <c r="L315" s="2994"/>
      <c r="M315" s="11">
        <f t="shared" si="53"/>
        <v>1</v>
      </c>
      <c r="N315" s="2994"/>
      <c r="O315" s="11">
        <f t="shared" si="54"/>
        <v>1</v>
      </c>
      <c r="P315" s="2994"/>
      <c r="Q315" s="11">
        <f t="shared" si="55"/>
        <v>1</v>
      </c>
      <c r="R315" s="712">
        <f t="shared" ca="1" si="56"/>
        <v>17087</v>
      </c>
      <c r="S315" s="2959">
        <f t="shared" ca="1" si="57"/>
        <v>300</v>
      </c>
    </row>
    <row r="316" spans="1:19">
      <c r="A316" s="2992" t="str">
        <f>Sheet1!F297</f>
        <v>2-811</v>
      </c>
      <c r="B316" s="2992">
        <f>Sheet1!G297</f>
        <v>279.95999999999998</v>
      </c>
      <c r="C316" s="11">
        <f t="shared" si="48"/>
        <v>0.98</v>
      </c>
      <c r="D316" s="2994"/>
      <c r="E316" s="11">
        <f t="shared" si="49"/>
        <v>1</v>
      </c>
      <c r="F316" s="2994"/>
      <c r="G316" s="11">
        <f t="shared" si="50"/>
        <v>1</v>
      </c>
      <c r="H316" s="2994"/>
      <c r="I316" s="11">
        <f t="shared" si="51"/>
        <v>1</v>
      </c>
      <c r="J316" s="2994"/>
      <c r="K316" s="11">
        <f t="shared" si="52"/>
        <v>1</v>
      </c>
      <c r="L316" s="2994"/>
      <c r="M316" s="11">
        <f t="shared" si="53"/>
        <v>1</v>
      </c>
      <c r="N316" s="2994"/>
      <c r="O316" s="11">
        <f t="shared" si="54"/>
        <v>1</v>
      </c>
      <c r="P316" s="2994"/>
      <c r="Q316" s="11">
        <f t="shared" si="55"/>
        <v>1</v>
      </c>
      <c r="R316" s="712">
        <f t="shared" ca="1" si="56"/>
        <v>16915</v>
      </c>
      <c r="S316" s="2959">
        <f t="shared" ca="1" si="57"/>
        <v>474</v>
      </c>
    </row>
    <row r="317" spans="1:19">
      <c r="A317" s="2992" t="str">
        <f>Sheet1!F298</f>
        <v>2-812</v>
      </c>
      <c r="B317" s="2992">
        <f>Sheet1!G298</f>
        <v>188.43</v>
      </c>
      <c r="C317" s="11">
        <f t="shared" si="48"/>
        <v>0.99</v>
      </c>
      <c r="D317" s="2994"/>
      <c r="E317" s="11">
        <f t="shared" si="49"/>
        <v>1</v>
      </c>
      <c r="F317" s="2994"/>
      <c r="G317" s="11">
        <f t="shared" si="50"/>
        <v>1</v>
      </c>
      <c r="H317" s="2994"/>
      <c r="I317" s="11">
        <f t="shared" si="51"/>
        <v>1</v>
      </c>
      <c r="J317" s="2994"/>
      <c r="K317" s="11">
        <f t="shared" si="52"/>
        <v>1</v>
      </c>
      <c r="L317" s="2994"/>
      <c r="M317" s="11">
        <f t="shared" si="53"/>
        <v>1</v>
      </c>
      <c r="N317" s="2994"/>
      <c r="O317" s="11">
        <f t="shared" si="54"/>
        <v>1</v>
      </c>
      <c r="P317" s="2994"/>
      <c r="Q317" s="11">
        <f t="shared" si="55"/>
        <v>1</v>
      </c>
      <c r="R317" s="712">
        <f t="shared" ca="1" si="56"/>
        <v>17087</v>
      </c>
      <c r="S317" s="2959">
        <f t="shared" ca="1" si="57"/>
        <v>322</v>
      </c>
    </row>
    <row r="318" spans="1:19">
      <c r="A318" s="2992" t="str">
        <f>Sheet1!F299</f>
        <v>2-813</v>
      </c>
      <c r="B318" s="2992">
        <f>Sheet1!G299</f>
        <v>188.43</v>
      </c>
      <c r="C318" s="11">
        <f t="shared" si="48"/>
        <v>0.99</v>
      </c>
      <c r="D318" s="2994"/>
      <c r="E318" s="11">
        <f t="shared" si="49"/>
        <v>1</v>
      </c>
      <c r="F318" s="2994"/>
      <c r="G318" s="11">
        <f t="shared" si="50"/>
        <v>1</v>
      </c>
      <c r="H318" s="2994"/>
      <c r="I318" s="11">
        <f t="shared" si="51"/>
        <v>1</v>
      </c>
      <c r="J318" s="2994"/>
      <c r="K318" s="11">
        <f t="shared" si="52"/>
        <v>1</v>
      </c>
      <c r="L318" s="2994"/>
      <c r="M318" s="11">
        <f t="shared" si="53"/>
        <v>1</v>
      </c>
      <c r="N318" s="2994"/>
      <c r="O318" s="11">
        <f t="shared" si="54"/>
        <v>1</v>
      </c>
      <c r="P318" s="2994"/>
      <c r="Q318" s="11">
        <f t="shared" si="55"/>
        <v>1</v>
      </c>
      <c r="R318" s="712">
        <f t="shared" ca="1" si="56"/>
        <v>17087</v>
      </c>
      <c r="S318" s="2959">
        <f t="shared" ca="1" si="57"/>
        <v>322</v>
      </c>
    </row>
    <row r="319" spans="1:19">
      <c r="A319" s="2992" t="str">
        <f>Sheet1!F300</f>
        <v>2-814</v>
      </c>
      <c r="B319" s="2992">
        <f>Sheet1!G300</f>
        <v>188.43</v>
      </c>
      <c r="C319" s="11">
        <f t="shared" si="48"/>
        <v>0.99</v>
      </c>
      <c r="D319" s="2994"/>
      <c r="E319" s="11">
        <f t="shared" si="49"/>
        <v>1</v>
      </c>
      <c r="F319" s="2994"/>
      <c r="G319" s="11">
        <f t="shared" si="50"/>
        <v>1</v>
      </c>
      <c r="H319" s="2994"/>
      <c r="I319" s="11">
        <f t="shared" si="51"/>
        <v>1</v>
      </c>
      <c r="J319" s="2994"/>
      <c r="K319" s="11">
        <f t="shared" si="52"/>
        <v>1</v>
      </c>
      <c r="L319" s="2994"/>
      <c r="M319" s="11">
        <f t="shared" si="53"/>
        <v>1</v>
      </c>
      <c r="N319" s="2994"/>
      <c r="O319" s="11">
        <f t="shared" si="54"/>
        <v>1</v>
      </c>
      <c r="P319" s="2994"/>
      <c r="Q319" s="11">
        <f t="shared" si="55"/>
        <v>1</v>
      </c>
      <c r="R319" s="712">
        <f t="shared" ca="1" si="56"/>
        <v>17087</v>
      </c>
      <c r="S319" s="2959">
        <f t="shared" ca="1" si="57"/>
        <v>322</v>
      </c>
    </row>
    <row r="320" spans="1:19">
      <c r="A320" s="2992" t="str">
        <f>Sheet1!F301</f>
        <v>2-815</v>
      </c>
      <c r="B320" s="2992">
        <f>Sheet1!G301</f>
        <v>188.43</v>
      </c>
      <c r="C320" s="11">
        <f t="shared" si="48"/>
        <v>0.99</v>
      </c>
      <c r="D320" s="2994"/>
      <c r="E320" s="11">
        <f t="shared" si="49"/>
        <v>1</v>
      </c>
      <c r="F320" s="2994"/>
      <c r="G320" s="11">
        <f t="shared" si="50"/>
        <v>1</v>
      </c>
      <c r="H320" s="2994"/>
      <c r="I320" s="11">
        <f t="shared" si="51"/>
        <v>1</v>
      </c>
      <c r="J320" s="2994"/>
      <c r="K320" s="11">
        <f t="shared" si="52"/>
        <v>1</v>
      </c>
      <c r="L320" s="2994"/>
      <c r="M320" s="11">
        <f t="shared" si="53"/>
        <v>1</v>
      </c>
      <c r="N320" s="2994"/>
      <c r="O320" s="11">
        <f t="shared" si="54"/>
        <v>1</v>
      </c>
      <c r="P320" s="2994"/>
      <c r="Q320" s="11">
        <f t="shared" si="55"/>
        <v>1</v>
      </c>
      <c r="R320" s="712">
        <f t="shared" ca="1" si="56"/>
        <v>17087</v>
      </c>
      <c r="S320" s="2959">
        <f t="shared" ca="1" si="57"/>
        <v>322</v>
      </c>
    </row>
    <row r="321" spans="1:19">
      <c r="A321" s="2992" t="str">
        <f>Sheet1!F302</f>
        <v>2-816</v>
      </c>
      <c r="B321" s="2992">
        <f>Sheet1!G302</f>
        <v>188.43</v>
      </c>
      <c r="C321" s="11">
        <f t="shared" si="48"/>
        <v>0.99</v>
      </c>
      <c r="D321" s="2994"/>
      <c r="E321" s="11">
        <f t="shared" si="49"/>
        <v>1</v>
      </c>
      <c r="F321" s="2994"/>
      <c r="G321" s="11">
        <f t="shared" si="50"/>
        <v>1</v>
      </c>
      <c r="H321" s="2994"/>
      <c r="I321" s="11">
        <f t="shared" si="51"/>
        <v>1</v>
      </c>
      <c r="J321" s="2994"/>
      <c r="K321" s="11">
        <f t="shared" si="52"/>
        <v>1</v>
      </c>
      <c r="L321" s="2994"/>
      <c r="M321" s="11">
        <f t="shared" si="53"/>
        <v>1</v>
      </c>
      <c r="N321" s="2994"/>
      <c r="O321" s="11">
        <f t="shared" si="54"/>
        <v>1</v>
      </c>
      <c r="P321" s="2994"/>
      <c r="Q321" s="11">
        <f t="shared" si="55"/>
        <v>1</v>
      </c>
      <c r="R321" s="712">
        <f t="shared" ca="1" si="56"/>
        <v>17087</v>
      </c>
      <c r="S321" s="2959">
        <f t="shared" ref="S321:S384" ca="1" si="58">ROUND(R321*B321/10000,0)</f>
        <v>322</v>
      </c>
    </row>
    <row r="322" spans="1:19">
      <c r="A322" s="2992" t="str">
        <f>Sheet1!F303</f>
        <v>2-817</v>
      </c>
      <c r="B322" s="2992">
        <f>Sheet1!G303</f>
        <v>188.38</v>
      </c>
      <c r="C322" s="11">
        <f t="shared" si="48"/>
        <v>0.99</v>
      </c>
      <c r="D322" s="2994"/>
      <c r="E322" s="11">
        <f t="shared" si="49"/>
        <v>1</v>
      </c>
      <c r="F322" s="2994"/>
      <c r="G322" s="11">
        <f t="shared" si="50"/>
        <v>1</v>
      </c>
      <c r="H322" s="2994"/>
      <c r="I322" s="11">
        <f t="shared" si="51"/>
        <v>1</v>
      </c>
      <c r="J322" s="2994"/>
      <c r="K322" s="11">
        <f t="shared" si="52"/>
        <v>1</v>
      </c>
      <c r="L322" s="2994"/>
      <c r="M322" s="11">
        <f t="shared" si="53"/>
        <v>1</v>
      </c>
      <c r="N322" s="2994"/>
      <c r="O322" s="11">
        <f t="shared" si="54"/>
        <v>1</v>
      </c>
      <c r="P322" s="2994"/>
      <c r="Q322" s="11">
        <f t="shared" si="55"/>
        <v>1</v>
      </c>
      <c r="R322" s="712">
        <f t="shared" ca="1" si="56"/>
        <v>17087</v>
      </c>
      <c r="S322" s="2959">
        <f t="shared" ca="1" si="58"/>
        <v>322</v>
      </c>
    </row>
    <row r="323" spans="1:19">
      <c r="A323" s="2992" t="str">
        <f>Sheet1!F304</f>
        <v>2-818</v>
      </c>
      <c r="B323" s="2992">
        <f>Sheet1!G304</f>
        <v>208.95</v>
      </c>
      <c r="C323" s="11">
        <f t="shared" si="48"/>
        <v>0.98</v>
      </c>
      <c r="D323" s="2994"/>
      <c r="E323" s="11">
        <f t="shared" si="49"/>
        <v>1</v>
      </c>
      <c r="F323" s="2994"/>
      <c r="G323" s="11">
        <f t="shared" si="50"/>
        <v>1</v>
      </c>
      <c r="H323" s="2994"/>
      <c r="I323" s="11">
        <f t="shared" si="51"/>
        <v>1</v>
      </c>
      <c r="J323" s="2994"/>
      <c r="K323" s="11">
        <f t="shared" si="52"/>
        <v>1</v>
      </c>
      <c r="L323" s="2994"/>
      <c r="M323" s="11">
        <f t="shared" si="53"/>
        <v>1</v>
      </c>
      <c r="N323" s="2994"/>
      <c r="O323" s="11">
        <f t="shared" si="54"/>
        <v>1</v>
      </c>
      <c r="P323" s="2994"/>
      <c r="Q323" s="11">
        <f t="shared" si="55"/>
        <v>1</v>
      </c>
      <c r="R323" s="712">
        <f t="shared" ca="1" si="56"/>
        <v>16915</v>
      </c>
      <c r="S323" s="2959">
        <f t="shared" ca="1" si="58"/>
        <v>353</v>
      </c>
    </row>
    <row r="324" spans="1:19">
      <c r="A324" s="2992" t="str">
        <f>Sheet1!F305</f>
        <v>2-819</v>
      </c>
      <c r="B324" s="2992">
        <f>Sheet1!G305</f>
        <v>189.85</v>
      </c>
      <c r="C324" s="11">
        <f t="shared" si="48"/>
        <v>0.99</v>
      </c>
      <c r="D324" s="2994"/>
      <c r="E324" s="11">
        <f t="shared" si="49"/>
        <v>1</v>
      </c>
      <c r="F324" s="2994"/>
      <c r="G324" s="11">
        <f t="shared" si="50"/>
        <v>1</v>
      </c>
      <c r="H324" s="2994"/>
      <c r="I324" s="11">
        <f t="shared" si="51"/>
        <v>1</v>
      </c>
      <c r="J324" s="2994"/>
      <c r="K324" s="11">
        <f t="shared" si="52"/>
        <v>1</v>
      </c>
      <c r="L324" s="2994"/>
      <c r="M324" s="11">
        <f t="shared" si="53"/>
        <v>1</v>
      </c>
      <c r="N324" s="2994"/>
      <c r="O324" s="11">
        <f t="shared" si="54"/>
        <v>1</v>
      </c>
      <c r="P324" s="2994"/>
      <c r="Q324" s="11">
        <f t="shared" si="55"/>
        <v>1</v>
      </c>
      <c r="R324" s="712">
        <f t="shared" ca="1" si="56"/>
        <v>17087</v>
      </c>
      <c r="S324" s="2959">
        <f t="shared" ca="1" si="58"/>
        <v>324</v>
      </c>
    </row>
    <row r="325" spans="1:19">
      <c r="A325" s="2992" t="str">
        <f>Sheet1!F306</f>
        <v>2-820</v>
      </c>
      <c r="B325" s="2992">
        <f>Sheet1!G306</f>
        <v>169.23</v>
      </c>
      <c r="C325" s="11">
        <f t="shared" si="48"/>
        <v>0.99</v>
      </c>
      <c r="D325" s="2994"/>
      <c r="E325" s="11">
        <f t="shared" si="49"/>
        <v>1</v>
      </c>
      <c r="F325" s="2994"/>
      <c r="G325" s="11">
        <f t="shared" si="50"/>
        <v>1</v>
      </c>
      <c r="H325" s="2994"/>
      <c r="I325" s="11">
        <f t="shared" si="51"/>
        <v>1</v>
      </c>
      <c r="J325" s="2994"/>
      <c r="K325" s="11">
        <f t="shared" si="52"/>
        <v>1</v>
      </c>
      <c r="L325" s="2994"/>
      <c r="M325" s="11">
        <f t="shared" si="53"/>
        <v>1</v>
      </c>
      <c r="N325" s="2994"/>
      <c r="O325" s="11">
        <f t="shared" si="54"/>
        <v>1</v>
      </c>
      <c r="P325" s="2994"/>
      <c r="Q325" s="11">
        <f t="shared" si="55"/>
        <v>1</v>
      </c>
      <c r="R325" s="712">
        <f t="shared" ca="1" si="56"/>
        <v>17087</v>
      </c>
      <c r="S325" s="2959">
        <f t="shared" ca="1" si="58"/>
        <v>289</v>
      </c>
    </row>
    <row r="326" spans="1:19">
      <c r="A326" s="2992" t="str">
        <f>Sheet1!F307</f>
        <v>3-801</v>
      </c>
      <c r="B326" s="2992">
        <f>Sheet1!G307</f>
        <v>55.7</v>
      </c>
      <c r="C326" s="11">
        <f t="shared" si="48"/>
        <v>1</v>
      </c>
      <c r="D326" s="2994"/>
      <c r="E326" s="11">
        <f t="shared" si="49"/>
        <v>1</v>
      </c>
      <c r="F326" s="2994"/>
      <c r="G326" s="11">
        <f t="shared" si="50"/>
        <v>1</v>
      </c>
      <c r="H326" s="2994"/>
      <c r="I326" s="11">
        <f t="shared" si="51"/>
        <v>1</v>
      </c>
      <c r="J326" s="2994"/>
      <c r="K326" s="11">
        <f t="shared" si="52"/>
        <v>1</v>
      </c>
      <c r="L326" s="2994"/>
      <c r="M326" s="11">
        <f t="shared" si="53"/>
        <v>1</v>
      </c>
      <c r="N326" s="2994"/>
      <c r="O326" s="11">
        <f t="shared" si="54"/>
        <v>1</v>
      </c>
      <c r="P326" s="2994"/>
      <c r="Q326" s="11">
        <f t="shared" si="55"/>
        <v>1</v>
      </c>
      <c r="R326" s="712">
        <f t="shared" ca="1" si="56"/>
        <v>17260</v>
      </c>
      <c r="S326" s="2959">
        <f t="shared" ca="1" si="58"/>
        <v>96</v>
      </c>
    </row>
    <row r="327" spans="1:19">
      <c r="A327" s="2992" t="str">
        <f>Sheet1!F308</f>
        <v>3-802</v>
      </c>
      <c r="B327" s="2992">
        <f>Sheet1!G308</f>
        <v>49.53</v>
      </c>
      <c r="C327" s="11">
        <f t="shared" si="48"/>
        <v>1</v>
      </c>
      <c r="D327" s="2994"/>
      <c r="E327" s="11">
        <f t="shared" si="49"/>
        <v>1</v>
      </c>
      <c r="F327" s="2994"/>
      <c r="G327" s="11">
        <f t="shared" si="50"/>
        <v>1</v>
      </c>
      <c r="H327" s="2994"/>
      <c r="I327" s="11">
        <f t="shared" si="51"/>
        <v>1</v>
      </c>
      <c r="J327" s="2994"/>
      <c r="K327" s="11">
        <f t="shared" si="52"/>
        <v>1</v>
      </c>
      <c r="L327" s="2994"/>
      <c r="M327" s="11">
        <f t="shared" si="53"/>
        <v>1</v>
      </c>
      <c r="N327" s="2994"/>
      <c r="O327" s="11">
        <f t="shared" si="54"/>
        <v>1</v>
      </c>
      <c r="P327" s="2994"/>
      <c r="Q327" s="11">
        <f t="shared" si="55"/>
        <v>1</v>
      </c>
      <c r="R327" s="712">
        <f t="shared" ca="1" si="56"/>
        <v>17260</v>
      </c>
      <c r="S327" s="2959">
        <f t="shared" ca="1" si="58"/>
        <v>85</v>
      </c>
    </row>
    <row r="328" spans="1:19">
      <c r="A328" s="2992" t="str">
        <f>Sheet1!F309</f>
        <v>3-803</v>
      </c>
      <c r="B328" s="2992">
        <f>Sheet1!G309</f>
        <v>50.63</v>
      </c>
      <c r="C328" s="11">
        <f t="shared" si="48"/>
        <v>1</v>
      </c>
      <c r="D328" s="2994"/>
      <c r="E328" s="11">
        <f t="shared" si="49"/>
        <v>1</v>
      </c>
      <c r="F328" s="2994"/>
      <c r="G328" s="11">
        <f t="shared" si="50"/>
        <v>1</v>
      </c>
      <c r="H328" s="2994"/>
      <c r="I328" s="11">
        <f t="shared" si="51"/>
        <v>1</v>
      </c>
      <c r="J328" s="2994"/>
      <c r="K328" s="11">
        <f t="shared" si="52"/>
        <v>1</v>
      </c>
      <c r="L328" s="2994"/>
      <c r="M328" s="11">
        <f t="shared" si="53"/>
        <v>1</v>
      </c>
      <c r="N328" s="2994"/>
      <c r="O328" s="11">
        <f t="shared" si="54"/>
        <v>1</v>
      </c>
      <c r="P328" s="2994"/>
      <c r="Q328" s="11">
        <f t="shared" si="55"/>
        <v>1</v>
      </c>
      <c r="R328" s="712">
        <f t="shared" ca="1" si="56"/>
        <v>17260</v>
      </c>
      <c r="S328" s="2959">
        <f t="shared" ca="1" si="58"/>
        <v>87</v>
      </c>
    </row>
    <row r="329" spans="1:19">
      <c r="A329" s="2992" t="str">
        <f>Sheet1!F310</f>
        <v>3-804</v>
      </c>
      <c r="B329" s="2992">
        <f>Sheet1!G310</f>
        <v>50.63</v>
      </c>
      <c r="C329" s="11">
        <f t="shared" si="48"/>
        <v>1</v>
      </c>
      <c r="D329" s="2994"/>
      <c r="E329" s="11">
        <f t="shared" si="49"/>
        <v>1</v>
      </c>
      <c r="F329" s="2994"/>
      <c r="G329" s="11">
        <f t="shared" si="50"/>
        <v>1</v>
      </c>
      <c r="H329" s="2994"/>
      <c r="I329" s="11">
        <f t="shared" si="51"/>
        <v>1</v>
      </c>
      <c r="J329" s="2994"/>
      <c r="K329" s="11">
        <f t="shared" si="52"/>
        <v>1</v>
      </c>
      <c r="L329" s="2994"/>
      <c r="M329" s="11">
        <f t="shared" si="53"/>
        <v>1</v>
      </c>
      <c r="N329" s="2994"/>
      <c r="O329" s="11">
        <f t="shared" si="54"/>
        <v>1</v>
      </c>
      <c r="P329" s="2994"/>
      <c r="Q329" s="11">
        <f t="shared" si="55"/>
        <v>1</v>
      </c>
      <c r="R329" s="712">
        <f t="shared" ca="1" si="56"/>
        <v>17260</v>
      </c>
      <c r="S329" s="2959">
        <f t="shared" ca="1" si="58"/>
        <v>87</v>
      </c>
    </row>
    <row r="330" spans="1:19">
      <c r="A330" s="2992" t="str">
        <f>Sheet1!F311</f>
        <v>3-805</v>
      </c>
      <c r="B330" s="2992">
        <f>Sheet1!G311</f>
        <v>50.63</v>
      </c>
      <c r="C330" s="11">
        <f t="shared" si="48"/>
        <v>1</v>
      </c>
      <c r="D330" s="2994"/>
      <c r="E330" s="11">
        <f t="shared" si="49"/>
        <v>1</v>
      </c>
      <c r="F330" s="2994"/>
      <c r="G330" s="11">
        <f t="shared" si="50"/>
        <v>1</v>
      </c>
      <c r="H330" s="2994"/>
      <c r="I330" s="11">
        <f t="shared" si="51"/>
        <v>1</v>
      </c>
      <c r="J330" s="2994"/>
      <c r="K330" s="11">
        <f t="shared" si="52"/>
        <v>1</v>
      </c>
      <c r="L330" s="2994"/>
      <c r="M330" s="11">
        <f t="shared" si="53"/>
        <v>1</v>
      </c>
      <c r="N330" s="2994"/>
      <c r="O330" s="11">
        <f t="shared" si="54"/>
        <v>1</v>
      </c>
      <c r="P330" s="2994"/>
      <c r="Q330" s="11">
        <f t="shared" si="55"/>
        <v>1</v>
      </c>
      <c r="R330" s="712">
        <f t="shared" ca="1" si="56"/>
        <v>17260</v>
      </c>
      <c r="S330" s="2959">
        <f t="shared" ca="1" si="58"/>
        <v>87</v>
      </c>
    </row>
    <row r="331" spans="1:19">
      <c r="A331" s="2992" t="str">
        <f>Sheet1!F312</f>
        <v>3-806</v>
      </c>
      <c r="B331" s="2992">
        <f>Sheet1!G312</f>
        <v>50.63</v>
      </c>
      <c r="C331" s="11">
        <f t="shared" si="48"/>
        <v>1</v>
      </c>
      <c r="D331" s="2994"/>
      <c r="E331" s="11">
        <f t="shared" si="49"/>
        <v>1</v>
      </c>
      <c r="F331" s="2994"/>
      <c r="G331" s="11">
        <f t="shared" si="50"/>
        <v>1</v>
      </c>
      <c r="H331" s="2994"/>
      <c r="I331" s="11">
        <f t="shared" si="51"/>
        <v>1</v>
      </c>
      <c r="J331" s="2994"/>
      <c r="K331" s="11">
        <f t="shared" si="52"/>
        <v>1</v>
      </c>
      <c r="L331" s="2994"/>
      <c r="M331" s="11">
        <f t="shared" si="53"/>
        <v>1</v>
      </c>
      <c r="N331" s="2994"/>
      <c r="O331" s="11">
        <f t="shared" si="54"/>
        <v>1</v>
      </c>
      <c r="P331" s="2994"/>
      <c r="Q331" s="11">
        <f t="shared" si="55"/>
        <v>1</v>
      </c>
      <c r="R331" s="712">
        <f t="shared" ca="1" si="56"/>
        <v>17260</v>
      </c>
      <c r="S331" s="2959">
        <f t="shared" ca="1" si="58"/>
        <v>87</v>
      </c>
    </row>
    <row r="332" spans="1:19">
      <c r="A332" s="2992" t="str">
        <f>Sheet1!F313</f>
        <v>3-807</v>
      </c>
      <c r="B332" s="2992">
        <f>Sheet1!G313</f>
        <v>50.63</v>
      </c>
      <c r="C332" s="11">
        <f t="shared" si="48"/>
        <v>1</v>
      </c>
      <c r="D332" s="2994"/>
      <c r="E332" s="11">
        <f t="shared" si="49"/>
        <v>1</v>
      </c>
      <c r="F332" s="2994"/>
      <c r="G332" s="11">
        <f t="shared" si="50"/>
        <v>1</v>
      </c>
      <c r="H332" s="2994"/>
      <c r="I332" s="11">
        <f t="shared" si="51"/>
        <v>1</v>
      </c>
      <c r="J332" s="2994"/>
      <c r="K332" s="11">
        <f t="shared" si="52"/>
        <v>1</v>
      </c>
      <c r="L332" s="2994"/>
      <c r="M332" s="11">
        <f t="shared" si="53"/>
        <v>1</v>
      </c>
      <c r="N332" s="2994"/>
      <c r="O332" s="11">
        <f t="shared" si="54"/>
        <v>1</v>
      </c>
      <c r="P332" s="2994"/>
      <c r="Q332" s="11">
        <f t="shared" si="55"/>
        <v>1</v>
      </c>
      <c r="R332" s="712">
        <f t="shared" ca="1" si="56"/>
        <v>17260</v>
      </c>
      <c r="S332" s="2959">
        <f t="shared" ca="1" si="58"/>
        <v>87</v>
      </c>
    </row>
    <row r="333" spans="1:19">
      <c r="A333" s="2992" t="str">
        <f>Sheet1!F314</f>
        <v>3-808</v>
      </c>
      <c r="B333" s="2992">
        <f>Sheet1!G314</f>
        <v>50.63</v>
      </c>
      <c r="C333" s="11">
        <f t="shared" si="48"/>
        <v>1</v>
      </c>
      <c r="D333" s="2994"/>
      <c r="E333" s="11">
        <f t="shared" si="49"/>
        <v>1</v>
      </c>
      <c r="F333" s="2994"/>
      <c r="G333" s="11">
        <f t="shared" si="50"/>
        <v>1</v>
      </c>
      <c r="H333" s="2994"/>
      <c r="I333" s="11">
        <f t="shared" si="51"/>
        <v>1</v>
      </c>
      <c r="J333" s="2994"/>
      <c r="K333" s="11">
        <f t="shared" si="52"/>
        <v>1</v>
      </c>
      <c r="L333" s="2994"/>
      <c r="M333" s="11">
        <f t="shared" si="53"/>
        <v>1</v>
      </c>
      <c r="N333" s="2994"/>
      <c r="O333" s="11">
        <f t="shared" si="54"/>
        <v>1</v>
      </c>
      <c r="P333" s="2994"/>
      <c r="Q333" s="11">
        <f t="shared" si="55"/>
        <v>1</v>
      </c>
      <c r="R333" s="712">
        <f t="shared" ca="1" si="56"/>
        <v>17260</v>
      </c>
      <c r="S333" s="2959">
        <f t="shared" ca="1" si="58"/>
        <v>87</v>
      </c>
    </row>
    <row r="334" spans="1:19">
      <c r="A334" s="2992" t="str">
        <f>Sheet1!F315</f>
        <v>3-809</v>
      </c>
      <c r="B334" s="2992">
        <f>Sheet1!G315</f>
        <v>50.63</v>
      </c>
      <c r="C334" s="11">
        <f t="shared" si="48"/>
        <v>1</v>
      </c>
      <c r="D334" s="2994"/>
      <c r="E334" s="11">
        <f t="shared" si="49"/>
        <v>1</v>
      </c>
      <c r="F334" s="2994"/>
      <c r="G334" s="11">
        <f t="shared" si="50"/>
        <v>1</v>
      </c>
      <c r="H334" s="2994"/>
      <c r="I334" s="11">
        <f t="shared" si="51"/>
        <v>1</v>
      </c>
      <c r="J334" s="2994"/>
      <c r="K334" s="11">
        <f t="shared" si="52"/>
        <v>1</v>
      </c>
      <c r="L334" s="2994"/>
      <c r="M334" s="11">
        <f t="shared" si="53"/>
        <v>1</v>
      </c>
      <c r="N334" s="2994"/>
      <c r="O334" s="11">
        <f t="shared" si="54"/>
        <v>1</v>
      </c>
      <c r="P334" s="2994"/>
      <c r="Q334" s="11">
        <f t="shared" si="55"/>
        <v>1</v>
      </c>
      <c r="R334" s="712">
        <f t="shared" ca="1" si="56"/>
        <v>17260</v>
      </c>
      <c r="S334" s="2959">
        <f t="shared" ca="1" si="58"/>
        <v>87</v>
      </c>
    </row>
    <row r="335" spans="1:19">
      <c r="A335" s="2992" t="str">
        <f>Sheet1!F316</f>
        <v>3-810</v>
      </c>
      <c r="B335" s="2992">
        <f>Sheet1!G316</f>
        <v>50.63</v>
      </c>
      <c r="C335" s="11">
        <f t="shared" si="48"/>
        <v>1</v>
      </c>
      <c r="D335" s="2994"/>
      <c r="E335" s="11">
        <f t="shared" si="49"/>
        <v>1</v>
      </c>
      <c r="F335" s="2994"/>
      <c r="G335" s="11">
        <f t="shared" si="50"/>
        <v>1</v>
      </c>
      <c r="H335" s="2994"/>
      <c r="I335" s="11">
        <f t="shared" si="51"/>
        <v>1</v>
      </c>
      <c r="J335" s="2994"/>
      <c r="K335" s="11">
        <f t="shared" si="52"/>
        <v>1</v>
      </c>
      <c r="L335" s="2994"/>
      <c r="M335" s="11">
        <f t="shared" si="53"/>
        <v>1</v>
      </c>
      <c r="N335" s="2994"/>
      <c r="O335" s="11">
        <f t="shared" si="54"/>
        <v>1</v>
      </c>
      <c r="P335" s="2994"/>
      <c r="Q335" s="11">
        <f t="shared" si="55"/>
        <v>1</v>
      </c>
      <c r="R335" s="712">
        <f t="shared" ca="1" si="56"/>
        <v>17260</v>
      </c>
      <c r="S335" s="2959">
        <f t="shared" ca="1" si="58"/>
        <v>87</v>
      </c>
    </row>
    <row r="336" spans="1:19">
      <c r="A336" s="2992" t="str">
        <f>Sheet1!F317</f>
        <v>3-811</v>
      </c>
      <c r="B336" s="2992">
        <f>Sheet1!G317</f>
        <v>50.63</v>
      </c>
      <c r="C336" s="11">
        <f t="shared" si="48"/>
        <v>1</v>
      </c>
      <c r="D336" s="2994"/>
      <c r="E336" s="11">
        <f t="shared" si="49"/>
        <v>1</v>
      </c>
      <c r="F336" s="2994"/>
      <c r="G336" s="11">
        <f t="shared" si="50"/>
        <v>1</v>
      </c>
      <c r="H336" s="2994"/>
      <c r="I336" s="11">
        <f t="shared" si="51"/>
        <v>1</v>
      </c>
      <c r="J336" s="2994"/>
      <c r="K336" s="11">
        <f t="shared" si="52"/>
        <v>1</v>
      </c>
      <c r="L336" s="2994"/>
      <c r="M336" s="11">
        <f t="shared" si="53"/>
        <v>1</v>
      </c>
      <c r="N336" s="2994"/>
      <c r="O336" s="11">
        <f t="shared" si="54"/>
        <v>1</v>
      </c>
      <c r="P336" s="2994"/>
      <c r="Q336" s="11">
        <f t="shared" si="55"/>
        <v>1</v>
      </c>
      <c r="R336" s="712">
        <f t="shared" ca="1" si="56"/>
        <v>17260</v>
      </c>
      <c r="S336" s="2959">
        <f t="shared" ca="1" si="58"/>
        <v>87</v>
      </c>
    </row>
    <row r="337" spans="1:19">
      <c r="A337" s="2992" t="str">
        <f>Sheet1!F318</f>
        <v>3-812</v>
      </c>
      <c r="B337" s="2992">
        <f>Sheet1!G318</f>
        <v>50.63</v>
      </c>
      <c r="C337" s="11">
        <f t="shared" si="48"/>
        <v>1</v>
      </c>
      <c r="D337" s="2994"/>
      <c r="E337" s="11">
        <f t="shared" si="49"/>
        <v>1</v>
      </c>
      <c r="F337" s="2994"/>
      <c r="G337" s="11">
        <f t="shared" si="50"/>
        <v>1</v>
      </c>
      <c r="H337" s="2994"/>
      <c r="I337" s="11">
        <f t="shared" si="51"/>
        <v>1</v>
      </c>
      <c r="J337" s="2994"/>
      <c r="K337" s="11">
        <f t="shared" si="52"/>
        <v>1</v>
      </c>
      <c r="L337" s="2994"/>
      <c r="M337" s="11">
        <f t="shared" si="53"/>
        <v>1</v>
      </c>
      <c r="N337" s="2994"/>
      <c r="O337" s="11">
        <f t="shared" si="54"/>
        <v>1</v>
      </c>
      <c r="P337" s="2994"/>
      <c r="Q337" s="11">
        <f t="shared" si="55"/>
        <v>1</v>
      </c>
      <c r="R337" s="712">
        <f t="shared" ca="1" si="56"/>
        <v>17260</v>
      </c>
      <c r="S337" s="2959">
        <f t="shared" ca="1" si="58"/>
        <v>87</v>
      </c>
    </row>
    <row r="338" spans="1:19">
      <c r="A338" s="2992" t="str">
        <f>Sheet1!F319</f>
        <v>3-813</v>
      </c>
      <c r="B338" s="2992">
        <f>Sheet1!G319</f>
        <v>49.61</v>
      </c>
      <c r="C338" s="11">
        <f t="shared" si="48"/>
        <v>1</v>
      </c>
      <c r="D338" s="2994"/>
      <c r="E338" s="11">
        <f t="shared" si="49"/>
        <v>1</v>
      </c>
      <c r="F338" s="2994"/>
      <c r="G338" s="11">
        <f t="shared" si="50"/>
        <v>1</v>
      </c>
      <c r="H338" s="2994"/>
      <c r="I338" s="11">
        <f t="shared" si="51"/>
        <v>1</v>
      </c>
      <c r="J338" s="2994"/>
      <c r="K338" s="11">
        <f t="shared" si="52"/>
        <v>1</v>
      </c>
      <c r="L338" s="2994"/>
      <c r="M338" s="11">
        <f t="shared" si="53"/>
        <v>1</v>
      </c>
      <c r="N338" s="2994"/>
      <c r="O338" s="11">
        <f t="shared" si="54"/>
        <v>1</v>
      </c>
      <c r="P338" s="2994"/>
      <c r="Q338" s="11">
        <f t="shared" si="55"/>
        <v>1</v>
      </c>
      <c r="R338" s="712">
        <f t="shared" ca="1" si="56"/>
        <v>17260</v>
      </c>
      <c r="S338" s="2959">
        <f t="shared" ca="1" si="58"/>
        <v>86</v>
      </c>
    </row>
    <row r="339" spans="1:19">
      <c r="A339" s="2992" t="str">
        <f>Sheet1!F320</f>
        <v>3-814</v>
      </c>
      <c r="B339" s="2992">
        <f>Sheet1!G320</f>
        <v>46.31</v>
      </c>
      <c r="C339" s="11">
        <f t="shared" si="48"/>
        <v>1</v>
      </c>
      <c r="D339" s="2994"/>
      <c r="E339" s="11">
        <f t="shared" si="49"/>
        <v>1</v>
      </c>
      <c r="F339" s="2994"/>
      <c r="G339" s="11">
        <f t="shared" si="50"/>
        <v>1</v>
      </c>
      <c r="H339" s="2994"/>
      <c r="I339" s="11">
        <f t="shared" si="51"/>
        <v>1</v>
      </c>
      <c r="J339" s="2994"/>
      <c r="K339" s="11">
        <f t="shared" si="52"/>
        <v>1</v>
      </c>
      <c r="L339" s="2994"/>
      <c r="M339" s="11">
        <f t="shared" si="53"/>
        <v>1</v>
      </c>
      <c r="N339" s="2994"/>
      <c r="O339" s="11">
        <f t="shared" si="54"/>
        <v>1</v>
      </c>
      <c r="P339" s="2994"/>
      <c r="Q339" s="11">
        <f t="shared" si="55"/>
        <v>1</v>
      </c>
      <c r="R339" s="712">
        <f t="shared" ca="1" si="56"/>
        <v>17260</v>
      </c>
      <c r="S339" s="2959">
        <f t="shared" ca="1" si="58"/>
        <v>80</v>
      </c>
    </row>
    <row r="340" spans="1:19">
      <c r="A340" s="2992" t="str">
        <f>Sheet1!F321</f>
        <v>3-815</v>
      </c>
      <c r="B340" s="2992">
        <f>Sheet1!G321</f>
        <v>50.63</v>
      </c>
      <c r="C340" s="11">
        <f t="shared" si="48"/>
        <v>1</v>
      </c>
      <c r="D340" s="2994"/>
      <c r="E340" s="11">
        <f t="shared" si="49"/>
        <v>1</v>
      </c>
      <c r="F340" s="2994"/>
      <c r="G340" s="11">
        <f t="shared" si="50"/>
        <v>1</v>
      </c>
      <c r="H340" s="2994"/>
      <c r="I340" s="11">
        <f t="shared" si="51"/>
        <v>1</v>
      </c>
      <c r="J340" s="2994"/>
      <c r="K340" s="11">
        <f t="shared" si="52"/>
        <v>1</v>
      </c>
      <c r="L340" s="2994"/>
      <c r="M340" s="11">
        <f t="shared" si="53"/>
        <v>1</v>
      </c>
      <c r="N340" s="2994"/>
      <c r="O340" s="11">
        <f t="shared" si="54"/>
        <v>1</v>
      </c>
      <c r="P340" s="2994"/>
      <c r="Q340" s="11">
        <f t="shared" si="55"/>
        <v>1</v>
      </c>
      <c r="R340" s="712">
        <f t="shared" ca="1" si="56"/>
        <v>17260</v>
      </c>
      <c r="S340" s="2959">
        <f t="shared" ca="1" si="58"/>
        <v>87</v>
      </c>
    </row>
    <row r="341" spans="1:19">
      <c r="A341" s="2992" t="str">
        <f>Sheet1!F322</f>
        <v>3-816</v>
      </c>
      <c r="B341" s="2992">
        <f>Sheet1!G322</f>
        <v>50.63</v>
      </c>
      <c r="C341" s="11">
        <f t="shared" si="48"/>
        <v>1</v>
      </c>
      <c r="D341" s="2994"/>
      <c r="E341" s="11">
        <f t="shared" si="49"/>
        <v>1</v>
      </c>
      <c r="F341" s="2994"/>
      <c r="G341" s="11">
        <f t="shared" si="50"/>
        <v>1</v>
      </c>
      <c r="H341" s="2994"/>
      <c r="I341" s="11">
        <f t="shared" si="51"/>
        <v>1</v>
      </c>
      <c r="J341" s="2994"/>
      <c r="K341" s="11">
        <f t="shared" si="52"/>
        <v>1</v>
      </c>
      <c r="L341" s="2994"/>
      <c r="M341" s="11">
        <f t="shared" si="53"/>
        <v>1</v>
      </c>
      <c r="N341" s="2994"/>
      <c r="O341" s="11">
        <f t="shared" si="54"/>
        <v>1</v>
      </c>
      <c r="P341" s="2994"/>
      <c r="Q341" s="11">
        <f t="shared" si="55"/>
        <v>1</v>
      </c>
      <c r="R341" s="712">
        <f t="shared" ca="1" si="56"/>
        <v>17260</v>
      </c>
      <c r="S341" s="2959">
        <f t="shared" ca="1" si="58"/>
        <v>87</v>
      </c>
    </row>
    <row r="342" spans="1:19">
      <c r="A342" s="2992" t="str">
        <f>Sheet1!F323</f>
        <v>3-817</v>
      </c>
      <c r="B342" s="2992">
        <f>Sheet1!G323</f>
        <v>62.54</v>
      </c>
      <c r="C342" s="11">
        <f t="shared" si="48"/>
        <v>1</v>
      </c>
      <c r="D342" s="2994"/>
      <c r="E342" s="11">
        <f t="shared" si="49"/>
        <v>1</v>
      </c>
      <c r="F342" s="2994"/>
      <c r="G342" s="11">
        <f t="shared" si="50"/>
        <v>1</v>
      </c>
      <c r="H342" s="2994"/>
      <c r="I342" s="11">
        <f t="shared" si="51"/>
        <v>1</v>
      </c>
      <c r="J342" s="2994"/>
      <c r="K342" s="11">
        <f t="shared" si="52"/>
        <v>1</v>
      </c>
      <c r="L342" s="2994"/>
      <c r="M342" s="11">
        <f t="shared" si="53"/>
        <v>1</v>
      </c>
      <c r="N342" s="2994"/>
      <c r="O342" s="11">
        <f t="shared" si="54"/>
        <v>1</v>
      </c>
      <c r="P342" s="2994"/>
      <c r="Q342" s="11">
        <f t="shared" si="55"/>
        <v>1</v>
      </c>
      <c r="R342" s="712">
        <f t="shared" ca="1" si="56"/>
        <v>17260</v>
      </c>
      <c r="S342" s="2959">
        <f t="shared" ca="1" si="58"/>
        <v>108</v>
      </c>
    </row>
    <row r="343" spans="1:19">
      <c r="A343" s="2992" t="str">
        <f>Sheet1!F324</f>
        <v>3-818</v>
      </c>
      <c r="B343" s="2992">
        <f>Sheet1!G324</f>
        <v>62.17</v>
      </c>
      <c r="C343" s="11">
        <f t="shared" si="48"/>
        <v>1</v>
      </c>
      <c r="D343" s="2994"/>
      <c r="E343" s="11">
        <f t="shared" si="49"/>
        <v>1</v>
      </c>
      <c r="F343" s="2994"/>
      <c r="G343" s="11">
        <f t="shared" si="50"/>
        <v>1</v>
      </c>
      <c r="H343" s="2994"/>
      <c r="I343" s="11">
        <f t="shared" si="51"/>
        <v>1</v>
      </c>
      <c r="J343" s="2994"/>
      <c r="K343" s="11">
        <f t="shared" si="52"/>
        <v>1</v>
      </c>
      <c r="L343" s="2994"/>
      <c r="M343" s="11">
        <f t="shared" si="53"/>
        <v>1</v>
      </c>
      <c r="N343" s="2994"/>
      <c r="O343" s="11">
        <f t="shared" si="54"/>
        <v>1</v>
      </c>
      <c r="P343" s="2994"/>
      <c r="Q343" s="11">
        <f t="shared" si="55"/>
        <v>1</v>
      </c>
      <c r="R343" s="712">
        <f t="shared" ca="1" si="56"/>
        <v>17260</v>
      </c>
      <c r="S343" s="2959">
        <f t="shared" ca="1" si="58"/>
        <v>107</v>
      </c>
    </row>
    <row r="344" spans="1:19">
      <c r="A344" s="2992" t="str">
        <f>Sheet1!F325</f>
        <v>3-819</v>
      </c>
      <c r="B344" s="2992">
        <f>Sheet1!G325</f>
        <v>62.17</v>
      </c>
      <c r="C344" s="11">
        <f t="shared" si="48"/>
        <v>1</v>
      </c>
      <c r="D344" s="2994"/>
      <c r="E344" s="11">
        <f t="shared" si="49"/>
        <v>1</v>
      </c>
      <c r="F344" s="2994"/>
      <c r="G344" s="11">
        <f t="shared" si="50"/>
        <v>1</v>
      </c>
      <c r="H344" s="2994"/>
      <c r="I344" s="11">
        <f t="shared" si="51"/>
        <v>1</v>
      </c>
      <c r="J344" s="2994"/>
      <c r="K344" s="11">
        <f t="shared" si="52"/>
        <v>1</v>
      </c>
      <c r="L344" s="2994"/>
      <c r="M344" s="11">
        <f t="shared" si="53"/>
        <v>1</v>
      </c>
      <c r="N344" s="2994"/>
      <c r="O344" s="11">
        <f t="shared" si="54"/>
        <v>1</v>
      </c>
      <c r="P344" s="2994"/>
      <c r="Q344" s="11">
        <f t="shared" si="55"/>
        <v>1</v>
      </c>
      <c r="R344" s="712">
        <f t="shared" ca="1" si="56"/>
        <v>17260</v>
      </c>
      <c r="S344" s="2959">
        <f t="shared" ca="1" si="58"/>
        <v>107</v>
      </c>
    </row>
    <row r="345" spans="1:19">
      <c r="A345" s="2992" t="str">
        <f>Sheet1!F326</f>
        <v>3-820</v>
      </c>
      <c r="B345" s="2992">
        <f>Sheet1!G326</f>
        <v>62.09</v>
      </c>
      <c r="C345" s="11">
        <f t="shared" si="48"/>
        <v>1</v>
      </c>
      <c r="D345" s="2994"/>
      <c r="E345" s="11">
        <f t="shared" si="49"/>
        <v>1</v>
      </c>
      <c r="F345" s="2994"/>
      <c r="G345" s="11">
        <f t="shared" si="50"/>
        <v>1</v>
      </c>
      <c r="H345" s="2994"/>
      <c r="I345" s="11">
        <f t="shared" si="51"/>
        <v>1</v>
      </c>
      <c r="J345" s="2994"/>
      <c r="K345" s="11">
        <f t="shared" si="52"/>
        <v>1</v>
      </c>
      <c r="L345" s="2994"/>
      <c r="M345" s="11">
        <f t="shared" si="53"/>
        <v>1</v>
      </c>
      <c r="N345" s="2994"/>
      <c r="O345" s="11">
        <f t="shared" si="54"/>
        <v>1</v>
      </c>
      <c r="P345" s="2994"/>
      <c r="Q345" s="11">
        <f t="shared" si="55"/>
        <v>1</v>
      </c>
      <c r="R345" s="712">
        <f t="shared" ca="1" si="56"/>
        <v>17260</v>
      </c>
      <c r="S345" s="2959">
        <f t="shared" ca="1" si="58"/>
        <v>107</v>
      </c>
    </row>
    <row r="346" spans="1:19">
      <c r="A346" s="2992" t="str">
        <f>Sheet1!F327</f>
        <v>3-821</v>
      </c>
      <c r="B346" s="2992">
        <f>Sheet1!G327</f>
        <v>50.37</v>
      </c>
      <c r="C346" s="11">
        <f t="shared" ref="C346:C409" si="59">IF(B346="",1,(LOOKUP(B346,$3:$3,$4:$4)-LOOKUP($B$24,$3:$3,$4:$4)+100)/100)</f>
        <v>1</v>
      </c>
      <c r="D346" s="2994"/>
      <c r="E346" s="11">
        <f t="shared" ref="E346:E409" si="60">(SUMIF($5:$5,D346,$6:$6)-SUMIF($5:$5,$D$24,$6:$6)+100)/100</f>
        <v>1</v>
      </c>
      <c r="F346" s="2994"/>
      <c r="G346" s="11">
        <f t="shared" ref="G346:G409" si="61">(SUMIF($7:$7,F346,$8:$8)-SUMIF($7:$7,$F$24,$8:$8)+100)/100</f>
        <v>1</v>
      </c>
      <c r="H346" s="2994"/>
      <c r="I346" s="11">
        <f t="shared" ref="I346:I409" si="62">(SUMIF($9:$9,H346,$10:$10)-SUMIF($9:$9,$H$24,$10:$10)+100)/100</f>
        <v>1</v>
      </c>
      <c r="J346" s="2994"/>
      <c r="K346" s="11">
        <f t="shared" ref="K346:K409" si="63">(SUMIF($11:$11,J346,$12:$12)-SUMIF($11:$11,$J$24,$12:$12)+100)/100</f>
        <v>1</v>
      </c>
      <c r="L346" s="2994"/>
      <c r="M346" s="11">
        <f t="shared" ref="M346:M409" si="64">(SUMIF($13:$13,L346,$14:$14)-SUMIF($13:$13,$L$24,$14:$14)+100)/100</f>
        <v>1</v>
      </c>
      <c r="N346" s="2994"/>
      <c r="O346" s="11">
        <f t="shared" ref="O346:O409" si="65">(SUMIF($15:$15,N346,$16:$16)-SUMIF($15:$15,$N$24,$16:$16)+100)/100</f>
        <v>1</v>
      </c>
      <c r="P346" s="2994"/>
      <c r="Q346" s="11">
        <f t="shared" ref="Q346:Q409" si="66">(SUMIF($17:$17,P346,$18:$18)-SUMIF($17:$17,$P$24,$18:$18)+100)/100</f>
        <v>1</v>
      </c>
      <c r="R346" s="712">
        <f t="shared" ref="R346:R409" ca="1" si="67">IF(B346="",0,ROUND($R$24*C346*E346*G346*I346*K346*M346*O346*Q346,0))</f>
        <v>17260</v>
      </c>
      <c r="S346" s="2959">
        <f t="shared" ca="1" si="58"/>
        <v>87</v>
      </c>
    </row>
    <row r="347" spans="1:19">
      <c r="A347" s="2992" t="str">
        <f>Sheet1!F328</f>
        <v>3-822</v>
      </c>
      <c r="B347" s="2992">
        <f>Sheet1!G328</f>
        <v>50.37</v>
      </c>
      <c r="C347" s="11">
        <f t="shared" si="59"/>
        <v>1</v>
      </c>
      <c r="D347" s="2994"/>
      <c r="E347" s="11">
        <f t="shared" si="60"/>
        <v>1</v>
      </c>
      <c r="F347" s="2994"/>
      <c r="G347" s="11">
        <f t="shared" si="61"/>
        <v>1</v>
      </c>
      <c r="H347" s="2994"/>
      <c r="I347" s="11">
        <f t="shared" si="62"/>
        <v>1</v>
      </c>
      <c r="J347" s="2994"/>
      <c r="K347" s="11">
        <f t="shared" si="63"/>
        <v>1</v>
      </c>
      <c r="L347" s="2994"/>
      <c r="M347" s="11">
        <f t="shared" si="64"/>
        <v>1</v>
      </c>
      <c r="N347" s="2994"/>
      <c r="O347" s="11">
        <f t="shared" si="65"/>
        <v>1</v>
      </c>
      <c r="P347" s="2994"/>
      <c r="Q347" s="11">
        <f t="shared" si="66"/>
        <v>1</v>
      </c>
      <c r="R347" s="712">
        <f t="shared" ca="1" si="67"/>
        <v>17260</v>
      </c>
      <c r="S347" s="2959">
        <f t="shared" ca="1" si="58"/>
        <v>87</v>
      </c>
    </row>
    <row r="348" spans="1:19">
      <c r="A348" s="2992" t="str">
        <f>Sheet1!F329</f>
        <v>3-823</v>
      </c>
      <c r="B348" s="2992">
        <f>Sheet1!G329</f>
        <v>50.37</v>
      </c>
      <c r="C348" s="11">
        <f t="shared" si="59"/>
        <v>1</v>
      </c>
      <c r="D348" s="2994"/>
      <c r="E348" s="11">
        <f t="shared" si="60"/>
        <v>1</v>
      </c>
      <c r="F348" s="2994"/>
      <c r="G348" s="11">
        <f t="shared" si="61"/>
        <v>1</v>
      </c>
      <c r="H348" s="2994"/>
      <c r="I348" s="11">
        <f t="shared" si="62"/>
        <v>1</v>
      </c>
      <c r="J348" s="2994"/>
      <c r="K348" s="11">
        <f t="shared" si="63"/>
        <v>1</v>
      </c>
      <c r="L348" s="2994"/>
      <c r="M348" s="11">
        <f t="shared" si="64"/>
        <v>1</v>
      </c>
      <c r="N348" s="2994"/>
      <c r="O348" s="11">
        <f t="shared" si="65"/>
        <v>1</v>
      </c>
      <c r="P348" s="2994"/>
      <c r="Q348" s="11">
        <f t="shared" si="66"/>
        <v>1</v>
      </c>
      <c r="R348" s="712">
        <f t="shared" ca="1" si="67"/>
        <v>17260</v>
      </c>
      <c r="S348" s="2959">
        <f t="shared" ca="1" si="58"/>
        <v>87</v>
      </c>
    </row>
    <row r="349" spans="1:19">
      <c r="A349" s="2992" t="str">
        <f>Sheet1!F330</f>
        <v>3-824</v>
      </c>
      <c r="B349" s="2992">
        <f>Sheet1!G330</f>
        <v>50.37</v>
      </c>
      <c r="C349" s="11">
        <f t="shared" si="59"/>
        <v>1</v>
      </c>
      <c r="D349" s="2994"/>
      <c r="E349" s="11">
        <f t="shared" si="60"/>
        <v>1</v>
      </c>
      <c r="F349" s="2994"/>
      <c r="G349" s="11">
        <f t="shared" si="61"/>
        <v>1</v>
      </c>
      <c r="H349" s="2994"/>
      <c r="I349" s="11">
        <f t="shared" si="62"/>
        <v>1</v>
      </c>
      <c r="J349" s="2994"/>
      <c r="K349" s="11">
        <f t="shared" si="63"/>
        <v>1</v>
      </c>
      <c r="L349" s="2994"/>
      <c r="M349" s="11">
        <f t="shared" si="64"/>
        <v>1</v>
      </c>
      <c r="N349" s="2994"/>
      <c r="O349" s="11">
        <f t="shared" si="65"/>
        <v>1</v>
      </c>
      <c r="P349" s="2994"/>
      <c r="Q349" s="11">
        <f t="shared" si="66"/>
        <v>1</v>
      </c>
      <c r="R349" s="712">
        <f t="shared" ca="1" si="67"/>
        <v>17260</v>
      </c>
      <c r="S349" s="2959">
        <f t="shared" ca="1" si="58"/>
        <v>87</v>
      </c>
    </row>
    <row r="350" spans="1:19">
      <c r="A350" s="2992" t="str">
        <f>Sheet1!F331</f>
        <v>3-825</v>
      </c>
      <c r="B350" s="2992">
        <f>Sheet1!G331</f>
        <v>50.37</v>
      </c>
      <c r="C350" s="11">
        <f t="shared" si="59"/>
        <v>1</v>
      </c>
      <c r="D350" s="2994"/>
      <c r="E350" s="11">
        <f t="shared" si="60"/>
        <v>1</v>
      </c>
      <c r="F350" s="2994"/>
      <c r="G350" s="11">
        <f t="shared" si="61"/>
        <v>1</v>
      </c>
      <c r="H350" s="2994"/>
      <c r="I350" s="11">
        <f t="shared" si="62"/>
        <v>1</v>
      </c>
      <c r="J350" s="2994"/>
      <c r="K350" s="11">
        <f t="shared" si="63"/>
        <v>1</v>
      </c>
      <c r="L350" s="2994"/>
      <c r="M350" s="11">
        <f t="shared" si="64"/>
        <v>1</v>
      </c>
      <c r="N350" s="2994"/>
      <c r="O350" s="11">
        <f t="shared" si="65"/>
        <v>1</v>
      </c>
      <c r="P350" s="2994"/>
      <c r="Q350" s="11">
        <f t="shared" si="66"/>
        <v>1</v>
      </c>
      <c r="R350" s="712">
        <f t="shared" ca="1" si="67"/>
        <v>17260</v>
      </c>
      <c r="S350" s="2959">
        <f t="shared" ca="1" si="58"/>
        <v>87</v>
      </c>
    </row>
    <row r="351" spans="1:19">
      <c r="A351" s="2992" t="str">
        <f>Sheet1!F332</f>
        <v>3-826</v>
      </c>
      <c r="B351" s="2992">
        <f>Sheet1!G332</f>
        <v>50.37</v>
      </c>
      <c r="C351" s="11">
        <f t="shared" si="59"/>
        <v>1</v>
      </c>
      <c r="D351" s="2994"/>
      <c r="E351" s="11">
        <f t="shared" si="60"/>
        <v>1</v>
      </c>
      <c r="F351" s="2994"/>
      <c r="G351" s="11">
        <f t="shared" si="61"/>
        <v>1</v>
      </c>
      <c r="H351" s="2994"/>
      <c r="I351" s="11">
        <f t="shared" si="62"/>
        <v>1</v>
      </c>
      <c r="J351" s="2994"/>
      <c r="K351" s="11">
        <f t="shared" si="63"/>
        <v>1</v>
      </c>
      <c r="L351" s="2994"/>
      <c r="M351" s="11">
        <f t="shared" si="64"/>
        <v>1</v>
      </c>
      <c r="N351" s="2994"/>
      <c r="O351" s="11">
        <f t="shared" si="65"/>
        <v>1</v>
      </c>
      <c r="P351" s="2994"/>
      <c r="Q351" s="11">
        <f t="shared" si="66"/>
        <v>1</v>
      </c>
      <c r="R351" s="712">
        <f t="shared" ca="1" si="67"/>
        <v>17260</v>
      </c>
      <c r="S351" s="2959">
        <f t="shared" ca="1" si="58"/>
        <v>87</v>
      </c>
    </row>
    <row r="352" spans="1:19">
      <c r="A352" s="2992" t="str">
        <f>Sheet1!F333</f>
        <v>3-827</v>
      </c>
      <c r="B352" s="2992">
        <f>Sheet1!G333</f>
        <v>50.37</v>
      </c>
      <c r="C352" s="11">
        <f t="shared" si="59"/>
        <v>1</v>
      </c>
      <c r="D352" s="2994"/>
      <c r="E352" s="11">
        <f t="shared" si="60"/>
        <v>1</v>
      </c>
      <c r="F352" s="2994"/>
      <c r="G352" s="11">
        <f t="shared" si="61"/>
        <v>1</v>
      </c>
      <c r="H352" s="2994"/>
      <c r="I352" s="11">
        <f t="shared" si="62"/>
        <v>1</v>
      </c>
      <c r="J352" s="2994"/>
      <c r="K352" s="11">
        <f t="shared" si="63"/>
        <v>1</v>
      </c>
      <c r="L352" s="2994"/>
      <c r="M352" s="11">
        <f t="shared" si="64"/>
        <v>1</v>
      </c>
      <c r="N352" s="2994"/>
      <c r="O352" s="11">
        <f t="shared" si="65"/>
        <v>1</v>
      </c>
      <c r="P352" s="2994"/>
      <c r="Q352" s="11">
        <f t="shared" si="66"/>
        <v>1</v>
      </c>
      <c r="R352" s="712">
        <f t="shared" ca="1" si="67"/>
        <v>17260</v>
      </c>
      <c r="S352" s="2959">
        <f t="shared" ca="1" si="58"/>
        <v>87</v>
      </c>
    </row>
    <row r="353" spans="1:19">
      <c r="A353" s="2992" t="str">
        <f>Sheet1!F334</f>
        <v>3-828</v>
      </c>
      <c r="B353" s="2992">
        <f>Sheet1!G334</f>
        <v>50.37</v>
      </c>
      <c r="C353" s="11">
        <f t="shared" si="59"/>
        <v>1</v>
      </c>
      <c r="D353" s="2994"/>
      <c r="E353" s="11">
        <f t="shared" si="60"/>
        <v>1</v>
      </c>
      <c r="F353" s="2994"/>
      <c r="G353" s="11">
        <f t="shared" si="61"/>
        <v>1</v>
      </c>
      <c r="H353" s="2994"/>
      <c r="I353" s="11">
        <f t="shared" si="62"/>
        <v>1</v>
      </c>
      <c r="J353" s="2994"/>
      <c r="K353" s="11">
        <f t="shared" si="63"/>
        <v>1</v>
      </c>
      <c r="L353" s="2994"/>
      <c r="M353" s="11">
        <f t="shared" si="64"/>
        <v>1</v>
      </c>
      <c r="N353" s="2994"/>
      <c r="O353" s="11">
        <f t="shared" si="65"/>
        <v>1</v>
      </c>
      <c r="P353" s="2994"/>
      <c r="Q353" s="11">
        <f t="shared" si="66"/>
        <v>1</v>
      </c>
      <c r="R353" s="712">
        <f t="shared" ca="1" si="67"/>
        <v>17260</v>
      </c>
      <c r="S353" s="2959">
        <f t="shared" ca="1" si="58"/>
        <v>87</v>
      </c>
    </row>
    <row r="354" spans="1:19">
      <c r="A354" s="2992" t="str">
        <f>Sheet1!F335</f>
        <v>3-829</v>
      </c>
      <c r="B354" s="2992">
        <f>Sheet1!G335</f>
        <v>50.37</v>
      </c>
      <c r="C354" s="11">
        <f t="shared" si="59"/>
        <v>1</v>
      </c>
      <c r="D354" s="2994"/>
      <c r="E354" s="11">
        <f t="shared" si="60"/>
        <v>1</v>
      </c>
      <c r="F354" s="2994"/>
      <c r="G354" s="11">
        <f t="shared" si="61"/>
        <v>1</v>
      </c>
      <c r="H354" s="2994"/>
      <c r="I354" s="11">
        <f t="shared" si="62"/>
        <v>1</v>
      </c>
      <c r="J354" s="2994"/>
      <c r="K354" s="11">
        <f t="shared" si="63"/>
        <v>1</v>
      </c>
      <c r="L354" s="2994"/>
      <c r="M354" s="11">
        <f t="shared" si="64"/>
        <v>1</v>
      </c>
      <c r="N354" s="2994"/>
      <c r="O354" s="11">
        <f t="shared" si="65"/>
        <v>1</v>
      </c>
      <c r="P354" s="2994"/>
      <c r="Q354" s="11">
        <f t="shared" si="66"/>
        <v>1</v>
      </c>
      <c r="R354" s="712">
        <f t="shared" ca="1" si="67"/>
        <v>17260</v>
      </c>
      <c r="S354" s="2959">
        <f t="shared" ca="1" si="58"/>
        <v>87</v>
      </c>
    </row>
    <row r="355" spans="1:19">
      <c r="A355" s="2992" t="str">
        <f>Sheet1!F336</f>
        <v>3-830</v>
      </c>
      <c r="B355" s="2992">
        <f>Sheet1!G336</f>
        <v>50.37</v>
      </c>
      <c r="C355" s="11">
        <f t="shared" si="59"/>
        <v>1</v>
      </c>
      <c r="D355" s="2994"/>
      <c r="E355" s="11">
        <f t="shared" si="60"/>
        <v>1</v>
      </c>
      <c r="F355" s="2994"/>
      <c r="G355" s="11">
        <f t="shared" si="61"/>
        <v>1</v>
      </c>
      <c r="H355" s="2994"/>
      <c r="I355" s="11">
        <f t="shared" si="62"/>
        <v>1</v>
      </c>
      <c r="J355" s="2994"/>
      <c r="K355" s="11">
        <f t="shared" si="63"/>
        <v>1</v>
      </c>
      <c r="L355" s="2994"/>
      <c r="M355" s="11">
        <f t="shared" si="64"/>
        <v>1</v>
      </c>
      <c r="N355" s="2994"/>
      <c r="O355" s="11">
        <f t="shared" si="65"/>
        <v>1</v>
      </c>
      <c r="P355" s="2994"/>
      <c r="Q355" s="11">
        <f t="shared" si="66"/>
        <v>1</v>
      </c>
      <c r="R355" s="712">
        <f t="shared" ca="1" si="67"/>
        <v>17260</v>
      </c>
      <c r="S355" s="2959">
        <f t="shared" ca="1" si="58"/>
        <v>87</v>
      </c>
    </row>
    <row r="356" spans="1:19">
      <c r="A356" s="2992" t="str">
        <f>Sheet1!F337</f>
        <v>3-831</v>
      </c>
      <c r="B356" s="2992">
        <f>Sheet1!G337</f>
        <v>50.37</v>
      </c>
      <c r="C356" s="11">
        <f t="shared" si="59"/>
        <v>1</v>
      </c>
      <c r="D356" s="2994"/>
      <c r="E356" s="11">
        <f t="shared" si="60"/>
        <v>1</v>
      </c>
      <c r="F356" s="2994"/>
      <c r="G356" s="11">
        <f t="shared" si="61"/>
        <v>1</v>
      </c>
      <c r="H356" s="2994"/>
      <c r="I356" s="11">
        <f t="shared" si="62"/>
        <v>1</v>
      </c>
      <c r="J356" s="2994"/>
      <c r="K356" s="11">
        <f t="shared" si="63"/>
        <v>1</v>
      </c>
      <c r="L356" s="2994"/>
      <c r="M356" s="11">
        <f t="shared" si="64"/>
        <v>1</v>
      </c>
      <c r="N356" s="2994"/>
      <c r="O356" s="11">
        <f t="shared" si="65"/>
        <v>1</v>
      </c>
      <c r="P356" s="2994"/>
      <c r="Q356" s="11">
        <f t="shared" si="66"/>
        <v>1</v>
      </c>
      <c r="R356" s="712">
        <f t="shared" ca="1" si="67"/>
        <v>17260</v>
      </c>
      <c r="S356" s="2959">
        <f t="shared" ca="1" si="58"/>
        <v>87</v>
      </c>
    </row>
    <row r="357" spans="1:19">
      <c r="A357" s="2992" t="str">
        <f>Sheet1!F338</f>
        <v>3-832</v>
      </c>
      <c r="B357" s="2992">
        <f>Sheet1!G338</f>
        <v>50.37</v>
      </c>
      <c r="C357" s="11">
        <f t="shared" si="59"/>
        <v>1</v>
      </c>
      <c r="D357" s="2994"/>
      <c r="E357" s="11">
        <f t="shared" si="60"/>
        <v>1</v>
      </c>
      <c r="F357" s="2994"/>
      <c r="G357" s="11">
        <f t="shared" si="61"/>
        <v>1</v>
      </c>
      <c r="H357" s="2994"/>
      <c r="I357" s="11">
        <f t="shared" si="62"/>
        <v>1</v>
      </c>
      <c r="J357" s="2994"/>
      <c r="K357" s="11">
        <f t="shared" si="63"/>
        <v>1</v>
      </c>
      <c r="L357" s="2994"/>
      <c r="M357" s="11">
        <f t="shared" si="64"/>
        <v>1</v>
      </c>
      <c r="N357" s="2994"/>
      <c r="O357" s="11">
        <f t="shared" si="65"/>
        <v>1</v>
      </c>
      <c r="P357" s="2994"/>
      <c r="Q357" s="11">
        <f t="shared" si="66"/>
        <v>1</v>
      </c>
      <c r="R357" s="712">
        <f t="shared" ca="1" si="67"/>
        <v>17260</v>
      </c>
      <c r="S357" s="2959">
        <f t="shared" ca="1" si="58"/>
        <v>87</v>
      </c>
    </row>
    <row r="358" spans="1:19">
      <c r="A358" s="2992" t="str">
        <f>Sheet1!F339</f>
        <v>3-833</v>
      </c>
      <c r="B358" s="2992">
        <f>Sheet1!G339</f>
        <v>50.11</v>
      </c>
      <c r="C358" s="11">
        <f t="shared" si="59"/>
        <v>1</v>
      </c>
      <c r="D358" s="2994"/>
      <c r="E358" s="11">
        <f t="shared" si="60"/>
        <v>1</v>
      </c>
      <c r="F358" s="2994"/>
      <c r="G358" s="11">
        <f t="shared" si="61"/>
        <v>1</v>
      </c>
      <c r="H358" s="2994"/>
      <c r="I358" s="11">
        <f t="shared" si="62"/>
        <v>1</v>
      </c>
      <c r="J358" s="2994"/>
      <c r="K358" s="11">
        <f t="shared" si="63"/>
        <v>1</v>
      </c>
      <c r="L358" s="2994"/>
      <c r="M358" s="11">
        <f t="shared" si="64"/>
        <v>1</v>
      </c>
      <c r="N358" s="2994"/>
      <c r="O358" s="11">
        <f t="shared" si="65"/>
        <v>1</v>
      </c>
      <c r="P358" s="2994"/>
      <c r="Q358" s="11">
        <f t="shared" si="66"/>
        <v>1</v>
      </c>
      <c r="R358" s="712">
        <f t="shared" ca="1" si="67"/>
        <v>17260</v>
      </c>
      <c r="S358" s="2959">
        <f t="shared" ca="1" si="58"/>
        <v>86</v>
      </c>
    </row>
    <row r="359" spans="1:19">
      <c r="A359" s="2992" t="str">
        <f>Sheet1!F340</f>
        <v>3-834</v>
      </c>
      <c r="B359" s="2992">
        <f>Sheet1!G340</f>
        <v>47.31</v>
      </c>
      <c r="C359" s="11">
        <f t="shared" si="59"/>
        <v>1</v>
      </c>
      <c r="D359" s="2994"/>
      <c r="E359" s="11">
        <f t="shared" si="60"/>
        <v>1</v>
      </c>
      <c r="F359" s="2994"/>
      <c r="G359" s="11">
        <f t="shared" si="61"/>
        <v>1</v>
      </c>
      <c r="H359" s="2994"/>
      <c r="I359" s="11">
        <f t="shared" si="62"/>
        <v>1</v>
      </c>
      <c r="J359" s="2994"/>
      <c r="K359" s="11">
        <f t="shared" si="63"/>
        <v>1</v>
      </c>
      <c r="L359" s="2994"/>
      <c r="M359" s="11">
        <f t="shared" si="64"/>
        <v>1</v>
      </c>
      <c r="N359" s="2994"/>
      <c r="O359" s="11">
        <f t="shared" si="65"/>
        <v>1</v>
      </c>
      <c r="P359" s="2994"/>
      <c r="Q359" s="11">
        <f t="shared" si="66"/>
        <v>1</v>
      </c>
      <c r="R359" s="712">
        <f t="shared" ca="1" si="67"/>
        <v>17260</v>
      </c>
      <c r="S359" s="2959">
        <f t="shared" ca="1" si="58"/>
        <v>82</v>
      </c>
    </row>
    <row r="360" spans="1:19">
      <c r="A360" s="2992" t="str">
        <f>Sheet1!F341</f>
        <v>3-835</v>
      </c>
      <c r="B360" s="2992">
        <f>Sheet1!G341</f>
        <v>68.760000000000005</v>
      </c>
      <c r="C360" s="11">
        <f t="shared" si="59"/>
        <v>1</v>
      </c>
      <c r="D360" s="2994"/>
      <c r="E360" s="11">
        <f t="shared" si="60"/>
        <v>1</v>
      </c>
      <c r="F360" s="2994"/>
      <c r="G360" s="11">
        <f t="shared" si="61"/>
        <v>1</v>
      </c>
      <c r="H360" s="2994"/>
      <c r="I360" s="11">
        <f t="shared" si="62"/>
        <v>1</v>
      </c>
      <c r="J360" s="2994"/>
      <c r="K360" s="11">
        <f t="shared" si="63"/>
        <v>1</v>
      </c>
      <c r="L360" s="2994"/>
      <c r="M360" s="11">
        <f t="shared" si="64"/>
        <v>1</v>
      </c>
      <c r="N360" s="2994"/>
      <c r="O360" s="11">
        <f t="shared" si="65"/>
        <v>1</v>
      </c>
      <c r="P360" s="2994"/>
      <c r="Q360" s="11">
        <f t="shared" si="66"/>
        <v>1</v>
      </c>
      <c r="R360" s="712">
        <f t="shared" ca="1" si="67"/>
        <v>17260</v>
      </c>
      <c r="S360" s="2959">
        <f t="shared" ca="1" si="58"/>
        <v>119</v>
      </c>
    </row>
    <row r="361" spans="1:19">
      <c r="A361" s="2992" t="str">
        <f>Sheet1!F342</f>
        <v>3-836</v>
      </c>
      <c r="B361" s="2992">
        <f>Sheet1!G342</f>
        <v>69.319999999999993</v>
      </c>
      <c r="C361" s="11">
        <f t="shared" si="59"/>
        <v>1</v>
      </c>
      <c r="D361" s="2994"/>
      <c r="E361" s="11">
        <f t="shared" si="60"/>
        <v>1</v>
      </c>
      <c r="F361" s="2994"/>
      <c r="G361" s="11">
        <f t="shared" si="61"/>
        <v>1</v>
      </c>
      <c r="H361" s="2994"/>
      <c r="I361" s="11">
        <f t="shared" si="62"/>
        <v>1</v>
      </c>
      <c r="J361" s="2994"/>
      <c r="K361" s="11">
        <f t="shared" si="63"/>
        <v>1</v>
      </c>
      <c r="L361" s="2994"/>
      <c r="M361" s="11">
        <f t="shared" si="64"/>
        <v>1</v>
      </c>
      <c r="N361" s="2994"/>
      <c r="O361" s="11">
        <f t="shared" si="65"/>
        <v>1</v>
      </c>
      <c r="P361" s="2994"/>
      <c r="Q361" s="11">
        <f t="shared" si="66"/>
        <v>1</v>
      </c>
      <c r="R361" s="712">
        <f t="shared" ca="1" si="67"/>
        <v>17260</v>
      </c>
      <c r="S361" s="2959">
        <f t="shared" ca="1" si="58"/>
        <v>120</v>
      </c>
    </row>
    <row r="362" spans="1:19">
      <c r="A362" s="2992" t="str">
        <f>Sheet1!F343</f>
        <v>3-837</v>
      </c>
      <c r="B362" s="2992">
        <f>Sheet1!G343</f>
        <v>61.41</v>
      </c>
      <c r="C362" s="11">
        <f t="shared" si="59"/>
        <v>1</v>
      </c>
      <c r="D362" s="2994"/>
      <c r="E362" s="11">
        <f t="shared" si="60"/>
        <v>1</v>
      </c>
      <c r="F362" s="2994"/>
      <c r="G362" s="11">
        <f t="shared" si="61"/>
        <v>1</v>
      </c>
      <c r="H362" s="2994"/>
      <c r="I362" s="11">
        <f t="shared" si="62"/>
        <v>1</v>
      </c>
      <c r="J362" s="2994"/>
      <c r="K362" s="11">
        <f t="shared" si="63"/>
        <v>1</v>
      </c>
      <c r="L362" s="2994"/>
      <c r="M362" s="11">
        <f t="shared" si="64"/>
        <v>1</v>
      </c>
      <c r="N362" s="2994"/>
      <c r="O362" s="11">
        <f t="shared" si="65"/>
        <v>1</v>
      </c>
      <c r="P362" s="2994"/>
      <c r="Q362" s="11">
        <f t="shared" si="66"/>
        <v>1</v>
      </c>
      <c r="R362" s="712">
        <f t="shared" ca="1" si="67"/>
        <v>17260</v>
      </c>
      <c r="S362" s="2959">
        <f t="shared" ca="1" si="58"/>
        <v>106</v>
      </c>
    </row>
    <row r="363" spans="1:19">
      <c r="A363" s="2992" t="str">
        <f>Sheet1!F344</f>
        <v>3-838</v>
      </c>
      <c r="B363" s="2992">
        <f>Sheet1!G344</f>
        <v>61.41</v>
      </c>
      <c r="C363" s="11">
        <f t="shared" si="59"/>
        <v>1</v>
      </c>
      <c r="D363" s="2994"/>
      <c r="E363" s="11">
        <f t="shared" si="60"/>
        <v>1</v>
      </c>
      <c r="F363" s="2994"/>
      <c r="G363" s="11">
        <f t="shared" si="61"/>
        <v>1</v>
      </c>
      <c r="H363" s="2994"/>
      <c r="I363" s="11">
        <f t="shared" si="62"/>
        <v>1</v>
      </c>
      <c r="J363" s="2994"/>
      <c r="K363" s="11">
        <f t="shared" si="63"/>
        <v>1</v>
      </c>
      <c r="L363" s="2994"/>
      <c r="M363" s="11">
        <f t="shared" si="64"/>
        <v>1</v>
      </c>
      <c r="N363" s="2994"/>
      <c r="O363" s="11">
        <f t="shared" si="65"/>
        <v>1</v>
      </c>
      <c r="P363" s="2994"/>
      <c r="Q363" s="11">
        <f t="shared" si="66"/>
        <v>1</v>
      </c>
      <c r="R363" s="712">
        <f t="shared" ca="1" si="67"/>
        <v>17260</v>
      </c>
      <c r="S363" s="2959">
        <f t="shared" ca="1" si="58"/>
        <v>106</v>
      </c>
    </row>
    <row r="364" spans="1:19">
      <c r="A364" s="2992" t="str">
        <f>Sheet1!F345</f>
        <v>3-839</v>
      </c>
      <c r="B364" s="2992">
        <f>Sheet1!G345</f>
        <v>61.41</v>
      </c>
      <c r="C364" s="11">
        <f t="shared" si="59"/>
        <v>1</v>
      </c>
      <c r="D364" s="2994"/>
      <c r="E364" s="11">
        <f t="shared" si="60"/>
        <v>1</v>
      </c>
      <c r="F364" s="2994"/>
      <c r="G364" s="11">
        <f t="shared" si="61"/>
        <v>1</v>
      </c>
      <c r="H364" s="2994"/>
      <c r="I364" s="11">
        <f t="shared" si="62"/>
        <v>1</v>
      </c>
      <c r="J364" s="2994"/>
      <c r="K364" s="11">
        <f t="shared" si="63"/>
        <v>1</v>
      </c>
      <c r="L364" s="2994"/>
      <c r="M364" s="11">
        <f t="shared" si="64"/>
        <v>1</v>
      </c>
      <c r="N364" s="2994"/>
      <c r="O364" s="11">
        <f t="shared" si="65"/>
        <v>1</v>
      </c>
      <c r="P364" s="2994"/>
      <c r="Q364" s="11">
        <f t="shared" si="66"/>
        <v>1</v>
      </c>
      <c r="R364" s="712">
        <f t="shared" ca="1" si="67"/>
        <v>17260</v>
      </c>
      <c r="S364" s="2959">
        <f t="shared" ca="1" si="58"/>
        <v>106</v>
      </c>
    </row>
    <row r="365" spans="1:19">
      <c r="A365" s="2992" t="str">
        <f>Sheet1!F346</f>
        <v>3-840</v>
      </c>
      <c r="B365" s="2992">
        <f>Sheet1!G346</f>
        <v>61.41</v>
      </c>
      <c r="C365" s="11">
        <f t="shared" si="59"/>
        <v>1</v>
      </c>
      <c r="D365" s="2994"/>
      <c r="E365" s="11">
        <f t="shared" si="60"/>
        <v>1</v>
      </c>
      <c r="F365" s="2994"/>
      <c r="G365" s="11">
        <f t="shared" si="61"/>
        <v>1</v>
      </c>
      <c r="H365" s="2994"/>
      <c r="I365" s="11">
        <f t="shared" si="62"/>
        <v>1</v>
      </c>
      <c r="J365" s="2994"/>
      <c r="K365" s="11">
        <f t="shared" si="63"/>
        <v>1</v>
      </c>
      <c r="L365" s="2994"/>
      <c r="M365" s="11">
        <f t="shared" si="64"/>
        <v>1</v>
      </c>
      <c r="N365" s="2994"/>
      <c r="O365" s="11">
        <f t="shared" si="65"/>
        <v>1</v>
      </c>
      <c r="P365" s="2994"/>
      <c r="Q365" s="11">
        <f t="shared" si="66"/>
        <v>1</v>
      </c>
      <c r="R365" s="712">
        <f t="shared" ca="1" si="67"/>
        <v>17260</v>
      </c>
      <c r="S365" s="2959">
        <f t="shared" ca="1" si="58"/>
        <v>106</v>
      </c>
    </row>
    <row r="366" spans="1:19">
      <c r="A366" s="2992" t="str">
        <f>Sheet1!F347</f>
        <v>3-841</v>
      </c>
      <c r="B366" s="2992">
        <f>Sheet1!G347</f>
        <v>61.41</v>
      </c>
      <c r="C366" s="11">
        <f t="shared" si="59"/>
        <v>1</v>
      </c>
      <c r="D366" s="2994"/>
      <c r="E366" s="11">
        <f t="shared" si="60"/>
        <v>1</v>
      </c>
      <c r="F366" s="2994"/>
      <c r="G366" s="11">
        <f t="shared" si="61"/>
        <v>1</v>
      </c>
      <c r="H366" s="2994"/>
      <c r="I366" s="11">
        <f t="shared" si="62"/>
        <v>1</v>
      </c>
      <c r="J366" s="2994"/>
      <c r="K366" s="11">
        <f t="shared" si="63"/>
        <v>1</v>
      </c>
      <c r="L366" s="2994"/>
      <c r="M366" s="11">
        <f t="shared" si="64"/>
        <v>1</v>
      </c>
      <c r="N366" s="2994"/>
      <c r="O366" s="11">
        <f t="shared" si="65"/>
        <v>1</v>
      </c>
      <c r="P366" s="2994"/>
      <c r="Q366" s="11">
        <f t="shared" si="66"/>
        <v>1</v>
      </c>
      <c r="R366" s="712">
        <f t="shared" ca="1" si="67"/>
        <v>17260</v>
      </c>
      <c r="S366" s="2959">
        <f t="shared" ca="1" si="58"/>
        <v>106</v>
      </c>
    </row>
    <row r="367" spans="1:19">
      <c r="A367" s="2992" t="str">
        <f>Sheet1!F348</f>
        <v>3-842</v>
      </c>
      <c r="B367" s="2992">
        <f>Sheet1!G348</f>
        <v>72.87</v>
      </c>
      <c r="C367" s="11">
        <f t="shared" si="59"/>
        <v>1</v>
      </c>
      <c r="D367" s="2994"/>
      <c r="E367" s="11">
        <f t="shared" si="60"/>
        <v>1</v>
      </c>
      <c r="F367" s="2994"/>
      <c r="G367" s="11">
        <f t="shared" si="61"/>
        <v>1</v>
      </c>
      <c r="H367" s="2994"/>
      <c r="I367" s="11">
        <f t="shared" si="62"/>
        <v>1</v>
      </c>
      <c r="J367" s="2994"/>
      <c r="K367" s="11">
        <f t="shared" si="63"/>
        <v>1</v>
      </c>
      <c r="L367" s="2994"/>
      <c r="M367" s="11">
        <f t="shared" si="64"/>
        <v>1</v>
      </c>
      <c r="N367" s="2994"/>
      <c r="O367" s="11">
        <f t="shared" si="65"/>
        <v>1</v>
      </c>
      <c r="P367" s="2994"/>
      <c r="Q367" s="11">
        <f t="shared" si="66"/>
        <v>1</v>
      </c>
      <c r="R367" s="712">
        <f t="shared" ca="1" si="67"/>
        <v>17260</v>
      </c>
      <c r="S367" s="2959">
        <f t="shared" ca="1" si="58"/>
        <v>126</v>
      </c>
    </row>
    <row r="368" spans="1:19">
      <c r="A368" s="2992" t="str">
        <f>Sheet1!F349</f>
        <v>3-843</v>
      </c>
      <c r="B368" s="2992">
        <f>Sheet1!G349</f>
        <v>81.069999999999993</v>
      </c>
      <c r="C368" s="11">
        <f t="shared" si="59"/>
        <v>1</v>
      </c>
      <c r="D368" s="2994"/>
      <c r="E368" s="11">
        <f t="shared" si="60"/>
        <v>1</v>
      </c>
      <c r="F368" s="2994"/>
      <c r="G368" s="11">
        <f t="shared" si="61"/>
        <v>1</v>
      </c>
      <c r="H368" s="2994"/>
      <c r="I368" s="11">
        <f t="shared" si="62"/>
        <v>1</v>
      </c>
      <c r="J368" s="2994"/>
      <c r="K368" s="11">
        <f t="shared" si="63"/>
        <v>1</v>
      </c>
      <c r="L368" s="2994"/>
      <c r="M368" s="11">
        <f t="shared" si="64"/>
        <v>1</v>
      </c>
      <c r="N368" s="2994"/>
      <c r="O368" s="11">
        <f t="shared" si="65"/>
        <v>1</v>
      </c>
      <c r="P368" s="2994"/>
      <c r="Q368" s="11">
        <f t="shared" si="66"/>
        <v>1</v>
      </c>
      <c r="R368" s="712">
        <f t="shared" ca="1" si="67"/>
        <v>17260</v>
      </c>
      <c r="S368" s="2959">
        <f t="shared" ca="1" si="58"/>
        <v>140</v>
      </c>
    </row>
    <row r="369" spans="1:19">
      <c r="A369" s="2992" t="str">
        <f>Sheet1!F350</f>
        <v>3-844</v>
      </c>
      <c r="B369" s="2992">
        <f>Sheet1!G350</f>
        <v>61.41</v>
      </c>
      <c r="C369" s="11">
        <f t="shared" si="59"/>
        <v>1</v>
      </c>
      <c r="D369" s="2994"/>
      <c r="E369" s="11">
        <f t="shared" si="60"/>
        <v>1</v>
      </c>
      <c r="F369" s="2994"/>
      <c r="G369" s="11">
        <f t="shared" si="61"/>
        <v>1</v>
      </c>
      <c r="H369" s="2994"/>
      <c r="I369" s="11">
        <f t="shared" si="62"/>
        <v>1</v>
      </c>
      <c r="J369" s="2994"/>
      <c r="K369" s="11">
        <f t="shared" si="63"/>
        <v>1</v>
      </c>
      <c r="L369" s="2994"/>
      <c r="M369" s="11">
        <f t="shared" si="64"/>
        <v>1</v>
      </c>
      <c r="N369" s="2994"/>
      <c r="O369" s="11">
        <f t="shared" si="65"/>
        <v>1</v>
      </c>
      <c r="P369" s="2994"/>
      <c r="Q369" s="11">
        <f t="shared" si="66"/>
        <v>1</v>
      </c>
      <c r="R369" s="712">
        <f t="shared" ca="1" si="67"/>
        <v>17260</v>
      </c>
      <c r="S369" s="2959">
        <f t="shared" ca="1" si="58"/>
        <v>106</v>
      </c>
    </row>
    <row r="370" spans="1:19">
      <c r="A370" s="2992" t="str">
        <f>Sheet1!F351</f>
        <v>3-845</v>
      </c>
      <c r="B370" s="2992">
        <f>Sheet1!G351</f>
        <v>54.6</v>
      </c>
      <c r="C370" s="11">
        <f t="shared" si="59"/>
        <v>1</v>
      </c>
      <c r="D370" s="2994"/>
      <c r="E370" s="11">
        <f t="shared" si="60"/>
        <v>1</v>
      </c>
      <c r="F370" s="2994"/>
      <c r="G370" s="11">
        <f t="shared" si="61"/>
        <v>1</v>
      </c>
      <c r="H370" s="2994"/>
      <c r="I370" s="11">
        <f t="shared" si="62"/>
        <v>1</v>
      </c>
      <c r="J370" s="2994"/>
      <c r="K370" s="11">
        <f t="shared" si="63"/>
        <v>1</v>
      </c>
      <c r="L370" s="2994"/>
      <c r="M370" s="11">
        <f t="shared" si="64"/>
        <v>1</v>
      </c>
      <c r="N370" s="2994"/>
      <c r="O370" s="11">
        <f t="shared" si="65"/>
        <v>1</v>
      </c>
      <c r="P370" s="2994"/>
      <c r="Q370" s="11">
        <f t="shared" si="66"/>
        <v>1</v>
      </c>
      <c r="R370" s="712">
        <f t="shared" ca="1" si="67"/>
        <v>17260</v>
      </c>
      <c r="S370" s="2959">
        <f t="shared" ca="1" si="58"/>
        <v>94</v>
      </c>
    </row>
    <row r="371" spans="1:19">
      <c r="A371" s="2992" t="str">
        <f>Sheet1!F352</f>
        <v>3-846</v>
      </c>
      <c r="B371" s="2992">
        <f>Sheet1!G352</f>
        <v>71.23</v>
      </c>
      <c r="C371" s="11">
        <f t="shared" si="59"/>
        <v>1</v>
      </c>
      <c r="D371" s="2994"/>
      <c r="E371" s="11">
        <f t="shared" si="60"/>
        <v>1</v>
      </c>
      <c r="F371" s="2994"/>
      <c r="G371" s="11">
        <f t="shared" si="61"/>
        <v>1</v>
      </c>
      <c r="H371" s="2994"/>
      <c r="I371" s="11">
        <f t="shared" si="62"/>
        <v>1</v>
      </c>
      <c r="J371" s="2994"/>
      <c r="K371" s="11">
        <f t="shared" si="63"/>
        <v>1</v>
      </c>
      <c r="L371" s="2994"/>
      <c r="M371" s="11">
        <f t="shared" si="64"/>
        <v>1</v>
      </c>
      <c r="N371" s="2994"/>
      <c r="O371" s="11">
        <f t="shared" si="65"/>
        <v>1</v>
      </c>
      <c r="P371" s="2994"/>
      <c r="Q371" s="11">
        <f t="shared" si="66"/>
        <v>1</v>
      </c>
      <c r="R371" s="712">
        <f t="shared" ca="1" si="67"/>
        <v>17260</v>
      </c>
      <c r="S371" s="2959">
        <f t="shared" ca="1" si="58"/>
        <v>123</v>
      </c>
    </row>
    <row r="372" spans="1:19">
      <c r="A372" s="2992" t="str">
        <f>Sheet1!F353</f>
        <v>3-847</v>
      </c>
      <c r="B372" s="2992">
        <f>Sheet1!G353</f>
        <v>61.41</v>
      </c>
      <c r="C372" s="11">
        <f t="shared" si="59"/>
        <v>1</v>
      </c>
      <c r="D372" s="2994"/>
      <c r="E372" s="11">
        <f t="shared" si="60"/>
        <v>1</v>
      </c>
      <c r="F372" s="2994"/>
      <c r="G372" s="11">
        <f t="shared" si="61"/>
        <v>1</v>
      </c>
      <c r="H372" s="2994"/>
      <c r="I372" s="11">
        <f t="shared" si="62"/>
        <v>1</v>
      </c>
      <c r="J372" s="2994"/>
      <c r="K372" s="11">
        <f t="shared" si="63"/>
        <v>1</v>
      </c>
      <c r="L372" s="2994"/>
      <c r="M372" s="11">
        <f t="shared" si="64"/>
        <v>1</v>
      </c>
      <c r="N372" s="2994"/>
      <c r="O372" s="11">
        <f t="shared" si="65"/>
        <v>1</v>
      </c>
      <c r="P372" s="2994"/>
      <c r="Q372" s="11">
        <f t="shared" si="66"/>
        <v>1</v>
      </c>
      <c r="R372" s="712">
        <f t="shared" ca="1" si="67"/>
        <v>17260</v>
      </c>
      <c r="S372" s="2959">
        <f t="shared" ca="1" si="58"/>
        <v>106</v>
      </c>
    </row>
    <row r="373" spans="1:19">
      <c r="A373" s="2992" t="str">
        <f>Sheet1!F354</f>
        <v>3-848</v>
      </c>
      <c r="B373" s="2992">
        <f>Sheet1!G354</f>
        <v>61.41</v>
      </c>
      <c r="C373" s="11">
        <f t="shared" si="59"/>
        <v>1</v>
      </c>
      <c r="D373" s="2994"/>
      <c r="E373" s="11">
        <f t="shared" si="60"/>
        <v>1</v>
      </c>
      <c r="F373" s="2994"/>
      <c r="G373" s="11">
        <f t="shared" si="61"/>
        <v>1</v>
      </c>
      <c r="H373" s="2994"/>
      <c r="I373" s="11">
        <f t="shared" si="62"/>
        <v>1</v>
      </c>
      <c r="J373" s="2994"/>
      <c r="K373" s="11">
        <f t="shared" si="63"/>
        <v>1</v>
      </c>
      <c r="L373" s="2994"/>
      <c r="M373" s="11">
        <f t="shared" si="64"/>
        <v>1</v>
      </c>
      <c r="N373" s="2994"/>
      <c r="O373" s="11">
        <f t="shared" si="65"/>
        <v>1</v>
      </c>
      <c r="P373" s="2994"/>
      <c r="Q373" s="11">
        <f t="shared" si="66"/>
        <v>1</v>
      </c>
      <c r="R373" s="712">
        <f t="shared" ca="1" si="67"/>
        <v>17260</v>
      </c>
      <c r="S373" s="2959">
        <f t="shared" ca="1" si="58"/>
        <v>106</v>
      </c>
    </row>
    <row r="374" spans="1:19">
      <c r="A374" s="2992" t="str">
        <f>Sheet1!F355</f>
        <v>3-849</v>
      </c>
      <c r="B374" s="2992">
        <f>Sheet1!G355</f>
        <v>61.41</v>
      </c>
      <c r="C374" s="11">
        <f t="shared" si="59"/>
        <v>1</v>
      </c>
      <c r="D374" s="2994"/>
      <c r="E374" s="11">
        <f t="shared" si="60"/>
        <v>1</v>
      </c>
      <c r="F374" s="2994"/>
      <c r="G374" s="11">
        <f t="shared" si="61"/>
        <v>1</v>
      </c>
      <c r="H374" s="2994"/>
      <c r="I374" s="11">
        <f t="shared" si="62"/>
        <v>1</v>
      </c>
      <c r="J374" s="2994"/>
      <c r="K374" s="11">
        <f t="shared" si="63"/>
        <v>1</v>
      </c>
      <c r="L374" s="2994"/>
      <c r="M374" s="11">
        <f t="shared" si="64"/>
        <v>1</v>
      </c>
      <c r="N374" s="2994"/>
      <c r="O374" s="11">
        <f t="shared" si="65"/>
        <v>1</v>
      </c>
      <c r="P374" s="2994"/>
      <c r="Q374" s="11">
        <f t="shared" si="66"/>
        <v>1</v>
      </c>
      <c r="R374" s="712">
        <f t="shared" ca="1" si="67"/>
        <v>17260</v>
      </c>
      <c r="S374" s="2959">
        <f t="shared" ca="1" si="58"/>
        <v>106</v>
      </c>
    </row>
    <row r="375" spans="1:19">
      <c r="A375" s="2992" t="str">
        <f>Sheet1!F356</f>
        <v>3-850</v>
      </c>
      <c r="B375" s="2992">
        <f>Sheet1!G356</f>
        <v>61.88</v>
      </c>
      <c r="C375" s="11">
        <f t="shared" si="59"/>
        <v>1</v>
      </c>
      <c r="D375" s="2994"/>
      <c r="E375" s="11">
        <f t="shared" si="60"/>
        <v>1</v>
      </c>
      <c r="F375" s="2994"/>
      <c r="G375" s="11">
        <f t="shared" si="61"/>
        <v>1</v>
      </c>
      <c r="H375" s="2994"/>
      <c r="I375" s="11">
        <f t="shared" si="62"/>
        <v>1</v>
      </c>
      <c r="J375" s="2994"/>
      <c r="K375" s="11">
        <f t="shared" si="63"/>
        <v>1</v>
      </c>
      <c r="L375" s="2994"/>
      <c r="M375" s="11">
        <f t="shared" si="64"/>
        <v>1</v>
      </c>
      <c r="N375" s="2994"/>
      <c r="O375" s="11">
        <f t="shared" si="65"/>
        <v>1</v>
      </c>
      <c r="P375" s="2994"/>
      <c r="Q375" s="11">
        <f t="shared" si="66"/>
        <v>1</v>
      </c>
      <c r="R375" s="712">
        <f t="shared" ca="1" si="67"/>
        <v>17260</v>
      </c>
      <c r="S375" s="2959">
        <f t="shared" ca="1" si="58"/>
        <v>107</v>
      </c>
    </row>
    <row r="376" spans="1:19">
      <c r="A376" s="2992" t="str">
        <f>Sheet1!F357</f>
        <v>3-851</v>
      </c>
      <c r="B376" s="2992">
        <f>Sheet1!G357</f>
        <v>58.8</v>
      </c>
      <c r="C376" s="11">
        <f t="shared" si="59"/>
        <v>1</v>
      </c>
      <c r="D376" s="2994"/>
      <c r="E376" s="11">
        <f t="shared" si="60"/>
        <v>1</v>
      </c>
      <c r="F376" s="2994"/>
      <c r="G376" s="11">
        <f t="shared" si="61"/>
        <v>1</v>
      </c>
      <c r="H376" s="2994"/>
      <c r="I376" s="11">
        <f t="shared" si="62"/>
        <v>1</v>
      </c>
      <c r="J376" s="2994"/>
      <c r="K376" s="11">
        <f t="shared" si="63"/>
        <v>1</v>
      </c>
      <c r="L376" s="2994"/>
      <c r="M376" s="11">
        <f t="shared" si="64"/>
        <v>1</v>
      </c>
      <c r="N376" s="2994"/>
      <c r="O376" s="11">
        <f t="shared" si="65"/>
        <v>1</v>
      </c>
      <c r="P376" s="2994"/>
      <c r="Q376" s="11">
        <f t="shared" si="66"/>
        <v>1</v>
      </c>
      <c r="R376" s="712">
        <f t="shared" ca="1" si="67"/>
        <v>17260</v>
      </c>
      <c r="S376" s="2959">
        <f t="shared" ca="1" si="58"/>
        <v>101</v>
      </c>
    </row>
    <row r="377" spans="1:19">
      <c r="A377" s="2992" t="str">
        <f>Sheet1!F358</f>
        <v>3-852</v>
      </c>
      <c r="B377" s="2992">
        <f>Sheet1!G358</f>
        <v>60.21</v>
      </c>
      <c r="C377" s="11">
        <f t="shared" si="59"/>
        <v>1</v>
      </c>
      <c r="D377" s="2994"/>
      <c r="E377" s="11">
        <f t="shared" si="60"/>
        <v>1</v>
      </c>
      <c r="F377" s="2994"/>
      <c r="G377" s="11">
        <f t="shared" si="61"/>
        <v>1</v>
      </c>
      <c r="H377" s="2994"/>
      <c r="I377" s="11">
        <f t="shared" si="62"/>
        <v>1</v>
      </c>
      <c r="J377" s="2994"/>
      <c r="K377" s="11">
        <f t="shared" si="63"/>
        <v>1</v>
      </c>
      <c r="L377" s="2994"/>
      <c r="M377" s="11">
        <f t="shared" si="64"/>
        <v>1</v>
      </c>
      <c r="N377" s="2994"/>
      <c r="O377" s="11">
        <f t="shared" si="65"/>
        <v>1</v>
      </c>
      <c r="P377" s="2994"/>
      <c r="Q377" s="11">
        <f t="shared" si="66"/>
        <v>1</v>
      </c>
      <c r="R377" s="712">
        <f t="shared" ca="1" si="67"/>
        <v>17260</v>
      </c>
      <c r="S377" s="2959">
        <f t="shared" ca="1" si="58"/>
        <v>104</v>
      </c>
    </row>
    <row r="378" spans="1:19">
      <c r="A378" s="2992" t="str">
        <f>Sheet1!F359</f>
        <v>4-801</v>
      </c>
      <c r="B378" s="2992">
        <f>Sheet1!G359</f>
        <v>65.760000000000005</v>
      </c>
      <c r="C378" s="11">
        <f t="shared" si="59"/>
        <v>1</v>
      </c>
      <c r="D378" s="2994"/>
      <c r="E378" s="11">
        <f t="shared" si="60"/>
        <v>1</v>
      </c>
      <c r="F378" s="2994"/>
      <c r="G378" s="11">
        <f t="shared" si="61"/>
        <v>1</v>
      </c>
      <c r="H378" s="2994"/>
      <c r="I378" s="11">
        <f t="shared" si="62"/>
        <v>1</v>
      </c>
      <c r="J378" s="2994"/>
      <c r="K378" s="11">
        <f t="shared" si="63"/>
        <v>1</v>
      </c>
      <c r="L378" s="2994"/>
      <c r="M378" s="11">
        <f t="shared" si="64"/>
        <v>1</v>
      </c>
      <c r="N378" s="2994"/>
      <c r="O378" s="11">
        <f t="shared" si="65"/>
        <v>1</v>
      </c>
      <c r="P378" s="2994"/>
      <c r="Q378" s="11">
        <f t="shared" si="66"/>
        <v>1</v>
      </c>
      <c r="R378" s="712">
        <f t="shared" ca="1" si="67"/>
        <v>17260</v>
      </c>
      <c r="S378" s="2959">
        <f t="shared" ca="1" si="58"/>
        <v>114</v>
      </c>
    </row>
    <row r="379" spans="1:19">
      <c r="A379" s="2992" t="str">
        <f>Sheet1!F360</f>
        <v>4-802</v>
      </c>
      <c r="B379" s="2992">
        <f>Sheet1!G360</f>
        <v>59.41</v>
      </c>
      <c r="C379" s="11">
        <f t="shared" si="59"/>
        <v>1</v>
      </c>
      <c r="D379" s="2994"/>
      <c r="E379" s="11">
        <f t="shared" si="60"/>
        <v>1</v>
      </c>
      <c r="F379" s="2994"/>
      <c r="G379" s="11">
        <f t="shared" si="61"/>
        <v>1</v>
      </c>
      <c r="H379" s="2994"/>
      <c r="I379" s="11">
        <f t="shared" si="62"/>
        <v>1</v>
      </c>
      <c r="J379" s="2994"/>
      <c r="K379" s="11">
        <f t="shared" si="63"/>
        <v>1</v>
      </c>
      <c r="L379" s="2994"/>
      <c r="M379" s="11">
        <f t="shared" si="64"/>
        <v>1</v>
      </c>
      <c r="N379" s="2994"/>
      <c r="O379" s="11">
        <f t="shared" si="65"/>
        <v>1</v>
      </c>
      <c r="P379" s="2994"/>
      <c r="Q379" s="11">
        <f t="shared" si="66"/>
        <v>1</v>
      </c>
      <c r="R379" s="712">
        <f t="shared" ca="1" si="67"/>
        <v>17260</v>
      </c>
      <c r="S379" s="2959">
        <f t="shared" ca="1" si="58"/>
        <v>103</v>
      </c>
    </row>
    <row r="380" spans="1:19">
      <c r="A380" s="2992" t="str">
        <f>Sheet1!F361</f>
        <v>4-803</v>
      </c>
      <c r="B380" s="2992">
        <f>Sheet1!G361</f>
        <v>60.69</v>
      </c>
      <c r="C380" s="11">
        <f t="shared" si="59"/>
        <v>1</v>
      </c>
      <c r="D380" s="2994"/>
      <c r="E380" s="11">
        <f t="shared" si="60"/>
        <v>1</v>
      </c>
      <c r="F380" s="2994"/>
      <c r="G380" s="11">
        <f t="shared" si="61"/>
        <v>1</v>
      </c>
      <c r="H380" s="2994"/>
      <c r="I380" s="11">
        <f t="shared" si="62"/>
        <v>1</v>
      </c>
      <c r="J380" s="2994"/>
      <c r="K380" s="11">
        <f t="shared" si="63"/>
        <v>1</v>
      </c>
      <c r="L380" s="2994"/>
      <c r="M380" s="11">
        <f t="shared" si="64"/>
        <v>1</v>
      </c>
      <c r="N380" s="2994"/>
      <c r="O380" s="11">
        <f t="shared" si="65"/>
        <v>1</v>
      </c>
      <c r="P380" s="2994"/>
      <c r="Q380" s="11">
        <f t="shared" si="66"/>
        <v>1</v>
      </c>
      <c r="R380" s="712">
        <f t="shared" ca="1" si="67"/>
        <v>17260</v>
      </c>
      <c r="S380" s="2959">
        <f t="shared" ca="1" si="58"/>
        <v>105</v>
      </c>
    </row>
    <row r="381" spans="1:19">
      <c r="A381" s="2992" t="str">
        <f>Sheet1!F362</f>
        <v>4-804</v>
      </c>
      <c r="B381" s="2992">
        <f>Sheet1!G362</f>
        <v>60.69</v>
      </c>
      <c r="C381" s="11">
        <f t="shared" si="59"/>
        <v>1</v>
      </c>
      <c r="D381" s="2994"/>
      <c r="E381" s="11">
        <f t="shared" si="60"/>
        <v>1</v>
      </c>
      <c r="F381" s="2994"/>
      <c r="G381" s="11">
        <f t="shared" si="61"/>
        <v>1</v>
      </c>
      <c r="H381" s="2994"/>
      <c r="I381" s="11">
        <f t="shared" si="62"/>
        <v>1</v>
      </c>
      <c r="J381" s="2994"/>
      <c r="K381" s="11">
        <f t="shared" si="63"/>
        <v>1</v>
      </c>
      <c r="L381" s="2994"/>
      <c r="M381" s="11">
        <f t="shared" si="64"/>
        <v>1</v>
      </c>
      <c r="N381" s="2994"/>
      <c r="O381" s="11">
        <f t="shared" si="65"/>
        <v>1</v>
      </c>
      <c r="P381" s="2994"/>
      <c r="Q381" s="11">
        <f t="shared" si="66"/>
        <v>1</v>
      </c>
      <c r="R381" s="712">
        <f t="shared" ca="1" si="67"/>
        <v>17260</v>
      </c>
      <c r="S381" s="2959">
        <f t="shared" ca="1" si="58"/>
        <v>105</v>
      </c>
    </row>
    <row r="382" spans="1:19">
      <c r="A382" s="2992" t="str">
        <f>Sheet1!F363</f>
        <v>4-805</v>
      </c>
      <c r="B382" s="2992">
        <f>Sheet1!G363</f>
        <v>60.69</v>
      </c>
      <c r="C382" s="11">
        <f t="shared" si="59"/>
        <v>1</v>
      </c>
      <c r="D382" s="2994"/>
      <c r="E382" s="11">
        <f t="shared" si="60"/>
        <v>1</v>
      </c>
      <c r="F382" s="2994"/>
      <c r="G382" s="11">
        <f t="shared" si="61"/>
        <v>1</v>
      </c>
      <c r="H382" s="2994"/>
      <c r="I382" s="11">
        <f t="shared" si="62"/>
        <v>1</v>
      </c>
      <c r="J382" s="2994"/>
      <c r="K382" s="11">
        <f t="shared" si="63"/>
        <v>1</v>
      </c>
      <c r="L382" s="2994"/>
      <c r="M382" s="11">
        <f t="shared" si="64"/>
        <v>1</v>
      </c>
      <c r="N382" s="2994"/>
      <c r="O382" s="11">
        <f t="shared" si="65"/>
        <v>1</v>
      </c>
      <c r="P382" s="2994"/>
      <c r="Q382" s="11">
        <f t="shared" si="66"/>
        <v>1</v>
      </c>
      <c r="R382" s="712">
        <f t="shared" ca="1" si="67"/>
        <v>17260</v>
      </c>
      <c r="S382" s="2959">
        <f t="shared" ca="1" si="58"/>
        <v>105</v>
      </c>
    </row>
    <row r="383" spans="1:19">
      <c r="A383" s="2992" t="str">
        <f>Sheet1!F364</f>
        <v>4-806</v>
      </c>
      <c r="B383" s="2992">
        <f>Sheet1!G364</f>
        <v>60.69</v>
      </c>
      <c r="C383" s="11">
        <f t="shared" si="59"/>
        <v>1</v>
      </c>
      <c r="D383" s="2994"/>
      <c r="E383" s="11">
        <f t="shared" si="60"/>
        <v>1</v>
      </c>
      <c r="F383" s="2994"/>
      <c r="G383" s="11">
        <f t="shared" si="61"/>
        <v>1</v>
      </c>
      <c r="H383" s="2994"/>
      <c r="I383" s="11">
        <f t="shared" si="62"/>
        <v>1</v>
      </c>
      <c r="J383" s="2994"/>
      <c r="K383" s="11">
        <f t="shared" si="63"/>
        <v>1</v>
      </c>
      <c r="L383" s="2994"/>
      <c r="M383" s="11">
        <f t="shared" si="64"/>
        <v>1</v>
      </c>
      <c r="N383" s="2994"/>
      <c r="O383" s="11">
        <f t="shared" si="65"/>
        <v>1</v>
      </c>
      <c r="P383" s="2994"/>
      <c r="Q383" s="11">
        <f t="shared" si="66"/>
        <v>1</v>
      </c>
      <c r="R383" s="712">
        <f t="shared" ca="1" si="67"/>
        <v>17260</v>
      </c>
      <c r="S383" s="2959">
        <f t="shared" ca="1" si="58"/>
        <v>105</v>
      </c>
    </row>
    <row r="384" spans="1:19">
      <c r="A384" s="2992" t="str">
        <f>Sheet1!F365</f>
        <v>4-807</v>
      </c>
      <c r="B384" s="2992">
        <f>Sheet1!G365</f>
        <v>60.69</v>
      </c>
      <c r="C384" s="11">
        <f t="shared" si="59"/>
        <v>1</v>
      </c>
      <c r="D384" s="2994"/>
      <c r="E384" s="11">
        <f t="shared" si="60"/>
        <v>1</v>
      </c>
      <c r="F384" s="2994"/>
      <c r="G384" s="11">
        <f t="shared" si="61"/>
        <v>1</v>
      </c>
      <c r="H384" s="2994"/>
      <c r="I384" s="11">
        <f t="shared" si="62"/>
        <v>1</v>
      </c>
      <c r="J384" s="2994"/>
      <c r="K384" s="11">
        <f t="shared" si="63"/>
        <v>1</v>
      </c>
      <c r="L384" s="2994"/>
      <c r="M384" s="11">
        <f t="shared" si="64"/>
        <v>1</v>
      </c>
      <c r="N384" s="2994"/>
      <c r="O384" s="11">
        <f t="shared" si="65"/>
        <v>1</v>
      </c>
      <c r="P384" s="2994"/>
      <c r="Q384" s="11">
        <f t="shared" si="66"/>
        <v>1</v>
      </c>
      <c r="R384" s="712">
        <f t="shared" ca="1" si="67"/>
        <v>17260</v>
      </c>
      <c r="S384" s="2959">
        <f t="shared" ca="1" si="58"/>
        <v>105</v>
      </c>
    </row>
    <row r="385" spans="1:19">
      <c r="A385" s="2992" t="str">
        <f>Sheet1!F366</f>
        <v>4-808</v>
      </c>
      <c r="B385" s="2992">
        <f>Sheet1!G366</f>
        <v>60.69</v>
      </c>
      <c r="C385" s="11">
        <f t="shared" si="59"/>
        <v>1</v>
      </c>
      <c r="D385" s="2994"/>
      <c r="E385" s="11">
        <f t="shared" si="60"/>
        <v>1</v>
      </c>
      <c r="F385" s="2994"/>
      <c r="G385" s="11">
        <f t="shared" si="61"/>
        <v>1</v>
      </c>
      <c r="H385" s="2994"/>
      <c r="I385" s="11">
        <f t="shared" si="62"/>
        <v>1</v>
      </c>
      <c r="J385" s="2994"/>
      <c r="K385" s="11">
        <f t="shared" si="63"/>
        <v>1</v>
      </c>
      <c r="L385" s="2994"/>
      <c r="M385" s="11">
        <f t="shared" si="64"/>
        <v>1</v>
      </c>
      <c r="N385" s="2994"/>
      <c r="O385" s="11">
        <f t="shared" si="65"/>
        <v>1</v>
      </c>
      <c r="P385" s="2994"/>
      <c r="Q385" s="11">
        <f t="shared" si="66"/>
        <v>1</v>
      </c>
      <c r="R385" s="712">
        <f t="shared" ca="1" si="67"/>
        <v>17260</v>
      </c>
      <c r="S385" s="2959">
        <f t="shared" ref="S385:S422" ca="1" si="68">ROUND(R385*B385/10000,0)</f>
        <v>105</v>
      </c>
    </row>
    <row r="386" spans="1:19">
      <c r="A386" s="2992" t="str">
        <f>Sheet1!F367</f>
        <v>4-809</v>
      </c>
      <c r="B386" s="2992">
        <f>Sheet1!G367</f>
        <v>60.69</v>
      </c>
      <c r="C386" s="11">
        <f t="shared" si="59"/>
        <v>1</v>
      </c>
      <c r="D386" s="2994"/>
      <c r="E386" s="11">
        <f t="shared" si="60"/>
        <v>1</v>
      </c>
      <c r="F386" s="2994"/>
      <c r="G386" s="11">
        <f t="shared" si="61"/>
        <v>1</v>
      </c>
      <c r="H386" s="2994"/>
      <c r="I386" s="11">
        <f t="shared" si="62"/>
        <v>1</v>
      </c>
      <c r="J386" s="2994"/>
      <c r="K386" s="11">
        <f t="shared" si="63"/>
        <v>1</v>
      </c>
      <c r="L386" s="2994"/>
      <c r="M386" s="11">
        <f t="shared" si="64"/>
        <v>1</v>
      </c>
      <c r="N386" s="2994"/>
      <c r="O386" s="11">
        <f t="shared" si="65"/>
        <v>1</v>
      </c>
      <c r="P386" s="2994"/>
      <c r="Q386" s="11">
        <f t="shared" si="66"/>
        <v>1</v>
      </c>
      <c r="R386" s="712">
        <f t="shared" ca="1" si="67"/>
        <v>17260</v>
      </c>
      <c r="S386" s="2959">
        <f t="shared" ca="1" si="68"/>
        <v>105</v>
      </c>
    </row>
    <row r="387" spans="1:19">
      <c r="A387" s="2992" t="str">
        <f>Sheet1!F368</f>
        <v>4-810</v>
      </c>
      <c r="B387" s="2992">
        <f>Sheet1!G368</f>
        <v>60.69</v>
      </c>
      <c r="C387" s="11">
        <f t="shared" si="59"/>
        <v>1</v>
      </c>
      <c r="D387" s="2994"/>
      <c r="E387" s="11">
        <f t="shared" si="60"/>
        <v>1</v>
      </c>
      <c r="F387" s="2994"/>
      <c r="G387" s="11">
        <f t="shared" si="61"/>
        <v>1</v>
      </c>
      <c r="H387" s="2994"/>
      <c r="I387" s="11">
        <f t="shared" si="62"/>
        <v>1</v>
      </c>
      <c r="J387" s="2994"/>
      <c r="K387" s="11">
        <f t="shared" si="63"/>
        <v>1</v>
      </c>
      <c r="L387" s="2994"/>
      <c r="M387" s="11">
        <f t="shared" si="64"/>
        <v>1</v>
      </c>
      <c r="N387" s="2994"/>
      <c r="O387" s="11">
        <f t="shared" si="65"/>
        <v>1</v>
      </c>
      <c r="P387" s="2994"/>
      <c r="Q387" s="11">
        <f t="shared" si="66"/>
        <v>1</v>
      </c>
      <c r="R387" s="712">
        <f t="shared" ca="1" si="67"/>
        <v>17260</v>
      </c>
      <c r="S387" s="2959">
        <f t="shared" ca="1" si="68"/>
        <v>105</v>
      </c>
    </row>
    <row r="388" spans="1:19">
      <c r="A388" s="2992" t="str">
        <f>Sheet1!F369</f>
        <v>4-811</v>
      </c>
      <c r="B388" s="2992">
        <f>Sheet1!G369</f>
        <v>60.69</v>
      </c>
      <c r="C388" s="11">
        <f t="shared" si="59"/>
        <v>1</v>
      </c>
      <c r="D388" s="2994"/>
      <c r="E388" s="11">
        <f t="shared" si="60"/>
        <v>1</v>
      </c>
      <c r="F388" s="2994"/>
      <c r="G388" s="11">
        <f t="shared" si="61"/>
        <v>1</v>
      </c>
      <c r="H388" s="2994"/>
      <c r="I388" s="11">
        <f t="shared" si="62"/>
        <v>1</v>
      </c>
      <c r="J388" s="2994"/>
      <c r="K388" s="11">
        <f t="shared" si="63"/>
        <v>1</v>
      </c>
      <c r="L388" s="2994"/>
      <c r="M388" s="11">
        <f t="shared" si="64"/>
        <v>1</v>
      </c>
      <c r="N388" s="2994"/>
      <c r="O388" s="11">
        <f t="shared" si="65"/>
        <v>1</v>
      </c>
      <c r="P388" s="2994"/>
      <c r="Q388" s="11">
        <f t="shared" si="66"/>
        <v>1</v>
      </c>
      <c r="R388" s="712">
        <f t="shared" ca="1" si="67"/>
        <v>17260</v>
      </c>
      <c r="S388" s="2959">
        <f t="shared" ca="1" si="68"/>
        <v>105</v>
      </c>
    </row>
    <row r="389" spans="1:19">
      <c r="A389" s="2992" t="str">
        <f>Sheet1!F370</f>
        <v>4-812</v>
      </c>
      <c r="B389" s="2992">
        <f>Sheet1!G370</f>
        <v>48.86</v>
      </c>
      <c r="C389" s="11">
        <f t="shared" si="59"/>
        <v>1</v>
      </c>
      <c r="D389" s="2994"/>
      <c r="E389" s="11">
        <f t="shared" si="60"/>
        <v>1</v>
      </c>
      <c r="F389" s="2994"/>
      <c r="G389" s="11">
        <f t="shared" si="61"/>
        <v>1</v>
      </c>
      <c r="H389" s="2994"/>
      <c r="I389" s="11">
        <f t="shared" si="62"/>
        <v>1</v>
      </c>
      <c r="J389" s="2994"/>
      <c r="K389" s="11">
        <f t="shared" si="63"/>
        <v>1</v>
      </c>
      <c r="L389" s="2994"/>
      <c r="M389" s="11">
        <f t="shared" si="64"/>
        <v>1</v>
      </c>
      <c r="N389" s="2994"/>
      <c r="O389" s="11">
        <f t="shared" si="65"/>
        <v>1</v>
      </c>
      <c r="P389" s="2994"/>
      <c r="Q389" s="11">
        <f t="shared" si="66"/>
        <v>1</v>
      </c>
      <c r="R389" s="712">
        <f t="shared" ca="1" si="67"/>
        <v>17260</v>
      </c>
      <c r="S389" s="2959">
        <f t="shared" ca="1" si="68"/>
        <v>84</v>
      </c>
    </row>
    <row r="390" spans="1:19">
      <c r="A390" s="2992" t="str">
        <f>Sheet1!F371</f>
        <v>4-813</v>
      </c>
      <c r="B390" s="2992">
        <f>Sheet1!G371</f>
        <v>48.86</v>
      </c>
      <c r="C390" s="11">
        <f t="shared" si="59"/>
        <v>1</v>
      </c>
      <c r="D390" s="2994"/>
      <c r="E390" s="11">
        <f t="shared" si="60"/>
        <v>1</v>
      </c>
      <c r="F390" s="2994"/>
      <c r="G390" s="11">
        <f t="shared" si="61"/>
        <v>1</v>
      </c>
      <c r="H390" s="2994"/>
      <c r="I390" s="11">
        <f t="shared" si="62"/>
        <v>1</v>
      </c>
      <c r="J390" s="2994"/>
      <c r="K390" s="11">
        <f t="shared" si="63"/>
        <v>1</v>
      </c>
      <c r="L390" s="2994"/>
      <c r="M390" s="11">
        <f t="shared" si="64"/>
        <v>1</v>
      </c>
      <c r="N390" s="2994"/>
      <c r="O390" s="11">
        <f t="shared" si="65"/>
        <v>1</v>
      </c>
      <c r="P390" s="2994"/>
      <c r="Q390" s="11">
        <f t="shared" si="66"/>
        <v>1</v>
      </c>
      <c r="R390" s="712">
        <f t="shared" ca="1" si="67"/>
        <v>17260</v>
      </c>
      <c r="S390" s="2959">
        <f t="shared" ca="1" si="68"/>
        <v>84</v>
      </c>
    </row>
    <row r="391" spans="1:19">
      <c r="A391" s="2992" t="str">
        <f>Sheet1!F372</f>
        <v>4-814</v>
      </c>
      <c r="B391" s="2992">
        <f>Sheet1!G372</f>
        <v>48.86</v>
      </c>
      <c r="C391" s="11">
        <f t="shared" si="59"/>
        <v>1</v>
      </c>
      <c r="D391" s="2994"/>
      <c r="E391" s="11">
        <f t="shared" si="60"/>
        <v>1</v>
      </c>
      <c r="F391" s="2994"/>
      <c r="G391" s="11">
        <f t="shared" si="61"/>
        <v>1</v>
      </c>
      <c r="H391" s="2994"/>
      <c r="I391" s="11">
        <f t="shared" si="62"/>
        <v>1</v>
      </c>
      <c r="J391" s="2994"/>
      <c r="K391" s="11">
        <f t="shared" si="63"/>
        <v>1</v>
      </c>
      <c r="L391" s="2994"/>
      <c r="M391" s="11">
        <f t="shared" si="64"/>
        <v>1</v>
      </c>
      <c r="N391" s="2994"/>
      <c r="O391" s="11">
        <f t="shared" si="65"/>
        <v>1</v>
      </c>
      <c r="P391" s="2994"/>
      <c r="Q391" s="11">
        <f t="shared" si="66"/>
        <v>1</v>
      </c>
      <c r="R391" s="712">
        <f t="shared" ca="1" si="67"/>
        <v>17260</v>
      </c>
      <c r="S391" s="2959">
        <f t="shared" ca="1" si="68"/>
        <v>84</v>
      </c>
    </row>
    <row r="392" spans="1:19">
      <c r="A392" s="2992" t="str">
        <f>Sheet1!F373</f>
        <v>4-815</v>
      </c>
      <c r="B392" s="2992">
        <f>Sheet1!G373</f>
        <v>54.87</v>
      </c>
      <c r="C392" s="11">
        <f t="shared" si="59"/>
        <v>1</v>
      </c>
      <c r="D392" s="2994"/>
      <c r="E392" s="11">
        <f t="shared" si="60"/>
        <v>1</v>
      </c>
      <c r="F392" s="2994"/>
      <c r="G392" s="11">
        <f t="shared" si="61"/>
        <v>1</v>
      </c>
      <c r="H392" s="2994"/>
      <c r="I392" s="11">
        <f t="shared" si="62"/>
        <v>1</v>
      </c>
      <c r="J392" s="2994"/>
      <c r="K392" s="11">
        <f t="shared" si="63"/>
        <v>1</v>
      </c>
      <c r="L392" s="2994"/>
      <c r="M392" s="11">
        <f t="shared" si="64"/>
        <v>1</v>
      </c>
      <c r="N392" s="2994"/>
      <c r="O392" s="11">
        <f t="shared" si="65"/>
        <v>1</v>
      </c>
      <c r="P392" s="2994"/>
      <c r="Q392" s="11">
        <f t="shared" si="66"/>
        <v>1</v>
      </c>
      <c r="R392" s="712">
        <f t="shared" ca="1" si="67"/>
        <v>17260</v>
      </c>
      <c r="S392" s="2959">
        <f t="shared" ca="1" si="68"/>
        <v>95</v>
      </c>
    </row>
    <row r="393" spans="1:19">
      <c r="A393" s="2992" t="str">
        <f>Sheet1!F374</f>
        <v>4-816</v>
      </c>
      <c r="B393" s="2992">
        <f>Sheet1!G374</f>
        <v>88.13</v>
      </c>
      <c r="C393" s="11">
        <f t="shared" si="59"/>
        <v>1</v>
      </c>
      <c r="D393" s="2994"/>
      <c r="E393" s="11">
        <f t="shared" si="60"/>
        <v>1</v>
      </c>
      <c r="F393" s="2994"/>
      <c r="G393" s="11">
        <f t="shared" si="61"/>
        <v>1</v>
      </c>
      <c r="H393" s="2994"/>
      <c r="I393" s="11">
        <f t="shared" si="62"/>
        <v>1</v>
      </c>
      <c r="J393" s="2994"/>
      <c r="K393" s="11">
        <f t="shared" si="63"/>
        <v>1</v>
      </c>
      <c r="L393" s="2994"/>
      <c r="M393" s="11">
        <f t="shared" si="64"/>
        <v>1</v>
      </c>
      <c r="N393" s="2994"/>
      <c r="O393" s="11">
        <f t="shared" si="65"/>
        <v>1</v>
      </c>
      <c r="P393" s="2994"/>
      <c r="Q393" s="11">
        <f t="shared" si="66"/>
        <v>1</v>
      </c>
      <c r="R393" s="712">
        <f t="shared" ca="1" si="67"/>
        <v>17260</v>
      </c>
      <c r="S393" s="2959">
        <f t="shared" ca="1" si="68"/>
        <v>152</v>
      </c>
    </row>
    <row r="394" spans="1:19">
      <c r="A394" s="2992" t="str">
        <f>Sheet1!F375</f>
        <v>4-817</v>
      </c>
      <c r="B394" s="2992">
        <f>Sheet1!G375</f>
        <v>5.81</v>
      </c>
      <c r="C394" s="11">
        <f t="shared" si="59"/>
        <v>1</v>
      </c>
      <c r="D394" s="2994"/>
      <c r="E394" s="11">
        <f t="shared" si="60"/>
        <v>1</v>
      </c>
      <c r="F394" s="2994"/>
      <c r="G394" s="11">
        <f t="shared" si="61"/>
        <v>1</v>
      </c>
      <c r="H394" s="2994"/>
      <c r="I394" s="11">
        <f t="shared" si="62"/>
        <v>1</v>
      </c>
      <c r="J394" s="2994"/>
      <c r="K394" s="11">
        <f t="shared" si="63"/>
        <v>1</v>
      </c>
      <c r="L394" s="2994"/>
      <c r="M394" s="11">
        <f t="shared" si="64"/>
        <v>1</v>
      </c>
      <c r="N394" s="2994"/>
      <c r="O394" s="11">
        <f t="shared" si="65"/>
        <v>1</v>
      </c>
      <c r="P394" s="2994"/>
      <c r="Q394" s="11">
        <f t="shared" si="66"/>
        <v>1</v>
      </c>
      <c r="R394" s="712">
        <f t="shared" ca="1" si="67"/>
        <v>17260</v>
      </c>
      <c r="S394" s="2959">
        <f t="shared" ca="1" si="68"/>
        <v>10</v>
      </c>
    </row>
    <row r="395" spans="1:19">
      <c r="A395" s="2992" t="str">
        <f>Sheet1!F376</f>
        <v>1-901</v>
      </c>
      <c r="B395" s="2992">
        <f>Sheet1!G376</f>
        <v>186.33</v>
      </c>
      <c r="C395" s="11">
        <f t="shared" si="59"/>
        <v>0.99</v>
      </c>
      <c r="D395" s="2994"/>
      <c r="E395" s="11">
        <f t="shared" si="60"/>
        <v>1</v>
      </c>
      <c r="F395" s="2994"/>
      <c r="G395" s="11">
        <f t="shared" si="61"/>
        <v>1</v>
      </c>
      <c r="H395" s="2994"/>
      <c r="I395" s="11">
        <f t="shared" si="62"/>
        <v>1</v>
      </c>
      <c r="J395" s="2994"/>
      <c r="K395" s="11">
        <f t="shared" si="63"/>
        <v>1</v>
      </c>
      <c r="L395" s="2994"/>
      <c r="M395" s="11">
        <f t="shared" si="64"/>
        <v>1</v>
      </c>
      <c r="N395" s="2994"/>
      <c r="O395" s="11">
        <f t="shared" si="65"/>
        <v>1</v>
      </c>
      <c r="P395" s="2994"/>
      <c r="Q395" s="11">
        <f t="shared" si="66"/>
        <v>1</v>
      </c>
      <c r="R395" s="712">
        <f t="shared" ca="1" si="67"/>
        <v>17087</v>
      </c>
      <c r="S395" s="2959">
        <f t="shared" ca="1" si="68"/>
        <v>318</v>
      </c>
    </row>
    <row r="396" spans="1:19">
      <c r="A396" s="2992" t="str">
        <f>Sheet1!F377</f>
        <v>1-902</v>
      </c>
      <c r="B396" s="2992">
        <f>Sheet1!G377</f>
        <v>188.39</v>
      </c>
      <c r="C396" s="11">
        <f t="shared" si="59"/>
        <v>0.99</v>
      </c>
      <c r="D396" s="2994"/>
      <c r="E396" s="11">
        <f t="shared" si="60"/>
        <v>1</v>
      </c>
      <c r="F396" s="2994"/>
      <c r="G396" s="11">
        <f t="shared" si="61"/>
        <v>1</v>
      </c>
      <c r="H396" s="2994"/>
      <c r="I396" s="11">
        <f t="shared" si="62"/>
        <v>1</v>
      </c>
      <c r="J396" s="2994"/>
      <c r="K396" s="11">
        <f t="shared" si="63"/>
        <v>1</v>
      </c>
      <c r="L396" s="2994"/>
      <c r="M396" s="11">
        <f t="shared" si="64"/>
        <v>1</v>
      </c>
      <c r="N396" s="2994"/>
      <c r="O396" s="11">
        <f t="shared" si="65"/>
        <v>1</v>
      </c>
      <c r="P396" s="2994"/>
      <c r="Q396" s="11">
        <f t="shared" si="66"/>
        <v>1</v>
      </c>
      <c r="R396" s="712">
        <f t="shared" ca="1" si="67"/>
        <v>17087</v>
      </c>
      <c r="S396" s="2959">
        <f t="shared" ca="1" si="68"/>
        <v>322</v>
      </c>
    </row>
    <row r="397" spans="1:19">
      <c r="A397" s="2992" t="str">
        <f>Sheet1!F378</f>
        <v>1-903</v>
      </c>
      <c r="B397" s="2992">
        <f>Sheet1!G378</f>
        <v>188.39</v>
      </c>
      <c r="C397" s="11">
        <f t="shared" si="59"/>
        <v>0.99</v>
      </c>
      <c r="D397" s="2994"/>
      <c r="E397" s="11">
        <f t="shared" si="60"/>
        <v>1</v>
      </c>
      <c r="F397" s="2994"/>
      <c r="G397" s="11">
        <f t="shared" si="61"/>
        <v>1</v>
      </c>
      <c r="H397" s="2994"/>
      <c r="I397" s="11">
        <f t="shared" si="62"/>
        <v>1</v>
      </c>
      <c r="J397" s="2994"/>
      <c r="K397" s="11">
        <f t="shared" si="63"/>
        <v>1</v>
      </c>
      <c r="L397" s="2994"/>
      <c r="M397" s="11">
        <f t="shared" si="64"/>
        <v>1</v>
      </c>
      <c r="N397" s="2994"/>
      <c r="O397" s="11">
        <f t="shared" si="65"/>
        <v>1</v>
      </c>
      <c r="P397" s="2994"/>
      <c r="Q397" s="11">
        <f t="shared" si="66"/>
        <v>1</v>
      </c>
      <c r="R397" s="712">
        <f t="shared" ca="1" si="67"/>
        <v>17087</v>
      </c>
      <c r="S397" s="2959">
        <f t="shared" ca="1" si="68"/>
        <v>322</v>
      </c>
    </row>
    <row r="398" spans="1:19">
      <c r="A398" s="2992" t="str">
        <f>Sheet1!F379</f>
        <v>1-904</v>
      </c>
      <c r="B398" s="2992">
        <f>Sheet1!G379</f>
        <v>188.39</v>
      </c>
      <c r="C398" s="11">
        <f t="shared" si="59"/>
        <v>0.99</v>
      </c>
      <c r="D398" s="2994"/>
      <c r="E398" s="11">
        <f t="shared" si="60"/>
        <v>1</v>
      </c>
      <c r="F398" s="2994"/>
      <c r="G398" s="11">
        <f t="shared" si="61"/>
        <v>1</v>
      </c>
      <c r="H398" s="2994"/>
      <c r="I398" s="11">
        <f t="shared" si="62"/>
        <v>1</v>
      </c>
      <c r="J398" s="2994"/>
      <c r="K398" s="11">
        <f t="shared" si="63"/>
        <v>1</v>
      </c>
      <c r="L398" s="2994"/>
      <c r="M398" s="11">
        <f t="shared" si="64"/>
        <v>1</v>
      </c>
      <c r="N398" s="2994"/>
      <c r="O398" s="11">
        <f t="shared" si="65"/>
        <v>1</v>
      </c>
      <c r="P398" s="2994"/>
      <c r="Q398" s="11">
        <f t="shared" si="66"/>
        <v>1</v>
      </c>
      <c r="R398" s="712">
        <f t="shared" ca="1" si="67"/>
        <v>17087</v>
      </c>
      <c r="S398" s="2959">
        <f t="shared" ca="1" si="68"/>
        <v>322</v>
      </c>
    </row>
    <row r="399" spans="1:19">
      <c r="A399" s="2992" t="str">
        <f>Sheet1!F380</f>
        <v>1-905</v>
      </c>
      <c r="B399" s="2992">
        <f>Sheet1!G380</f>
        <v>188.39</v>
      </c>
      <c r="C399" s="11">
        <f t="shared" si="59"/>
        <v>0.99</v>
      </c>
      <c r="D399" s="2994"/>
      <c r="E399" s="11">
        <f t="shared" si="60"/>
        <v>1</v>
      </c>
      <c r="F399" s="2994"/>
      <c r="G399" s="11">
        <f t="shared" si="61"/>
        <v>1</v>
      </c>
      <c r="H399" s="2994"/>
      <c r="I399" s="11">
        <f t="shared" si="62"/>
        <v>1</v>
      </c>
      <c r="J399" s="2994"/>
      <c r="K399" s="11">
        <f t="shared" si="63"/>
        <v>1</v>
      </c>
      <c r="L399" s="2994"/>
      <c r="M399" s="11">
        <f t="shared" si="64"/>
        <v>1</v>
      </c>
      <c r="N399" s="2994"/>
      <c r="O399" s="11">
        <f t="shared" si="65"/>
        <v>1</v>
      </c>
      <c r="P399" s="2994"/>
      <c r="Q399" s="11">
        <f t="shared" si="66"/>
        <v>1</v>
      </c>
      <c r="R399" s="712">
        <f t="shared" ca="1" si="67"/>
        <v>17087</v>
      </c>
      <c r="S399" s="2959">
        <f t="shared" ca="1" si="68"/>
        <v>322</v>
      </c>
    </row>
    <row r="400" spans="1:19">
      <c r="A400" s="2992" t="str">
        <f>Sheet1!F381</f>
        <v>1-906</v>
      </c>
      <c r="B400" s="2992">
        <f>Sheet1!G381</f>
        <v>188.39</v>
      </c>
      <c r="C400" s="11">
        <f t="shared" si="59"/>
        <v>0.99</v>
      </c>
      <c r="D400" s="2994"/>
      <c r="E400" s="11">
        <f t="shared" si="60"/>
        <v>1</v>
      </c>
      <c r="F400" s="2994"/>
      <c r="G400" s="11">
        <f t="shared" si="61"/>
        <v>1</v>
      </c>
      <c r="H400" s="2994"/>
      <c r="I400" s="11">
        <f t="shared" si="62"/>
        <v>1</v>
      </c>
      <c r="J400" s="2994"/>
      <c r="K400" s="11">
        <f t="shared" si="63"/>
        <v>1</v>
      </c>
      <c r="L400" s="2994"/>
      <c r="M400" s="11">
        <f t="shared" si="64"/>
        <v>1</v>
      </c>
      <c r="N400" s="2994"/>
      <c r="O400" s="11">
        <f t="shared" si="65"/>
        <v>1</v>
      </c>
      <c r="P400" s="2994"/>
      <c r="Q400" s="11">
        <f t="shared" si="66"/>
        <v>1</v>
      </c>
      <c r="R400" s="712">
        <f t="shared" ca="1" si="67"/>
        <v>17087</v>
      </c>
      <c r="S400" s="2959">
        <f t="shared" ca="1" si="68"/>
        <v>322</v>
      </c>
    </row>
    <row r="401" spans="1:19">
      <c r="A401" s="2992" t="str">
        <f>Sheet1!F382</f>
        <v>1-907</v>
      </c>
      <c r="B401" s="2992">
        <f>Sheet1!G382</f>
        <v>187.53</v>
      </c>
      <c r="C401" s="11">
        <f t="shared" si="59"/>
        <v>0.99</v>
      </c>
      <c r="D401" s="2994"/>
      <c r="E401" s="11">
        <f t="shared" si="60"/>
        <v>1</v>
      </c>
      <c r="F401" s="2994"/>
      <c r="G401" s="11">
        <f t="shared" si="61"/>
        <v>1</v>
      </c>
      <c r="H401" s="2994"/>
      <c r="I401" s="11">
        <f t="shared" si="62"/>
        <v>1</v>
      </c>
      <c r="J401" s="2994"/>
      <c r="K401" s="11">
        <f t="shared" si="63"/>
        <v>1</v>
      </c>
      <c r="L401" s="2994"/>
      <c r="M401" s="11">
        <f t="shared" si="64"/>
        <v>1</v>
      </c>
      <c r="N401" s="2994"/>
      <c r="O401" s="11">
        <f t="shared" si="65"/>
        <v>1</v>
      </c>
      <c r="P401" s="2994"/>
      <c r="Q401" s="11">
        <f t="shared" si="66"/>
        <v>1</v>
      </c>
      <c r="R401" s="712">
        <f t="shared" ca="1" si="67"/>
        <v>17087</v>
      </c>
      <c r="S401" s="2959">
        <f t="shared" ca="1" si="68"/>
        <v>320</v>
      </c>
    </row>
    <row r="402" spans="1:19">
      <c r="A402" s="2992" t="str">
        <f>Sheet1!F383</f>
        <v>1-908</v>
      </c>
      <c r="B402" s="2992">
        <f>Sheet1!G383</f>
        <v>210.19</v>
      </c>
      <c r="C402" s="11">
        <f t="shared" si="59"/>
        <v>0.98</v>
      </c>
      <c r="D402" s="2994"/>
      <c r="E402" s="11">
        <f t="shared" si="60"/>
        <v>1</v>
      </c>
      <c r="F402" s="2994"/>
      <c r="G402" s="11">
        <f t="shared" si="61"/>
        <v>1</v>
      </c>
      <c r="H402" s="2994"/>
      <c r="I402" s="11">
        <f t="shared" si="62"/>
        <v>1</v>
      </c>
      <c r="J402" s="2994"/>
      <c r="K402" s="11">
        <f t="shared" si="63"/>
        <v>1</v>
      </c>
      <c r="L402" s="2994"/>
      <c r="M402" s="11">
        <f t="shared" si="64"/>
        <v>1</v>
      </c>
      <c r="N402" s="2994"/>
      <c r="O402" s="11">
        <f t="shared" si="65"/>
        <v>1</v>
      </c>
      <c r="P402" s="2994"/>
      <c r="Q402" s="11">
        <f t="shared" si="66"/>
        <v>1</v>
      </c>
      <c r="R402" s="712">
        <f t="shared" ca="1" si="67"/>
        <v>16915</v>
      </c>
      <c r="S402" s="2959">
        <f t="shared" ca="1" si="68"/>
        <v>356</v>
      </c>
    </row>
    <row r="403" spans="1:19">
      <c r="A403" s="2992" t="str">
        <f>Sheet1!F384</f>
        <v>1-909</v>
      </c>
      <c r="B403" s="2992">
        <f>Sheet1!G384</f>
        <v>169.2</v>
      </c>
      <c r="C403" s="11">
        <f t="shared" si="59"/>
        <v>0.99</v>
      </c>
      <c r="D403" s="2994"/>
      <c r="E403" s="11">
        <f t="shared" si="60"/>
        <v>1</v>
      </c>
      <c r="F403" s="2994"/>
      <c r="G403" s="11">
        <f t="shared" si="61"/>
        <v>1</v>
      </c>
      <c r="H403" s="2994"/>
      <c r="I403" s="11">
        <f t="shared" si="62"/>
        <v>1</v>
      </c>
      <c r="J403" s="2994"/>
      <c r="K403" s="11">
        <f t="shared" si="63"/>
        <v>1</v>
      </c>
      <c r="L403" s="2994"/>
      <c r="M403" s="11">
        <f t="shared" si="64"/>
        <v>1</v>
      </c>
      <c r="N403" s="2994"/>
      <c r="O403" s="11">
        <f t="shared" si="65"/>
        <v>1</v>
      </c>
      <c r="P403" s="2994"/>
      <c r="Q403" s="11">
        <f t="shared" si="66"/>
        <v>1</v>
      </c>
      <c r="R403" s="712">
        <f t="shared" ca="1" si="67"/>
        <v>17087</v>
      </c>
      <c r="S403" s="2959">
        <f t="shared" ca="1" si="68"/>
        <v>289</v>
      </c>
    </row>
    <row r="404" spans="1:19">
      <c r="A404" s="2992" t="str">
        <f>Sheet1!F385</f>
        <v>1-910</v>
      </c>
      <c r="B404" s="2992">
        <f>Sheet1!G385</f>
        <v>178.35</v>
      </c>
      <c r="C404" s="11">
        <f t="shared" si="59"/>
        <v>0.99</v>
      </c>
      <c r="D404" s="2994"/>
      <c r="E404" s="11">
        <f t="shared" si="60"/>
        <v>1</v>
      </c>
      <c r="F404" s="2994"/>
      <c r="G404" s="11">
        <f t="shared" si="61"/>
        <v>1</v>
      </c>
      <c r="H404" s="2994"/>
      <c r="I404" s="11">
        <f t="shared" si="62"/>
        <v>1</v>
      </c>
      <c r="J404" s="2994"/>
      <c r="K404" s="11">
        <f t="shared" si="63"/>
        <v>1</v>
      </c>
      <c r="L404" s="2994"/>
      <c r="M404" s="11">
        <f t="shared" si="64"/>
        <v>1</v>
      </c>
      <c r="N404" s="2994"/>
      <c r="O404" s="11">
        <f t="shared" si="65"/>
        <v>1</v>
      </c>
      <c r="P404" s="2994"/>
      <c r="Q404" s="11">
        <f t="shared" si="66"/>
        <v>1</v>
      </c>
      <c r="R404" s="712">
        <f t="shared" ca="1" si="67"/>
        <v>17087</v>
      </c>
      <c r="S404" s="2959">
        <f t="shared" ca="1" si="68"/>
        <v>305</v>
      </c>
    </row>
    <row r="405" spans="1:19">
      <c r="A405" s="2992" t="str">
        <f>Sheet1!F386</f>
        <v>1-911</v>
      </c>
      <c r="B405" s="2992">
        <f>Sheet1!G386</f>
        <v>208.92</v>
      </c>
      <c r="C405" s="11">
        <f t="shared" si="59"/>
        <v>0.98</v>
      </c>
      <c r="D405" s="2994"/>
      <c r="E405" s="11">
        <f t="shared" si="60"/>
        <v>1</v>
      </c>
      <c r="F405" s="2994"/>
      <c r="G405" s="11">
        <f t="shared" si="61"/>
        <v>1</v>
      </c>
      <c r="H405" s="2994"/>
      <c r="I405" s="11">
        <f t="shared" si="62"/>
        <v>1</v>
      </c>
      <c r="J405" s="2994"/>
      <c r="K405" s="11">
        <f t="shared" si="63"/>
        <v>1</v>
      </c>
      <c r="L405" s="2994"/>
      <c r="M405" s="11">
        <f t="shared" si="64"/>
        <v>1</v>
      </c>
      <c r="N405" s="2994"/>
      <c r="O405" s="11">
        <f t="shared" si="65"/>
        <v>1</v>
      </c>
      <c r="P405" s="2994"/>
      <c r="Q405" s="11">
        <f t="shared" si="66"/>
        <v>1</v>
      </c>
      <c r="R405" s="712">
        <f t="shared" ca="1" si="67"/>
        <v>16915</v>
      </c>
      <c r="S405" s="2959">
        <f t="shared" ca="1" si="68"/>
        <v>353</v>
      </c>
    </row>
    <row r="406" spans="1:19">
      <c r="A406" s="2992" t="str">
        <f>Sheet1!F387</f>
        <v>1-912</v>
      </c>
      <c r="B406" s="2992">
        <f>Sheet1!G387</f>
        <v>188.35</v>
      </c>
      <c r="C406" s="11">
        <f t="shared" si="59"/>
        <v>0.99</v>
      </c>
      <c r="D406" s="2994"/>
      <c r="E406" s="11">
        <f t="shared" si="60"/>
        <v>1</v>
      </c>
      <c r="F406" s="2994"/>
      <c r="G406" s="11">
        <f t="shared" si="61"/>
        <v>1</v>
      </c>
      <c r="H406" s="2994"/>
      <c r="I406" s="11">
        <f t="shared" si="62"/>
        <v>1</v>
      </c>
      <c r="J406" s="2994"/>
      <c r="K406" s="11">
        <f t="shared" si="63"/>
        <v>1</v>
      </c>
      <c r="L406" s="2994"/>
      <c r="M406" s="11">
        <f t="shared" si="64"/>
        <v>1</v>
      </c>
      <c r="N406" s="2994"/>
      <c r="O406" s="11">
        <f t="shared" si="65"/>
        <v>1</v>
      </c>
      <c r="P406" s="2994"/>
      <c r="Q406" s="11">
        <f t="shared" si="66"/>
        <v>1</v>
      </c>
      <c r="R406" s="712">
        <f t="shared" ca="1" si="67"/>
        <v>17087</v>
      </c>
      <c r="S406" s="2959">
        <f t="shared" ca="1" si="68"/>
        <v>322</v>
      </c>
    </row>
    <row r="407" spans="1:19">
      <c r="A407" s="2992" t="str">
        <f>Sheet1!F388</f>
        <v>1-913</v>
      </c>
      <c r="B407" s="2992">
        <f>Sheet1!G388</f>
        <v>188.39</v>
      </c>
      <c r="C407" s="11">
        <f t="shared" si="59"/>
        <v>0.99</v>
      </c>
      <c r="D407" s="2994"/>
      <c r="E407" s="11">
        <f t="shared" si="60"/>
        <v>1</v>
      </c>
      <c r="F407" s="2994"/>
      <c r="G407" s="11">
        <f t="shared" si="61"/>
        <v>1</v>
      </c>
      <c r="H407" s="2994"/>
      <c r="I407" s="11">
        <f t="shared" si="62"/>
        <v>1</v>
      </c>
      <c r="J407" s="2994"/>
      <c r="K407" s="11">
        <f t="shared" si="63"/>
        <v>1</v>
      </c>
      <c r="L407" s="2994"/>
      <c r="M407" s="11">
        <f t="shared" si="64"/>
        <v>1</v>
      </c>
      <c r="N407" s="2994"/>
      <c r="O407" s="11">
        <f t="shared" si="65"/>
        <v>1</v>
      </c>
      <c r="P407" s="2994"/>
      <c r="Q407" s="11">
        <f t="shared" si="66"/>
        <v>1</v>
      </c>
      <c r="R407" s="712">
        <f t="shared" ca="1" si="67"/>
        <v>17087</v>
      </c>
      <c r="S407" s="2959">
        <f t="shared" ca="1" si="68"/>
        <v>322</v>
      </c>
    </row>
    <row r="408" spans="1:19">
      <c r="A408" s="2992" t="str">
        <f>Sheet1!F389</f>
        <v>1-914</v>
      </c>
      <c r="B408" s="2992">
        <f>Sheet1!G389</f>
        <v>188.39</v>
      </c>
      <c r="C408" s="11">
        <f t="shared" si="59"/>
        <v>0.99</v>
      </c>
      <c r="D408" s="2994"/>
      <c r="E408" s="11">
        <f t="shared" si="60"/>
        <v>1</v>
      </c>
      <c r="F408" s="2994"/>
      <c r="G408" s="11">
        <f t="shared" si="61"/>
        <v>1</v>
      </c>
      <c r="H408" s="2994"/>
      <c r="I408" s="11">
        <f t="shared" si="62"/>
        <v>1</v>
      </c>
      <c r="J408" s="2994"/>
      <c r="K408" s="11">
        <f t="shared" si="63"/>
        <v>1</v>
      </c>
      <c r="L408" s="2994"/>
      <c r="M408" s="11">
        <f t="shared" si="64"/>
        <v>1</v>
      </c>
      <c r="N408" s="2994"/>
      <c r="O408" s="11">
        <f t="shared" si="65"/>
        <v>1</v>
      </c>
      <c r="P408" s="2994"/>
      <c r="Q408" s="11">
        <f t="shared" si="66"/>
        <v>1</v>
      </c>
      <c r="R408" s="712">
        <f t="shared" ca="1" si="67"/>
        <v>17087</v>
      </c>
      <c r="S408" s="2959">
        <f t="shared" ca="1" si="68"/>
        <v>322</v>
      </c>
    </row>
    <row r="409" spans="1:19">
      <c r="A409" s="2992" t="str">
        <f>Sheet1!F390</f>
        <v>1-915</v>
      </c>
      <c r="B409" s="2992">
        <f>Sheet1!G390</f>
        <v>188.39</v>
      </c>
      <c r="C409" s="11">
        <f t="shared" si="59"/>
        <v>0.99</v>
      </c>
      <c r="D409" s="2994"/>
      <c r="E409" s="11">
        <f t="shared" si="60"/>
        <v>1</v>
      </c>
      <c r="F409" s="2994"/>
      <c r="G409" s="11">
        <f t="shared" si="61"/>
        <v>1</v>
      </c>
      <c r="H409" s="2994"/>
      <c r="I409" s="11">
        <f t="shared" si="62"/>
        <v>1</v>
      </c>
      <c r="J409" s="2994"/>
      <c r="K409" s="11">
        <f t="shared" si="63"/>
        <v>1</v>
      </c>
      <c r="L409" s="2994"/>
      <c r="M409" s="11">
        <f t="shared" si="64"/>
        <v>1</v>
      </c>
      <c r="N409" s="2994"/>
      <c r="O409" s="11">
        <f t="shared" si="65"/>
        <v>1</v>
      </c>
      <c r="P409" s="2994"/>
      <c r="Q409" s="11">
        <f t="shared" si="66"/>
        <v>1</v>
      </c>
      <c r="R409" s="712">
        <f t="shared" ca="1" si="67"/>
        <v>17087</v>
      </c>
      <c r="S409" s="2959">
        <f t="shared" ca="1" si="68"/>
        <v>322</v>
      </c>
    </row>
    <row r="410" spans="1:19">
      <c r="A410" s="2992" t="str">
        <f>Sheet1!F391</f>
        <v>1-916</v>
      </c>
      <c r="B410" s="2992">
        <f>Sheet1!G391</f>
        <v>188.39</v>
      </c>
      <c r="C410" s="11">
        <f t="shared" ref="C410:C473" si="69">IF(B410="",1,(LOOKUP(B410,$3:$3,$4:$4)-LOOKUP($B$24,$3:$3,$4:$4)+100)/100)</f>
        <v>0.99</v>
      </c>
      <c r="D410" s="2994"/>
      <c r="E410" s="11">
        <f t="shared" ref="E410:E473" si="70">(SUMIF($5:$5,D410,$6:$6)-SUMIF($5:$5,$D$24,$6:$6)+100)/100</f>
        <v>1</v>
      </c>
      <c r="F410" s="2994"/>
      <c r="G410" s="11">
        <f t="shared" ref="G410:G473" si="71">(SUMIF($7:$7,F410,$8:$8)-SUMIF($7:$7,$F$24,$8:$8)+100)/100</f>
        <v>1</v>
      </c>
      <c r="H410" s="2994"/>
      <c r="I410" s="11">
        <f t="shared" ref="I410:I473" si="72">(SUMIF($9:$9,H410,$10:$10)-SUMIF($9:$9,$H$24,$10:$10)+100)/100</f>
        <v>1</v>
      </c>
      <c r="J410" s="2994"/>
      <c r="K410" s="11">
        <f t="shared" ref="K410:K473" si="73">(SUMIF($11:$11,J410,$12:$12)-SUMIF($11:$11,$J$24,$12:$12)+100)/100</f>
        <v>1</v>
      </c>
      <c r="L410" s="2994"/>
      <c r="M410" s="11">
        <f t="shared" ref="M410:M473" si="74">(SUMIF($13:$13,L410,$14:$14)-SUMIF($13:$13,$L$24,$14:$14)+100)/100</f>
        <v>1</v>
      </c>
      <c r="N410" s="2994"/>
      <c r="O410" s="11">
        <f t="shared" ref="O410:O473" si="75">(SUMIF($15:$15,N410,$16:$16)-SUMIF($15:$15,$N$24,$16:$16)+100)/100</f>
        <v>1</v>
      </c>
      <c r="P410" s="2994"/>
      <c r="Q410" s="11">
        <f t="shared" ref="Q410:Q473" si="76">(SUMIF($17:$17,P410,$18:$18)-SUMIF($17:$17,$P$24,$18:$18)+100)/100</f>
        <v>1</v>
      </c>
      <c r="R410" s="712">
        <f t="shared" ref="R410:R473" ca="1" si="77">IF(B410="",0,ROUND($R$24*C410*E410*G410*I410*K410*M410*O410*Q410,0))</f>
        <v>17087</v>
      </c>
      <c r="S410" s="2959">
        <f t="shared" ca="1" si="68"/>
        <v>322</v>
      </c>
    </row>
    <row r="411" spans="1:19">
      <c r="A411" s="2992" t="str">
        <f>Sheet1!F392</f>
        <v>1-917</v>
      </c>
      <c r="B411" s="2992">
        <f>Sheet1!G392</f>
        <v>188.39</v>
      </c>
      <c r="C411" s="11">
        <f t="shared" si="69"/>
        <v>0.99</v>
      </c>
      <c r="D411" s="2994"/>
      <c r="E411" s="11">
        <f t="shared" si="70"/>
        <v>1</v>
      </c>
      <c r="F411" s="2994"/>
      <c r="G411" s="11">
        <f t="shared" si="71"/>
        <v>1</v>
      </c>
      <c r="H411" s="2994"/>
      <c r="I411" s="11">
        <f t="shared" si="72"/>
        <v>1</v>
      </c>
      <c r="J411" s="2994"/>
      <c r="K411" s="11">
        <f t="shared" si="73"/>
        <v>1</v>
      </c>
      <c r="L411" s="2994"/>
      <c r="M411" s="11">
        <f t="shared" si="74"/>
        <v>1</v>
      </c>
      <c r="N411" s="2994"/>
      <c r="O411" s="11">
        <f t="shared" si="75"/>
        <v>1</v>
      </c>
      <c r="P411" s="2994"/>
      <c r="Q411" s="11">
        <f t="shared" si="76"/>
        <v>1</v>
      </c>
      <c r="R411" s="712">
        <f t="shared" ca="1" si="77"/>
        <v>17087</v>
      </c>
      <c r="S411" s="2959">
        <f t="shared" ca="1" si="68"/>
        <v>322</v>
      </c>
    </row>
    <row r="412" spans="1:19">
      <c r="A412" s="2992" t="str">
        <f>Sheet1!F393</f>
        <v>1-918</v>
      </c>
      <c r="B412" s="2992">
        <f>Sheet1!G393</f>
        <v>279.91000000000003</v>
      </c>
      <c r="C412" s="11">
        <f t="shared" si="69"/>
        <v>0.98</v>
      </c>
      <c r="D412" s="2994"/>
      <c r="E412" s="11">
        <f t="shared" si="70"/>
        <v>1</v>
      </c>
      <c r="F412" s="2994"/>
      <c r="G412" s="11">
        <f t="shared" si="71"/>
        <v>1</v>
      </c>
      <c r="H412" s="2994"/>
      <c r="I412" s="11">
        <f t="shared" si="72"/>
        <v>1</v>
      </c>
      <c r="J412" s="2994"/>
      <c r="K412" s="11">
        <f t="shared" si="73"/>
        <v>1</v>
      </c>
      <c r="L412" s="2994"/>
      <c r="M412" s="11">
        <f t="shared" si="74"/>
        <v>1</v>
      </c>
      <c r="N412" s="2994"/>
      <c r="O412" s="11">
        <f t="shared" si="75"/>
        <v>1</v>
      </c>
      <c r="P412" s="2994"/>
      <c r="Q412" s="11">
        <f t="shared" si="76"/>
        <v>1</v>
      </c>
      <c r="R412" s="712">
        <f t="shared" ca="1" si="77"/>
        <v>16915</v>
      </c>
      <c r="S412" s="2959">
        <f t="shared" ca="1" si="68"/>
        <v>473</v>
      </c>
    </row>
    <row r="413" spans="1:19">
      <c r="A413" s="2992" t="str">
        <f>Sheet1!F394</f>
        <v>1-919</v>
      </c>
      <c r="B413" s="2992">
        <f>Sheet1!G394</f>
        <v>175.75</v>
      </c>
      <c r="C413" s="11">
        <f t="shared" si="69"/>
        <v>0.99</v>
      </c>
      <c r="D413" s="2994"/>
      <c r="E413" s="11">
        <f t="shared" si="70"/>
        <v>1</v>
      </c>
      <c r="F413" s="2994"/>
      <c r="G413" s="11">
        <f t="shared" si="71"/>
        <v>1</v>
      </c>
      <c r="H413" s="2994"/>
      <c r="I413" s="11">
        <f t="shared" si="72"/>
        <v>1</v>
      </c>
      <c r="J413" s="2994"/>
      <c r="K413" s="11">
        <f t="shared" si="73"/>
        <v>1</v>
      </c>
      <c r="L413" s="2994"/>
      <c r="M413" s="11">
        <f t="shared" si="74"/>
        <v>1</v>
      </c>
      <c r="N413" s="2994"/>
      <c r="O413" s="11">
        <f t="shared" si="75"/>
        <v>1</v>
      </c>
      <c r="P413" s="2994"/>
      <c r="Q413" s="11">
        <f t="shared" si="76"/>
        <v>1</v>
      </c>
      <c r="R413" s="712">
        <f t="shared" ca="1" si="77"/>
        <v>17087</v>
      </c>
      <c r="S413" s="2959">
        <f t="shared" ca="1" si="68"/>
        <v>300</v>
      </c>
    </row>
    <row r="414" spans="1:19">
      <c r="A414" s="2992" t="str">
        <f>Sheet1!F395</f>
        <v>1-920</v>
      </c>
      <c r="B414" s="2992">
        <f>Sheet1!G395</f>
        <v>188.32</v>
      </c>
      <c r="C414" s="11">
        <f t="shared" si="69"/>
        <v>0.99</v>
      </c>
      <c r="D414" s="2994"/>
      <c r="E414" s="11">
        <f t="shared" si="70"/>
        <v>1</v>
      </c>
      <c r="F414" s="2994"/>
      <c r="G414" s="11">
        <f t="shared" si="71"/>
        <v>1</v>
      </c>
      <c r="H414" s="2994"/>
      <c r="I414" s="11">
        <f t="shared" si="72"/>
        <v>1</v>
      </c>
      <c r="J414" s="2994"/>
      <c r="K414" s="11">
        <f t="shared" si="73"/>
        <v>1</v>
      </c>
      <c r="L414" s="2994"/>
      <c r="M414" s="11">
        <f t="shared" si="74"/>
        <v>1</v>
      </c>
      <c r="N414" s="2994"/>
      <c r="O414" s="11">
        <f t="shared" si="75"/>
        <v>1</v>
      </c>
      <c r="P414" s="2994"/>
      <c r="Q414" s="11">
        <f t="shared" si="76"/>
        <v>1</v>
      </c>
      <c r="R414" s="712">
        <f t="shared" ca="1" si="77"/>
        <v>17087</v>
      </c>
      <c r="S414" s="2959">
        <f t="shared" ca="1" si="68"/>
        <v>322</v>
      </c>
    </row>
    <row r="415" spans="1:19">
      <c r="A415" s="2992" t="str">
        <f>Sheet1!F396</f>
        <v>2-901</v>
      </c>
      <c r="B415" s="2992">
        <f>Sheet1!G396</f>
        <v>210.22</v>
      </c>
      <c r="C415" s="11">
        <f t="shared" si="69"/>
        <v>0.98</v>
      </c>
      <c r="D415" s="2994"/>
      <c r="E415" s="11">
        <f t="shared" si="70"/>
        <v>1</v>
      </c>
      <c r="F415" s="2994"/>
      <c r="G415" s="11">
        <f t="shared" si="71"/>
        <v>1</v>
      </c>
      <c r="H415" s="2994"/>
      <c r="I415" s="11">
        <f t="shared" si="72"/>
        <v>1</v>
      </c>
      <c r="J415" s="2994"/>
      <c r="K415" s="11">
        <f t="shared" si="73"/>
        <v>1</v>
      </c>
      <c r="L415" s="2994"/>
      <c r="M415" s="11">
        <f t="shared" si="74"/>
        <v>1</v>
      </c>
      <c r="N415" s="2994"/>
      <c r="O415" s="11">
        <f t="shared" si="75"/>
        <v>1</v>
      </c>
      <c r="P415" s="2994"/>
      <c r="Q415" s="11">
        <f t="shared" si="76"/>
        <v>1</v>
      </c>
      <c r="R415" s="712">
        <f t="shared" ca="1" si="77"/>
        <v>16915</v>
      </c>
      <c r="S415" s="2959">
        <f t="shared" ca="1" si="68"/>
        <v>356</v>
      </c>
    </row>
    <row r="416" spans="1:19">
      <c r="A416" s="2992" t="str">
        <f>Sheet1!F397</f>
        <v>2-902</v>
      </c>
      <c r="B416" s="2992">
        <f>Sheet1!G397</f>
        <v>187.56</v>
      </c>
      <c r="C416" s="11">
        <f t="shared" si="69"/>
        <v>0.99</v>
      </c>
      <c r="D416" s="2994"/>
      <c r="E416" s="11">
        <f t="shared" si="70"/>
        <v>1</v>
      </c>
      <c r="F416" s="2994"/>
      <c r="G416" s="11">
        <f t="shared" si="71"/>
        <v>1</v>
      </c>
      <c r="H416" s="2994"/>
      <c r="I416" s="11">
        <f t="shared" si="72"/>
        <v>1</v>
      </c>
      <c r="J416" s="2994"/>
      <c r="K416" s="11">
        <f t="shared" si="73"/>
        <v>1</v>
      </c>
      <c r="L416" s="2994"/>
      <c r="M416" s="11">
        <f t="shared" si="74"/>
        <v>1</v>
      </c>
      <c r="N416" s="2994"/>
      <c r="O416" s="11">
        <f t="shared" si="75"/>
        <v>1</v>
      </c>
      <c r="P416" s="2994"/>
      <c r="Q416" s="11">
        <f t="shared" si="76"/>
        <v>1</v>
      </c>
      <c r="R416" s="712">
        <f t="shared" ca="1" si="77"/>
        <v>17087</v>
      </c>
      <c r="S416" s="2959">
        <f t="shared" ca="1" si="68"/>
        <v>320</v>
      </c>
    </row>
    <row r="417" spans="1:19">
      <c r="A417" s="2992" t="str">
        <f>Sheet1!F398</f>
        <v>2-903</v>
      </c>
      <c r="B417" s="2992">
        <f>Sheet1!G398</f>
        <v>188.42</v>
      </c>
      <c r="C417" s="11">
        <f t="shared" si="69"/>
        <v>0.99</v>
      </c>
      <c r="D417" s="2994"/>
      <c r="E417" s="11">
        <f t="shared" si="70"/>
        <v>1</v>
      </c>
      <c r="F417" s="2994"/>
      <c r="G417" s="11">
        <f t="shared" si="71"/>
        <v>1</v>
      </c>
      <c r="H417" s="2994"/>
      <c r="I417" s="11">
        <f t="shared" si="72"/>
        <v>1</v>
      </c>
      <c r="J417" s="2994"/>
      <c r="K417" s="11">
        <f t="shared" si="73"/>
        <v>1</v>
      </c>
      <c r="L417" s="2994"/>
      <c r="M417" s="11">
        <f t="shared" si="74"/>
        <v>1</v>
      </c>
      <c r="N417" s="2994"/>
      <c r="O417" s="11">
        <f t="shared" si="75"/>
        <v>1</v>
      </c>
      <c r="P417" s="2994"/>
      <c r="Q417" s="11">
        <f t="shared" si="76"/>
        <v>1</v>
      </c>
      <c r="R417" s="712">
        <f t="shared" ca="1" si="77"/>
        <v>17087</v>
      </c>
      <c r="S417" s="2959">
        <f t="shared" ca="1" si="68"/>
        <v>322</v>
      </c>
    </row>
    <row r="418" spans="1:19">
      <c r="A418" s="2992" t="str">
        <f>Sheet1!F399</f>
        <v>2-904</v>
      </c>
      <c r="B418" s="2992">
        <f>Sheet1!G399</f>
        <v>188.42</v>
      </c>
      <c r="C418" s="11">
        <f t="shared" si="69"/>
        <v>0.99</v>
      </c>
      <c r="D418" s="2994"/>
      <c r="E418" s="11">
        <f t="shared" si="70"/>
        <v>1</v>
      </c>
      <c r="F418" s="2994"/>
      <c r="G418" s="11">
        <f t="shared" si="71"/>
        <v>1</v>
      </c>
      <c r="H418" s="2994"/>
      <c r="I418" s="11">
        <f t="shared" si="72"/>
        <v>1</v>
      </c>
      <c r="J418" s="2994"/>
      <c r="K418" s="11">
        <f t="shared" si="73"/>
        <v>1</v>
      </c>
      <c r="L418" s="2994"/>
      <c r="M418" s="11">
        <f t="shared" si="74"/>
        <v>1</v>
      </c>
      <c r="N418" s="2994"/>
      <c r="O418" s="11">
        <f t="shared" si="75"/>
        <v>1</v>
      </c>
      <c r="P418" s="2994"/>
      <c r="Q418" s="11">
        <f t="shared" si="76"/>
        <v>1</v>
      </c>
      <c r="R418" s="712">
        <f t="shared" ca="1" si="77"/>
        <v>17087</v>
      </c>
      <c r="S418" s="2959">
        <f t="shared" ca="1" si="68"/>
        <v>322</v>
      </c>
    </row>
    <row r="419" spans="1:19">
      <c r="A419" s="2992" t="str">
        <f>Sheet1!F400</f>
        <v>2-905</v>
      </c>
      <c r="B419" s="2992">
        <f>Sheet1!G400</f>
        <v>188.42</v>
      </c>
      <c r="C419" s="11">
        <f t="shared" si="69"/>
        <v>0.99</v>
      </c>
      <c r="D419" s="2994"/>
      <c r="E419" s="11">
        <f t="shared" si="70"/>
        <v>1</v>
      </c>
      <c r="F419" s="2994"/>
      <c r="G419" s="11">
        <f t="shared" si="71"/>
        <v>1</v>
      </c>
      <c r="H419" s="2994"/>
      <c r="I419" s="11">
        <f t="shared" si="72"/>
        <v>1</v>
      </c>
      <c r="J419" s="2994"/>
      <c r="K419" s="11">
        <f t="shared" si="73"/>
        <v>1</v>
      </c>
      <c r="L419" s="2994"/>
      <c r="M419" s="11">
        <f t="shared" si="74"/>
        <v>1</v>
      </c>
      <c r="N419" s="2994"/>
      <c r="O419" s="11">
        <f t="shared" si="75"/>
        <v>1</v>
      </c>
      <c r="P419" s="2994"/>
      <c r="Q419" s="11">
        <f t="shared" si="76"/>
        <v>1</v>
      </c>
      <c r="R419" s="712">
        <f t="shared" ca="1" si="77"/>
        <v>17087</v>
      </c>
      <c r="S419" s="2959">
        <f t="shared" ca="1" si="68"/>
        <v>322</v>
      </c>
    </row>
    <row r="420" spans="1:19">
      <c r="A420" s="2992" t="str">
        <f>Sheet1!F401</f>
        <v>2-906</v>
      </c>
      <c r="B420" s="2992">
        <f>Sheet1!G401</f>
        <v>188.42</v>
      </c>
      <c r="C420" s="11">
        <f t="shared" si="69"/>
        <v>0.99</v>
      </c>
      <c r="D420" s="2994"/>
      <c r="E420" s="11">
        <f t="shared" si="70"/>
        <v>1</v>
      </c>
      <c r="F420" s="2994"/>
      <c r="G420" s="11">
        <f t="shared" si="71"/>
        <v>1</v>
      </c>
      <c r="H420" s="2994"/>
      <c r="I420" s="11">
        <f t="shared" si="72"/>
        <v>1</v>
      </c>
      <c r="J420" s="2994"/>
      <c r="K420" s="11">
        <f t="shared" si="73"/>
        <v>1</v>
      </c>
      <c r="L420" s="2994"/>
      <c r="M420" s="11">
        <f t="shared" si="74"/>
        <v>1</v>
      </c>
      <c r="N420" s="2994"/>
      <c r="O420" s="11">
        <f t="shared" si="75"/>
        <v>1</v>
      </c>
      <c r="P420" s="2994"/>
      <c r="Q420" s="11">
        <f t="shared" si="76"/>
        <v>1</v>
      </c>
      <c r="R420" s="712">
        <f t="shared" ca="1" si="77"/>
        <v>17087</v>
      </c>
      <c r="S420" s="2959">
        <f t="shared" ca="1" si="68"/>
        <v>322</v>
      </c>
    </row>
    <row r="421" spans="1:19">
      <c r="A421" s="2992" t="str">
        <f>Sheet1!F402</f>
        <v>2-907</v>
      </c>
      <c r="B421" s="2992">
        <f>Sheet1!G402</f>
        <v>188.42</v>
      </c>
      <c r="C421" s="11">
        <f t="shared" si="69"/>
        <v>0.99</v>
      </c>
      <c r="D421" s="2994"/>
      <c r="E421" s="11">
        <f t="shared" si="70"/>
        <v>1</v>
      </c>
      <c r="F421" s="2994"/>
      <c r="G421" s="11">
        <f t="shared" si="71"/>
        <v>1</v>
      </c>
      <c r="H421" s="2994"/>
      <c r="I421" s="11">
        <f t="shared" si="72"/>
        <v>1</v>
      </c>
      <c r="J421" s="2994"/>
      <c r="K421" s="11">
        <f t="shared" si="73"/>
        <v>1</v>
      </c>
      <c r="L421" s="2994"/>
      <c r="M421" s="11">
        <f t="shared" si="74"/>
        <v>1</v>
      </c>
      <c r="N421" s="2994"/>
      <c r="O421" s="11">
        <f t="shared" si="75"/>
        <v>1</v>
      </c>
      <c r="P421" s="2994"/>
      <c r="Q421" s="11">
        <f t="shared" si="76"/>
        <v>1</v>
      </c>
      <c r="R421" s="712">
        <f t="shared" ca="1" si="77"/>
        <v>17087</v>
      </c>
      <c r="S421" s="2959">
        <f t="shared" ca="1" si="68"/>
        <v>322</v>
      </c>
    </row>
    <row r="422" spans="1:19">
      <c r="A422" s="2992" t="str">
        <f>Sheet1!F403</f>
        <v>2-908</v>
      </c>
      <c r="B422" s="2992">
        <f>Sheet1!G403</f>
        <v>186.36</v>
      </c>
      <c r="C422" s="11">
        <f t="shared" si="69"/>
        <v>0.99</v>
      </c>
      <c r="D422" s="2994"/>
      <c r="E422" s="11">
        <f t="shared" si="70"/>
        <v>1</v>
      </c>
      <c r="F422" s="2994"/>
      <c r="G422" s="11">
        <f t="shared" si="71"/>
        <v>1</v>
      </c>
      <c r="H422" s="2994"/>
      <c r="I422" s="11">
        <f t="shared" si="72"/>
        <v>1</v>
      </c>
      <c r="J422" s="2994"/>
      <c r="K422" s="11">
        <f t="shared" si="73"/>
        <v>1</v>
      </c>
      <c r="L422" s="2994"/>
      <c r="M422" s="11">
        <f t="shared" si="74"/>
        <v>1</v>
      </c>
      <c r="N422" s="2994"/>
      <c r="O422" s="11">
        <f t="shared" si="75"/>
        <v>1</v>
      </c>
      <c r="P422" s="2994"/>
      <c r="Q422" s="11">
        <f t="shared" si="76"/>
        <v>1</v>
      </c>
      <c r="R422" s="712">
        <f t="shared" ca="1" si="77"/>
        <v>17087</v>
      </c>
      <c r="S422" s="2959">
        <f t="shared" ca="1" si="68"/>
        <v>318</v>
      </c>
    </row>
    <row r="423" spans="1:19">
      <c r="A423" s="2992" t="str">
        <f>Sheet1!F404</f>
        <v>2-909</v>
      </c>
      <c r="B423" s="2992">
        <f>Sheet1!G404</f>
        <v>188.36</v>
      </c>
      <c r="C423" s="11">
        <f t="shared" si="69"/>
        <v>0.99</v>
      </c>
      <c r="D423" s="2994"/>
      <c r="E423" s="11">
        <f t="shared" si="70"/>
        <v>1</v>
      </c>
      <c r="F423" s="2994"/>
      <c r="G423" s="11">
        <f t="shared" si="71"/>
        <v>1</v>
      </c>
      <c r="H423" s="2994"/>
      <c r="I423" s="11">
        <f t="shared" si="72"/>
        <v>1</v>
      </c>
      <c r="J423" s="2994"/>
      <c r="K423" s="11">
        <f t="shared" si="73"/>
        <v>1</v>
      </c>
      <c r="L423" s="2994"/>
      <c r="M423" s="11">
        <f t="shared" si="74"/>
        <v>1</v>
      </c>
      <c r="N423" s="2994"/>
      <c r="O423" s="11">
        <f t="shared" si="75"/>
        <v>1</v>
      </c>
      <c r="P423" s="2994"/>
      <c r="Q423" s="11">
        <f t="shared" si="76"/>
        <v>1</v>
      </c>
      <c r="R423" s="712">
        <f t="shared" ca="1" si="77"/>
        <v>17087</v>
      </c>
      <c r="S423" s="2959">
        <f t="shared" ref="S423:S467" ca="1" si="78">ROUND(R423*B423/10000,0)</f>
        <v>322</v>
      </c>
    </row>
    <row r="424" spans="1:19">
      <c r="A424" s="2992" t="str">
        <f>Sheet1!F405</f>
        <v>2-910</v>
      </c>
      <c r="B424" s="2992">
        <f>Sheet1!G405</f>
        <v>175.78</v>
      </c>
      <c r="C424" s="11">
        <f t="shared" si="69"/>
        <v>0.99</v>
      </c>
      <c r="D424" s="2994"/>
      <c r="E424" s="11">
        <f t="shared" si="70"/>
        <v>1</v>
      </c>
      <c r="F424" s="2994"/>
      <c r="G424" s="11">
        <f t="shared" si="71"/>
        <v>1</v>
      </c>
      <c r="H424" s="2994"/>
      <c r="I424" s="11">
        <f t="shared" si="72"/>
        <v>1</v>
      </c>
      <c r="J424" s="2994"/>
      <c r="K424" s="11">
        <f t="shared" si="73"/>
        <v>1</v>
      </c>
      <c r="L424" s="2994"/>
      <c r="M424" s="11">
        <f t="shared" si="74"/>
        <v>1</v>
      </c>
      <c r="N424" s="2994"/>
      <c r="O424" s="11">
        <f t="shared" si="75"/>
        <v>1</v>
      </c>
      <c r="P424" s="2994"/>
      <c r="Q424" s="11">
        <f t="shared" si="76"/>
        <v>1</v>
      </c>
      <c r="R424" s="712">
        <f t="shared" ca="1" si="77"/>
        <v>17087</v>
      </c>
      <c r="S424" s="2959">
        <f t="shared" ca="1" si="78"/>
        <v>300</v>
      </c>
    </row>
    <row r="425" spans="1:19">
      <c r="A425" s="2992" t="str">
        <f>Sheet1!F406</f>
        <v>2-911</v>
      </c>
      <c r="B425" s="2992">
        <f>Sheet1!G406</f>
        <v>279.95999999999998</v>
      </c>
      <c r="C425" s="11">
        <f t="shared" si="69"/>
        <v>0.98</v>
      </c>
      <c r="D425" s="2994"/>
      <c r="E425" s="11">
        <f t="shared" si="70"/>
        <v>1</v>
      </c>
      <c r="F425" s="2994"/>
      <c r="G425" s="11">
        <f t="shared" si="71"/>
        <v>1</v>
      </c>
      <c r="H425" s="2994"/>
      <c r="I425" s="11">
        <f t="shared" si="72"/>
        <v>1</v>
      </c>
      <c r="J425" s="2994"/>
      <c r="K425" s="11">
        <f t="shared" si="73"/>
        <v>1</v>
      </c>
      <c r="L425" s="2994"/>
      <c r="M425" s="11">
        <f t="shared" si="74"/>
        <v>1</v>
      </c>
      <c r="N425" s="2994"/>
      <c r="O425" s="11">
        <f t="shared" si="75"/>
        <v>1</v>
      </c>
      <c r="P425" s="2994"/>
      <c r="Q425" s="11">
        <f t="shared" si="76"/>
        <v>1</v>
      </c>
      <c r="R425" s="712">
        <f t="shared" ca="1" si="77"/>
        <v>16915</v>
      </c>
      <c r="S425" s="2959">
        <f t="shared" ca="1" si="78"/>
        <v>474</v>
      </c>
    </row>
    <row r="426" spans="1:19">
      <c r="A426" s="2992" t="str">
        <f>Sheet1!F407</f>
        <v>2-912</v>
      </c>
      <c r="B426" s="2992">
        <f>Sheet1!G407</f>
        <v>188.43</v>
      </c>
      <c r="C426" s="11">
        <f t="shared" si="69"/>
        <v>0.99</v>
      </c>
      <c r="D426" s="2994"/>
      <c r="E426" s="11">
        <f t="shared" si="70"/>
        <v>1</v>
      </c>
      <c r="F426" s="2994"/>
      <c r="G426" s="11">
        <f t="shared" si="71"/>
        <v>1</v>
      </c>
      <c r="H426" s="2994"/>
      <c r="I426" s="11">
        <f t="shared" si="72"/>
        <v>1</v>
      </c>
      <c r="J426" s="2994"/>
      <c r="K426" s="11">
        <f t="shared" si="73"/>
        <v>1</v>
      </c>
      <c r="L426" s="2994"/>
      <c r="M426" s="11">
        <f t="shared" si="74"/>
        <v>1</v>
      </c>
      <c r="N426" s="2994"/>
      <c r="O426" s="11">
        <f t="shared" si="75"/>
        <v>1</v>
      </c>
      <c r="P426" s="2994"/>
      <c r="Q426" s="11">
        <f t="shared" si="76"/>
        <v>1</v>
      </c>
      <c r="R426" s="712">
        <f t="shared" ca="1" si="77"/>
        <v>17087</v>
      </c>
      <c r="S426" s="2959">
        <f t="shared" ca="1" si="78"/>
        <v>322</v>
      </c>
    </row>
    <row r="427" spans="1:19">
      <c r="A427" s="2992" t="str">
        <f>Sheet1!F408</f>
        <v>2-913</v>
      </c>
      <c r="B427" s="2992">
        <f>Sheet1!G408</f>
        <v>188.43</v>
      </c>
      <c r="C427" s="11">
        <f t="shared" si="69"/>
        <v>0.99</v>
      </c>
      <c r="D427" s="2994"/>
      <c r="E427" s="11">
        <f t="shared" si="70"/>
        <v>1</v>
      </c>
      <c r="F427" s="2994"/>
      <c r="G427" s="11">
        <f t="shared" si="71"/>
        <v>1</v>
      </c>
      <c r="H427" s="2994"/>
      <c r="I427" s="11">
        <f t="shared" si="72"/>
        <v>1</v>
      </c>
      <c r="J427" s="2994"/>
      <c r="K427" s="11">
        <f t="shared" si="73"/>
        <v>1</v>
      </c>
      <c r="L427" s="2994"/>
      <c r="M427" s="11">
        <f t="shared" si="74"/>
        <v>1</v>
      </c>
      <c r="N427" s="2994"/>
      <c r="O427" s="11">
        <f t="shared" si="75"/>
        <v>1</v>
      </c>
      <c r="P427" s="2994"/>
      <c r="Q427" s="11">
        <f t="shared" si="76"/>
        <v>1</v>
      </c>
      <c r="R427" s="712">
        <f t="shared" ca="1" si="77"/>
        <v>17087</v>
      </c>
      <c r="S427" s="2959">
        <f t="shared" ca="1" si="78"/>
        <v>322</v>
      </c>
    </row>
    <row r="428" spans="1:19">
      <c r="A428" s="2992" t="str">
        <f>Sheet1!F409</f>
        <v>2-914</v>
      </c>
      <c r="B428" s="2992">
        <f>Sheet1!G409</f>
        <v>188.43</v>
      </c>
      <c r="C428" s="11">
        <f t="shared" si="69"/>
        <v>0.99</v>
      </c>
      <c r="D428" s="2994"/>
      <c r="E428" s="11">
        <f t="shared" si="70"/>
        <v>1</v>
      </c>
      <c r="F428" s="2994"/>
      <c r="G428" s="11">
        <f t="shared" si="71"/>
        <v>1</v>
      </c>
      <c r="H428" s="2994"/>
      <c r="I428" s="11">
        <f t="shared" si="72"/>
        <v>1</v>
      </c>
      <c r="J428" s="2994"/>
      <c r="K428" s="11">
        <f t="shared" si="73"/>
        <v>1</v>
      </c>
      <c r="L428" s="2994"/>
      <c r="M428" s="11">
        <f t="shared" si="74"/>
        <v>1</v>
      </c>
      <c r="N428" s="2994"/>
      <c r="O428" s="11">
        <f t="shared" si="75"/>
        <v>1</v>
      </c>
      <c r="P428" s="2994"/>
      <c r="Q428" s="11">
        <f t="shared" si="76"/>
        <v>1</v>
      </c>
      <c r="R428" s="712">
        <f t="shared" ca="1" si="77"/>
        <v>17087</v>
      </c>
      <c r="S428" s="2959">
        <f t="shared" ca="1" si="78"/>
        <v>322</v>
      </c>
    </row>
    <row r="429" spans="1:19">
      <c r="A429" s="2992" t="str">
        <f>Sheet1!F410</f>
        <v>2-915</v>
      </c>
      <c r="B429" s="2992">
        <f>Sheet1!G410</f>
        <v>188.43</v>
      </c>
      <c r="C429" s="11">
        <f t="shared" si="69"/>
        <v>0.99</v>
      </c>
      <c r="D429" s="2994"/>
      <c r="E429" s="11">
        <f t="shared" si="70"/>
        <v>1</v>
      </c>
      <c r="F429" s="2994"/>
      <c r="G429" s="11">
        <f t="shared" si="71"/>
        <v>1</v>
      </c>
      <c r="H429" s="2994"/>
      <c r="I429" s="11">
        <f t="shared" si="72"/>
        <v>1</v>
      </c>
      <c r="J429" s="2994"/>
      <c r="K429" s="11">
        <f t="shared" si="73"/>
        <v>1</v>
      </c>
      <c r="L429" s="2994"/>
      <c r="M429" s="11">
        <f t="shared" si="74"/>
        <v>1</v>
      </c>
      <c r="N429" s="2994"/>
      <c r="O429" s="11">
        <f t="shared" si="75"/>
        <v>1</v>
      </c>
      <c r="P429" s="2994"/>
      <c r="Q429" s="11">
        <f t="shared" si="76"/>
        <v>1</v>
      </c>
      <c r="R429" s="712">
        <f t="shared" ca="1" si="77"/>
        <v>17087</v>
      </c>
      <c r="S429" s="2959">
        <f t="shared" ca="1" si="78"/>
        <v>322</v>
      </c>
    </row>
    <row r="430" spans="1:19">
      <c r="A430" s="2992" t="str">
        <f>Sheet1!F411</f>
        <v>2-916</v>
      </c>
      <c r="B430" s="2992">
        <f>Sheet1!G411</f>
        <v>188.43</v>
      </c>
      <c r="C430" s="11">
        <f t="shared" si="69"/>
        <v>0.99</v>
      </c>
      <c r="D430" s="2994"/>
      <c r="E430" s="11">
        <f t="shared" si="70"/>
        <v>1</v>
      </c>
      <c r="F430" s="2994"/>
      <c r="G430" s="11">
        <f t="shared" si="71"/>
        <v>1</v>
      </c>
      <c r="H430" s="2994"/>
      <c r="I430" s="11">
        <f t="shared" si="72"/>
        <v>1</v>
      </c>
      <c r="J430" s="2994"/>
      <c r="K430" s="11">
        <f t="shared" si="73"/>
        <v>1</v>
      </c>
      <c r="L430" s="2994"/>
      <c r="M430" s="11">
        <f t="shared" si="74"/>
        <v>1</v>
      </c>
      <c r="N430" s="2994"/>
      <c r="O430" s="11">
        <f t="shared" si="75"/>
        <v>1</v>
      </c>
      <c r="P430" s="2994"/>
      <c r="Q430" s="11">
        <f t="shared" si="76"/>
        <v>1</v>
      </c>
      <c r="R430" s="712">
        <f t="shared" ca="1" si="77"/>
        <v>17087</v>
      </c>
      <c r="S430" s="2959">
        <f t="shared" ca="1" si="78"/>
        <v>322</v>
      </c>
    </row>
    <row r="431" spans="1:19">
      <c r="A431" s="2992" t="str">
        <f>Sheet1!F412</f>
        <v>2-917</v>
      </c>
      <c r="B431" s="2992">
        <f>Sheet1!G412</f>
        <v>188.38</v>
      </c>
      <c r="C431" s="11">
        <f t="shared" si="69"/>
        <v>0.99</v>
      </c>
      <c r="D431" s="2994"/>
      <c r="E431" s="11">
        <f t="shared" si="70"/>
        <v>1</v>
      </c>
      <c r="F431" s="2994"/>
      <c r="G431" s="11">
        <f t="shared" si="71"/>
        <v>1</v>
      </c>
      <c r="H431" s="2994"/>
      <c r="I431" s="11">
        <f t="shared" si="72"/>
        <v>1</v>
      </c>
      <c r="J431" s="2994"/>
      <c r="K431" s="11">
        <f t="shared" si="73"/>
        <v>1</v>
      </c>
      <c r="L431" s="2994"/>
      <c r="M431" s="11">
        <f t="shared" si="74"/>
        <v>1</v>
      </c>
      <c r="N431" s="2994"/>
      <c r="O431" s="11">
        <f t="shared" si="75"/>
        <v>1</v>
      </c>
      <c r="P431" s="2994"/>
      <c r="Q431" s="11">
        <f t="shared" si="76"/>
        <v>1</v>
      </c>
      <c r="R431" s="712">
        <f t="shared" ca="1" si="77"/>
        <v>17087</v>
      </c>
      <c r="S431" s="2959">
        <f t="shared" ca="1" si="78"/>
        <v>322</v>
      </c>
    </row>
    <row r="432" spans="1:19">
      <c r="A432" s="2992" t="str">
        <f>Sheet1!F413</f>
        <v>2-918</v>
      </c>
      <c r="B432" s="2992">
        <f>Sheet1!G413</f>
        <v>208.95</v>
      </c>
      <c r="C432" s="11">
        <f t="shared" si="69"/>
        <v>0.98</v>
      </c>
      <c r="D432" s="2994"/>
      <c r="E432" s="11">
        <f t="shared" si="70"/>
        <v>1</v>
      </c>
      <c r="F432" s="2994"/>
      <c r="G432" s="11">
        <f t="shared" si="71"/>
        <v>1</v>
      </c>
      <c r="H432" s="2994"/>
      <c r="I432" s="11">
        <f t="shared" si="72"/>
        <v>1</v>
      </c>
      <c r="J432" s="2994"/>
      <c r="K432" s="11">
        <f t="shared" si="73"/>
        <v>1</v>
      </c>
      <c r="L432" s="2994"/>
      <c r="M432" s="11">
        <f t="shared" si="74"/>
        <v>1</v>
      </c>
      <c r="N432" s="2994"/>
      <c r="O432" s="11">
        <f t="shared" si="75"/>
        <v>1</v>
      </c>
      <c r="P432" s="2994"/>
      <c r="Q432" s="11">
        <f t="shared" si="76"/>
        <v>1</v>
      </c>
      <c r="R432" s="712">
        <f t="shared" ca="1" si="77"/>
        <v>16915</v>
      </c>
      <c r="S432" s="2959">
        <f t="shared" ca="1" si="78"/>
        <v>353</v>
      </c>
    </row>
    <row r="433" spans="1:19">
      <c r="A433" s="2992" t="str">
        <f>Sheet1!F414</f>
        <v>2-919</v>
      </c>
      <c r="B433" s="2992">
        <f>Sheet1!G414</f>
        <v>189.85</v>
      </c>
      <c r="C433" s="11">
        <f t="shared" si="69"/>
        <v>0.99</v>
      </c>
      <c r="D433" s="2994"/>
      <c r="E433" s="11">
        <f t="shared" si="70"/>
        <v>1</v>
      </c>
      <c r="F433" s="2994"/>
      <c r="G433" s="11">
        <f t="shared" si="71"/>
        <v>1</v>
      </c>
      <c r="H433" s="2994"/>
      <c r="I433" s="11">
        <f t="shared" si="72"/>
        <v>1</v>
      </c>
      <c r="J433" s="2994"/>
      <c r="K433" s="11">
        <f t="shared" si="73"/>
        <v>1</v>
      </c>
      <c r="L433" s="2994"/>
      <c r="M433" s="11">
        <f t="shared" si="74"/>
        <v>1</v>
      </c>
      <c r="N433" s="2994"/>
      <c r="O433" s="11">
        <f t="shared" si="75"/>
        <v>1</v>
      </c>
      <c r="P433" s="2994"/>
      <c r="Q433" s="11">
        <f t="shared" si="76"/>
        <v>1</v>
      </c>
      <c r="R433" s="712">
        <f t="shared" ca="1" si="77"/>
        <v>17087</v>
      </c>
      <c r="S433" s="2959">
        <f t="shared" ca="1" si="78"/>
        <v>324</v>
      </c>
    </row>
    <row r="434" spans="1:19">
      <c r="A434" s="2992" t="str">
        <f>Sheet1!F415</f>
        <v>2-920</v>
      </c>
      <c r="B434" s="2992">
        <f>Sheet1!G415</f>
        <v>169.23</v>
      </c>
      <c r="C434" s="11">
        <f t="shared" si="69"/>
        <v>0.99</v>
      </c>
      <c r="D434" s="2994"/>
      <c r="E434" s="11">
        <f t="shared" si="70"/>
        <v>1</v>
      </c>
      <c r="F434" s="2994"/>
      <c r="G434" s="11">
        <f t="shared" si="71"/>
        <v>1</v>
      </c>
      <c r="H434" s="2994"/>
      <c r="I434" s="11">
        <f t="shared" si="72"/>
        <v>1</v>
      </c>
      <c r="J434" s="2994"/>
      <c r="K434" s="11">
        <f t="shared" si="73"/>
        <v>1</v>
      </c>
      <c r="L434" s="2994"/>
      <c r="M434" s="11">
        <f t="shared" si="74"/>
        <v>1</v>
      </c>
      <c r="N434" s="2994"/>
      <c r="O434" s="11">
        <f t="shared" si="75"/>
        <v>1</v>
      </c>
      <c r="P434" s="2994"/>
      <c r="Q434" s="11">
        <f t="shared" si="76"/>
        <v>1</v>
      </c>
      <c r="R434" s="712">
        <f t="shared" ca="1" si="77"/>
        <v>17087</v>
      </c>
      <c r="S434" s="2959">
        <f t="shared" ca="1" si="78"/>
        <v>289</v>
      </c>
    </row>
    <row r="435" spans="1:19">
      <c r="A435" s="2992" t="str">
        <f>Sheet1!F416</f>
        <v>3-901</v>
      </c>
      <c r="B435" s="2992">
        <f>Sheet1!G416</f>
        <v>55.7</v>
      </c>
      <c r="C435" s="11">
        <f t="shared" si="69"/>
        <v>1</v>
      </c>
      <c r="D435" s="2994"/>
      <c r="E435" s="11">
        <f t="shared" si="70"/>
        <v>1</v>
      </c>
      <c r="F435" s="2994"/>
      <c r="G435" s="11">
        <f t="shared" si="71"/>
        <v>1</v>
      </c>
      <c r="H435" s="2994"/>
      <c r="I435" s="11">
        <f t="shared" si="72"/>
        <v>1</v>
      </c>
      <c r="J435" s="2994"/>
      <c r="K435" s="11">
        <f t="shared" si="73"/>
        <v>1</v>
      </c>
      <c r="L435" s="2994"/>
      <c r="M435" s="11">
        <f t="shared" si="74"/>
        <v>1</v>
      </c>
      <c r="N435" s="2994"/>
      <c r="O435" s="11">
        <f t="shared" si="75"/>
        <v>1</v>
      </c>
      <c r="P435" s="2994"/>
      <c r="Q435" s="11">
        <f t="shared" si="76"/>
        <v>1</v>
      </c>
      <c r="R435" s="712">
        <f t="shared" ca="1" si="77"/>
        <v>17260</v>
      </c>
      <c r="S435" s="2959">
        <f t="shared" ca="1" si="78"/>
        <v>96</v>
      </c>
    </row>
    <row r="436" spans="1:19">
      <c r="A436" s="2992" t="str">
        <f>Sheet1!F417</f>
        <v>3-902</v>
      </c>
      <c r="B436" s="2992">
        <f>Sheet1!G417</f>
        <v>49.53</v>
      </c>
      <c r="C436" s="11">
        <f t="shared" si="69"/>
        <v>1</v>
      </c>
      <c r="D436" s="2994"/>
      <c r="E436" s="11">
        <f t="shared" si="70"/>
        <v>1</v>
      </c>
      <c r="F436" s="2994"/>
      <c r="G436" s="11">
        <f t="shared" si="71"/>
        <v>1</v>
      </c>
      <c r="H436" s="2994"/>
      <c r="I436" s="11">
        <f t="shared" si="72"/>
        <v>1</v>
      </c>
      <c r="J436" s="2994"/>
      <c r="K436" s="11">
        <f t="shared" si="73"/>
        <v>1</v>
      </c>
      <c r="L436" s="2994"/>
      <c r="M436" s="11">
        <f t="shared" si="74"/>
        <v>1</v>
      </c>
      <c r="N436" s="2994"/>
      <c r="O436" s="11">
        <f t="shared" si="75"/>
        <v>1</v>
      </c>
      <c r="P436" s="2994"/>
      <c r="Q436" s="11">
        <f t="shared" si="76"/>
        <v>1</v>
      </c>
      <c r="R436" s="712">
        <f t="shared" ca="1" si="77"/>
        <v>17260</v>
      </c>
      <c r="S436" s="2959">
        <f t="shared" ca="1" si="78"/>
        <v>85</v>
      </c>
    </row>
    <row r="437" spans="1:19">
      <c r="A437" s="2992" t="str">
        <f>Sheet1!F418</f>
        <v>3-903</v>
      </c>
      <c r="B437" s="2992">
        <f>Sheet1!G418</f>
        <v>50.63</v>
      </c>
      <c r="C437" s="11">
        <f t="shared" si="69"/>
        <v>1</v>
      </c>
      <c r="D437" s="2994"/>
      <c r="E437" s="11">
        <f t="shared" si="70"/>
        <v>1</v>
      </c>
      <c r="F437" s="2994"/>
      <c r="G437" s="11">
        <f t="shared" si="71"/>
        <v>1</v>
      </c>
      <c r="H437" s="2994"/>
      <c r="I437" s="11">
        <f t="shared" si="72"/>
        <v>1</v>
      </c>
      <c r="J437" s="2994"/>
      <c r="K437" s="11">
        <f t="shared" si="73"/>
        <v>1</v>
      </c>
      <c r="L437" s="2994"/>
      <c r="M437" s="11">
        <f t="shared" si="74"/>
        <v>1</v>
      </c>
      <c r="N437" s="2994"/>
      <c r="O437" s="11">
        <f t="shared" si="75"/>
        <v>1</v>
      </c>
      <c r="P437" s="2994"/>
      <c r="Q437" s="11">
        <f t="shared" si="76"/>
        <v>1</v>
      </c>
      <c r="R437" s="712">
        <f t="shared" ca="1" si="77"/>
        <v>17260</v>
      </c>
      <c r="S437" s="2959">
        <f t="shared" ca="1" si="78"/>
        <v>87</v>
      </c>
    </row>
    <row r="438" spans="1:19">
      <c r="A438" s="2992" t="str">
        <f>Sheet1!F419</f>
        <v>3-904</v>
      </c>
      <c r="B438" s="2992">
        <f>Sheet1!G419</f>
        <v>50.63</v>
      </c>
      <c r="C438" s="11">
        <f t="shared" si="69"/>
        <v>1</v>
      </c>
      <c r="D438" s="2994"/>
      <c r="E438" s="11">
        <f t="shared" si="70"/>
        <v>1</v>
      </c>
      <c r="F438" s="2994"/>
      <c r="G438" s="11">
        <f t="shared" si="71"/>
        <v>1</v>
      </c>
      <c r="H438" s="2994"/>
      <c r="I438" s="11">
        <f t="shared" si="72"/>
        <v>1</v>
      </c>
      <c r="J438" s="2994"/>
      <c r="K438" s="11">
        <f t="shared" si="73"/>
        <v>1</v>
      </c>
      <c r="L438" s="2994"/>
      <c r="M438" s="11">
        <f t="shared" si="74"/>
        <v>1</v>
      </c>
      <c r="N438" s="2994"/>
      <c r="O438" s="11">
        <f t="shared" si="75"/>
        <v>1</v>
      </c>
      <c r="P438" s="2994"/>
      <c r="Q438" s="11">
        <f t="shared" si="76"/>
        <v>1</v>
      </c>
      <c r="R438" s="712">
        <f t="shared" ca="1" si="77"/>
        <v>17260</v>
      </c>
      <c r="S438" s="2959">
        <f t="shared" ca="1" si="78"/>
        <v>87</v>
      </c>
    </row>
    <row r="439" spans="1:19">
      <c r="A439" s="2992" t="str">
        <f>Sheet1!F420</f>
        <v>3-905</v>
      </c>
      <c r="B439" s="2992">
        <f>Sheet1!G420</f>
        <v>50.63</v>
      </c>
      <c r="C439" s="11">
        <f t="shared" si="69"/>
        <v>1</v>
      </c>
      <c r="D439" s="2994"/>
      <c r="E439" s="11">
        <f t="shared" si="70"/>
        <v>1</v>
      </c>
      <c r="F439" s="2994"/>
      <c r="G439" s="11">
        <f t="shared" si="71"/>
        <v>1</v>
      </c>
      <c r="H439" s="2994"/>
      <c r="I439" s="11">
        <f t="shared" si="72"/>
        <v>1</v>
      </c>
      <c r="J439" s="2994"/>
      <c r="K439" s="11">
        <f t="shared" si="73"/>
        <v>1</v>
      </c>
      <c r="L439" s="2994"/>
      <c r="M439" s="11">
        <f t="shared" si="74"/>
        <v>1</v>
      </c>
      <c r="N439" s="2994"/>
      <c r="O439" s="11">
        <f t="shared" si="75"/>
        <v>1</v>
      </c>
      <c r="P439" s="2994"/>
      <c r="Q439" s="11">
        <f t="shared" si="76"/>
        <v>1</v>
      </c>
      <c r="R439" s="712">
        <f t="shared" ca="1" si="77"/>
        <v>17260</v>
      </c>
      <c r="S439" s="2959">
        <f t="shared" ca="1" si="78"/>
        <v>87</v>
      </c>
    </row>
    <row r="440" spans="1:19">
      <c r="A440" s="2992" t="str">
        <f>Sheet1!F421</f>
        <v>3-906</v>
      </c>
      <c r="B440" s="2992">
        <f>Sheet1!G421</f>
        <v>50.63</v>
      </c>
      <c r="C440" s="11">
        <f t="shared" si="69"/>
        <v>1</v>
      </c>
      <c r="D440" s="2994"/>
      <c r="E440" s="11">
        <f t="shared" si="70"/>
        <v>1</v>
      </c>
      <c r="F440" s="2994"/>
      <c r="G440" s="11">
        <f t="shared" si="71"/>
        <v>1</v>
      </c>
      <c r="H440" s="2994"/>
      <c r="I440" s="11">
        <f t="shared" si="72"/>
        <v>1</v>
      </c>
      <c r="J440" s="2994"/>
      <c r="K440" s="11">
        <f t="shared" si="73"/>
        <v>1</v>
      </c>
      <c r="L440" s="2994"/>
      <c r="M440" s="11">
        <f t="shared" si="74"/>
        <v>1</v>
      </c>
      <c r="N440" s="2994"/>
      <c r="O440" s="11">
        <f t="shared" si="75"/>
        <v>1</v>
      </c>
      <c r="P440" s="2994"/>
      <c r="Q440" s="11">
        <f t="shared" si="76"/>
        <v>1</v>
      </c>
      <c r="R440" s="712">
        <f t="shared" ca="1" si="77"/>
        <v>17260</v>
      </c>
      <c r="S440" s="2959">
        <f t="shared" ca="1" si="78"/>
        <v>87</v>
      </c>
    </row>
    <row r="441" spans="1:19">
      <c r="A441" s="2992" t="str">
        <f>Sheet1!F422</f>
        <v>3-907</v>
      </c>
      <c r="B441" s="2992">
        <f>Sheet1!G422</f>
        <v>50.63</v>
      </c>
      <c r="C441" s="11">
        <f t="shared" si="69"/>
        <v>1</v>
      </c>
      <c r="D441" s="2994"/>
      <c r="E441" s="11">
        <f t="shared" si="70"/>
        <v>1</v>
      </c>
      <c r="F441" s="2994"/>
      <c r="G441" s="11">
        <f t="shared" si="71"/>
        <v>1</v>
      </c>
      <c r="H441" s="2994"/>
      <c r="I441" s="11">
        <f t="shared" si="72"/>
        <v>1</v>
      </c>
      <c r="J441" s="2994"/>
      <c r="K441" s="11">
        <f t="shared" si="73"/>
        <v>1</v>
      </c>
      <c r="L441" s="2994"/>
      <c r="M441" s="11">
        <f t="shared" si="74"/>
        <v>1</v>
      </c>
      <c r="N441" s="2994"/>
      <c r="O441" s="11">
        <f t="shared" si="75"/>
        <v>1</v>
      </c>
      <c r="P441" s="2994"/>
      <c r="Q441" s="11">
        <f t="shared" si="76"/>
        <v>1</v>
      </c>
      <c r="R441" s="712">
        <f t="shared" ca="1" si="77"/>
        <v>17260</v>
      </c>
      <c r="S441" s="2959">
        <f t="shared" ca="1" si="78"/>
        <v>87</v>
      </c>
    </row>
    <row r="442" spans="1:19">
      <c r="A442" s="2992" t="str">
        <f>Sheet1!F423</f>
        <v>3-908</v>
      </c>
      <c r="B442" s="2992">
        <f>Sheet1!G423</f>
        <v>50.63</v>
      </c>
      <c r="C442" s="11">
        <f t="shared" si="69"/>
        <v>1</v>
      </c>
      <c r="D442" s="2994"/>
      <c r="E442" s="11">
        <f t="shared" si="70"/>
        <v>1</v>
      </c>
      <c r="F442" s="2994"/>
      <c r="G442" s="11">
        <f t="shared" si="71"/>
        <v>1</v>
      </c>
      <c r="H442" s="2994"/>
      <c r="I442" s="11">
        <f t="shared" si="72"/>
        <v>1</v>
      </c>
      <c r="J442" s="2994"/>
      <c r="K442" s="11">
        <f t="shared" si="73"/>
        <v>1</v>
      </c>
      <c r="L442" s="2994"/>
      <c r="M442" s="11">
        <f t="shared" si="74"/>
        <v>1</v>
      </c>
      <c r="N442" s="2994"/>
      <c r="O442" s="11">
        <f t="shared" si="75"/>
        <v>1</v>
      </c>
      <c r="P442" s="2994"/>
      <c r="Q442" s="11">
        <f t="shared" si="76"/>
        <v>1</v>
      </c>
      <c r="R442" s="712">
        <f t="shared" ca="1" si="77"/>
        <v>17260</v>
      </c>
      <c r="S442" s="2959">
        <f t="shared" ca="1" si="78"/>
        <v>87</v>
      </c>
    </row>
    <row r="443" spans="1:19">
      <c r="A443" s="2992" t="str">
        <f>Sheet1!F424</f>
        <v>3-909</v>
      </c>
      <c r="B443" s="2992">
        <f>Sheet1!G424</f>
        <v>50.63</v>
      </c>
      <c r="C443" s="11">
        <f t="shared" si="69"/>
        <v>1</v>
      </c>
      <c r="D443" s="2994"/>
      <c r="E443" s="11">
        <f t="shared" si="70"/>
        <v>1</v>
      </c>
      <c r="F443" s="2994"/>
      <c r="G443" s="11">
        <f t="shared" si="71"/>
        <v>1</v>
      </c>
      <c r="H443" s="2994"/>
      <c r="I443" s="11">
        <f t="shared" si="72"/>
        <v>1</v>
      </c>
      <c r="J443" s="2994"/>
      <c r="K443" s="11">
        <f t="shared" si="73"/>
        <v>1</v>
      </c>
      <c r="L443" s="2994"/>
      <c r="M443" s="11">
        <f t="shared" si="74"/>
        <v>1</v>
      </c>
      <c r="N443" s="2994"/>
      <c r="O443" s="11">
        <f t="shared" si="75"/>
        <v>1</v>
      </c>
      <c r="P443" s="2994"/>
      <c r="Q443" s="11">
        <f t="shared" si="76"/>
        <v>1</v>
      </c>
      <c r="R443" s="712">
        <f t="shared" ca="1" si="77"/>
        <v>17260</v>
      </c>
      <c r="S443" s="2959">
        <f t="shared" ca="1" si="78"/>
        <v>87</v>
      </c>
    </row>
    <row r="444" spans="1:19">
      <c r="A444" s="2992" t="str">
        <f>Sheet1!F425</f>
        <v>3-910</v>
      </c>
      <c r="B444" s="2992">
        <f>Sheet1!G425</f>
        <v>50.63</v>
      </c>
      <c r="C444" s="11">
        <f t="shared" si="69"/>
        <v>1</v>
      </c>
      <c r="D444" s="2994"/>
      <c r="E444" s="11">
        <f t="shared" si="70"/>
        <v>1</v>
      </c>
      <c r="F444" s="2994"/>
      <c r="G444" s="11">
        <f t="shared" si="71"/>
        <v>1</v>
      </c>
      <c r="H444" s="2994"/>
      <c r="I444" s="11">
        <f t="shared" si="72"/>
        <v>1</v>
      </c>
      <c r="J444" s="2994"/>
      <c r="K444" s="11">
        <f t="shared" si="73"/>
        <v>1</v>
      </c>
      <c r="L444" s="2994"/>
      <c r="M444" s="11">
        <f t="shared" si="74"/>
        <v>1</v>
      </c>
      <c r="N444" s="2994"/>
      <c r="O444" s="11">
        <f t="shared" si="75"/>
        <v>1</v>
      </c>
      <c r="P444" s="2994"/>
      <c r="Q444" s="11">
        <f t="shared" si="76"/>
        <v>1</v>
      </c>
      <c r="R444" s="712">
        <f t="shared" ca="1" si="77"/>
        <v>17260</v>
      </c>
      <c r="S444" s="2959">
        <f t="shared" ca="1" si="78"/>
        <v>87</v>
      </c>
    </row>
    <row r="445" spans="1:19">
      <c r="A445" s="2992" t="str">
        <f>Sheet1!F426</f>
        <v>3-911</v>
      </c>
      <c r="B445" s="2992">
        <f>Sheet1!G426</f>
        <v>50.63</v>
      </c>
      <c r="C445" s="11">
        <f t="shared" si="69"/>
        <v>1</v>
      </c>
      <c r="D445" s="2994"/>
      <c r="E445" s="11">
        <f t="shared" si="70"/>
        <v>1</v>
      </c>
      <c r="F445" s="2994"/>
      <c r="G445" s="11">
        <f t="shared" si="71"/>
        <v>1</v>
      </c>
      <c r="H445" s="2994"/>
      <c r="I445" s="11">
        <f t="shared" si="72"/>
        <v>1</v>
      </c>
      <c r="J445" s="2994"/>
      <c r="K445" s="11">
        <f t="shared" si="73"/>
        <v>1</v>
      </c>
      <c r="L445" s="2994"/>
      <c r="M445" s="11">
        <f t="shared" si="74"/>
        <v>1</v>
      </c>
      <c r="N445" s="2994"/>
      <c r="O445" s="11">
        <f t="shared" si="75"/>
        <v>1</v>
      </c>
      <c r="P445" s="2994"/>
      <c r="Q445" s="11">
        <f t="shared" si="76"/>
        <v>1</v>
      </c>
      <c r="R445" s="712">
        <f t="shared" ca="1" si="77"/>
        <v>17260</v>
      </c>
      <c r="S445" s="2959">
        <f t="shared" ca="1" si="78"/>
        <v>87</v>
      </c>
    </row>
    <row r="446" spans="1:19">
      <c r="A446" s="2992" t="str">
        <f>Sheet1!F427</f>
        <v>3-912</v>
      </c>
      <c r="B446" s="2992">
        <f>Sheet1!G427</f>
        <v>50.63</v>
      </c>
      <c r="C446" s="11">
        <f t="shared" si="69"/>
        <v>1</v>
      </c>
      <c r="D446" s="2994"/>
      <c r="E446" s="11">
        <f t="shared" si="70"/>
        <v>1</v>
      </c>
      <c r="F446" s="2994"/>
      <c r="G446" s="11">
        <f t="shared" si="71"/>
        <v>1</v>
      </c>
      <c r="H446" s="2994"/>
      <c r="I446" s="11">
        <f t="shared" si="72"/>
        <v>1</v>
      </c>
      <c r="J446" s="2994"/>
      <c r="K446" s="11">
        <f t="shared" si="73"/>
        <v>1</v>
      </c>
      <c r="L446" s="2994"/>
      <c r="M446" s="11">
        <f t="shared" si="74"/>
        <v>1</v>
      </c>
      <c r="N446" s="2994"/>
      <c r="O446" s="11">
        <f t="shared" si="75"/>
        <v>1</v>
      </c>
      <c r="P446" s="2994"/>
      <c r="Q446" s="11">
        <f t="shared" si="76"/>
        <v>1</v>
      </c>
      <c r="R446" s="712">
        <f t="shared" ca="1" si="77"/>
        <v>17260</v>
      </c>
      <c r="S446" s="2959">
        <f t="shared" ca="1" si="78"/>
        <v>87</v>
      </c>
    </row>
    <row r="447" spans="1:19">
      <c r="A447" s="2992" t="str">
        <f>Sheet1!F428</f>
        <v>3-913</v>
      </c>
      <c r="B447" s="2992">
        <f>Sheet1!G428</f>
        <v>49.61</v>
      </c>
      <c r="C447" s="11">
        <f t="shared" si="69"/>
        <v>1</v>
      </c>
      <c r="D447" s="2994"/>
      <c r="E447" s="11">
        <f t="shared" si="70"/>
        <v>1</v>
      </c>
      <c r="F447" s="2994"/>
      <c r="G447" s="11">
        <f t="shared" si="71"/>
        <v>1</v>
      </c>
      <c r="H447" s="2994"/>
      <c r="I447" s="11">
        <f t="shared" si="72"/>
        <v>1</v>
      </c>
      <c r="J447" s="2994"/>
      <c r="K447" s="11">
        <f t="shared" si="73"/>
        <v>1</v>
      </c>
      <c r="L447" s="2994"/>
      <c r="M447" s="11">
        <f t="shared" si="74"/>
        <v>1</v>
      </c>
      <c r="N447" s="2994"/>
      <c r="O447" s="11">
        <f t="shared" si="75"/>
        <v>1</v>
      </c>
      <c r="P447" s="2994"/>
      <c r="Q447" s="11">
        <f t="shared" si="76"/>
        <v>1</v>
      </c>
      <c r="R447" s="712">
        <f t="shared" ca="1" si="77"/>
        <v>17260</v>
      </c>
      <c r="S447" s="2959">
        <f t="shared" ca="1" si="78"/>
        <v>86</v>
      </c>
    </row>
    <row r="448" spans="1:19">
      <c r="A448" s="2992" t="str">
        <f>Sheet1!F429</f>
        <v>3-914</v>
      </c>
      <c r="B448" s="2992">
        <f>Sheet1!G429</f>
        <v>46.31</v>
      </c>
      <c r="C448" s="11">
        <f t="shared" si="69"/>
        <v>1</v>
      </c>
      <c r="D448" s="2994"/>
      <c r="E448" s="11">
        <f t="shared" si="70"/>
        <v>1</v>
      </c>
      <c r="F448" s="2994"/>
      <c r="G448" s="11">
        <f t="shared" si="71"/>
        <v>1</v>
      </c>
      <c r="H448" s="2994"/>
      <c r="I448" s="11">
        <f t="shared" si="72"/>
        <v>1</v>
      </c>
      <c r="J448" s="2994"/>
      <c r="K448" s="11">
        <f t="shared" si="73"/>
        <v>1</v>
      </c>
      <c r="L448" s="2994"/>
      <c r="M448" s="11">
        <f t="shared" si="74"/>
        <v>1</v>
      </c>
      <c r="N448" s="2994"/>
      <c r="O448" s="11">
        <f t="shared" si="75"/>
        <v>1</v>
      </c>
      <c r="P448" s="2994"/>
      <c r="Q448" s="11">
        <f t="shared" si="76"/>
        <v>1</v>
      </c>
      <c r="R448" s="712">
        <f t="shared" ca="1" si="77"/>
        <v>17260</v>
      </c>
      <c r="S448" s="2959">
        <f t="shared" ca="1" si="78"/>
        <v>80</v>
      </c>
    </row>
    <row r="449" spans="1:19">
      <c r="A449" s="2992" t="str">
        <f>Sheet1!F430</f>
        <v>3-915</v>
      </c>
      <c r="B449" s="2992">
        <f>Sheet1!G430</f>
        <v>50.63</v>
      </c>
      <c r="C449" s="11">
        <f t="shared" si="69"/>
        <v>1</v>
      </c>
      <c r="D449" s="2994"/>
      <c r="E449" s="11">
        <f t="shared" si="70"/>
        <v>1</v>
      </c>
      <c r="F449" s="2994"/>
      <c r="G449" s="11">
        <f t="shared" si="71"/>
        <v>1</v>
      </c>
      <c r="H449" s="2994"/>
      <c r="I449" s="11">
        <f t="shared" si="72"/>
        <v>1</v>
      </c>
      <c r="J449" s="2994"/>
      <c r="K449" s="11">
        <f t="shared" si="73"/>
        <v>1</v>
      </c>
      <c r="L449" s="2994"/>
      <c r="M449" s="11">
        <f t="shared" si="74"/>
        <v>1</v>
      </c>
      <c r="N449" s="2994"/>
      <c r="O449" s="11">
        <f t="shared" si="75"/>
        <v>1</v>
      </c>
      <c r="P449" s="2994"/>
      <c r="Q449" s="11">
        <f t="shared" si="76"/>
        <v>1</v>
      </c>
      <c r="R449" s="712">
        <f t="shared" ca="1" si="77"/>
        <v>17260</v>
      </c>
      <c r="S449" s="2959">
        <f t="shared" ca="1" si="78"/>
        <v>87</v>
      </c>
    </row>
    <row r="450" spans="1:19">
      <c r="A450" s="2992" t="str">
        <f>Sheet1!F431</f>
        <v>3-916</v>
      </c>
      <c r="B450" s="2992">
        <f>Sheet1!G431</f>
        <v>50.63</v>
      </c>
      <c r="C450" s="11">
        <f t="shared" si="69"/>
        <v>1</v>
      </c>
      <c r="D450" s="2994"/>
      <c r="E450" s="11">
        <f t="shared" si="70"/>
        <v>1</v>
      </c>
      <c r="F450" s="2994"/>
      <c r="G450" s="11">
        <f t="shared" si="71"/>
        <v>1</v>
      </c>
      <c r="H450" s="2994"/>
      <c r="I450" s="11">
        <f t="shared" si="72"/>
        <v>1</v>
      </c>
      <c r="J450" s="2994"/>
      <c r="K450" s="11">
        <f t="shared" si="73"/>
        <v>1</v>
      </c>
      <c r="L450" s="2994"/>
      <c r="M450" s="11">
        <f t="shared" si="74"/>
        <v>1</v>
      </c>
      <c r="N450" s="2994"/>
      <c r="O450" s="11">
        <f t="shared" si="75"/>
        <v>1</v>
      </c>
      <c r="P450" s="2994"/>
      <c r="Q450" s="11">
        <f t="shared" si="76"/>
        <v>1</v>
      </c>
      <c r="R450" s="712">
        <f t="shared" ca="1" si="77"/>
        <v>17260</v>
      </c>
      <c r="S450" s="2959">
        <f t="shared" ca="1" si="78"/>
        <v>87</v>
      </c>
    </row>
    <row r="451" spans="1:19">
      <c r="A451" s="2992" t="str">
        <f>Sheet1!F432</f>
        <v>3-917</v>
      </c>
      <c r="B451" s="2992">
        <f>Sheet1!G432</f>
        <v>62.54</v>
      </c>
      <c r="C451" s="11">
        <f t="shared" si="69"/>
        <v>1</v>
      </c>
      <c r="D451" s="2994"/>
      <c r="E451" s="11">
        <f t="shared" si="70"/>
        <v>1</v>
      </c>
      <c r="F451" s="2994"/>
      <c r="G451" s="11">
        <f t="shared" si="71"/>
        <v>1</v>
      </c>
      <c r="H451" s="2994"/>
      <c r="I451" s="11">
        <f t="shared" si="72"/>
        <v>1</v>
      </c>
      <c r="J451" s="2994"/>
      <c r="K451" s="11">
        <f t="shared" si="73"/>
        <v>1</v>
      </c>
      <c r="L451" s="2994"/>
      <c r="M451" s="11">
        <f t="shared" si="74"/>
        <v>1</v>
      </c>
      <c r="N451" s="2994"/>
      <c r="O451" s="11">
        <f t="shared" si="75"/>
        <v>1</v>
      </c>
      <c r="P451" s="2994"/>
      <c r="Q451" s="11">
        <f t="shared" si="76"/>
        <v>1</v>
      </c>
      <c r="R451" s="712">
        <f t="shared" ca="1" si="77"/>
        <v>17260</v>
      </c>
      <c r="S451" s="2959">
        <f t="shared" ca="1" si="78"/>
        <v>108</v>
      </c>
    </row>
    <row r="452" spans="1:19">
      <c r="A452" s="2992" t="str">
        <f>Sheet1!F433</f>
        <v>3-918</v>
      </c>
      <c r="B452" s="2992">
        <f>Sheet1!G433</f>
        <v>62.56</v>
      </c>
      <c r="C452" s="11">
        <f t="shared" si="69"/>
        <v>1</v>
      </c>
      <c r="D452" s="2994"/>
      <c r="E452" s="11">
        <f t="shared" si="70"/>
        <v>1</v>
      </c>
      <c r="F452" s="2994"/>
      <c r="G452" s="11">
        <f t="shared" si="71"/>
        <v>1</v>
      </c>
      <c r="H452" s="2994"/>
      <c r="I452" s="11">
        <f t="shared" si="72"/>
        <v>1</v>
      </c>
      <c r="J452" s="2994"/>
      <c r="K452" s="11">
        <f t="shared" si="73"/>
        <v>1</v>
      </c>
      <c r="L452" s="2994"/>
      <c r="M452" s="11">
        <f t="shared" si="74"/>
        <v>1</v>
      </c>
      <c r="N452" s="2994"/>
      <c r="O452" s="11">
        <f t="shared" si="75"/>
        <v>1</v>
      </c>
      <c r="P452" s="2994"/>
      <c r="Q452" s="11">
        <f t="shared" si="76"/>
        <v>1</v>
      </c>
      <c r="R452" s="712">
        <f t="shared" ca="1" si="77"/>
        <v>17260</v>
      </c>
      <c r="S452" s="2959">
        <f t="shared" ca="1" si="78"/>
        <v>108</v>
      </c>
    </row>
    <row r="453" spans="1:19">
      <c r="A453" s="2992" t="str">
        <f>Sheet1!F434</f>
        <v>3-919</v>
      </c>
      <c r="B453" s="2992">
        <f>Sheet1!G434</f>
        <v>62.56</v>
      </c>
      <c r="C453" s="11">
        <f t="shared" si="69"/>
        <v>1</v>
      </c>
      <c r="D453" s="2994"/>
      <c r="E453" s="11">
        <f t="shared" si="70"/>
        <v>1</v>
      </c>
      <c r="F453" s="2994"/>
      <c r="G453" s="11">
        <f t="shared" si="71"/>
        <v>1</v>
      </c>
      <c r="H453" s="2994"/>
      <c r="I453" s="11">
        <f t="shared" si="72"/>
        <v>1</v>
      </c>
      <c r="J453" s="2994"/>
      <c r="K453" s="11">
        <f t="shared" si="73"/>
        <v>1</v>
      </c>
      <c r="L453" s="2994"/>
      <c r="M453" s="11">
        <f t="shared" si="74"/>
        <v>1</v>
      </c>
      <c r="N453" s="2994"/>
      <c r="O453" s="11">
        <f t="shared" si="75"/>
        <v>1</v>
      </c>
      <c r="P453" s="2994"/>
      <c r="Q453" s="11">
        <f t="shared" si="76"/>
        <v>1</v>
      </c>
      <c r="R453" s="712">
        <f t="shared" ca="1" si="77"/>
        <v>17260</v>
      </c>
      <c r="S453" s="2959">
        <f t="shared" ca="1" si="78"/>
        <v>108</v>
      </c>
    </row>
    <row r="454" spans="1:19">
      <c r="A454" s="2992" t="str">
        <f>Sheet1!F435</f>
        <v>3-920</v>
      </c>
      <c r="B454" s="2992">
        <f>Sheet1!G435</f>
        <v>62.54</v>
      </c>
      <c r="C454" s="11">
        <f t="shared" si="69"/>
        <v>1</v>
      </c>
      <c r="D454" s="2994"/>
      <c r="E454" s="11">
        <f t="shared" si="70"/>
        <v>1</v>
      </c>
      <c r="F454" s="2994"/>
      <c r="G454" s="11">
        <f t="shared" si="71"/>
        <v>1</v>
      </c>
      <c r="H454" s="2994"/>
      <c r="I454" s="11">
        <f t="shared" si="72"/>
        <v>1</v>
      </c>
      <c r="J454" s="2994"/>
      <c r="K454" s="11">
        <f t="shared" si="73"/>
        <v>1</v>
      </c>
      <c r="L454" s="2994"/>
      <c r="M454" s="11">
        <f t="shared" si="74"/>
        <v>1</v>
      </c>
      <c r="N454" s="2994"/>
      <c r="O454" s="11">
        <f t="shared" si="75"/>
        <v>1</v>
      </c>
      <c r="P454" s="2994"/>
      <c r="Q454" s="11">
        <f t="shared" si="76"/>
        <v>1</v>
      </c>
      <c r="R454" s="712">
        <f t="shared" ca="1" si="77"/>
        <v>17260</v>
      </c>
      <c r="S454" s="2959">
        <f t="shared" ca="1" si="78"/>
        <v>108</v>
      </c>
    </row>
    <row r="455" spans="1:19">
      <c r="A455" s="2992" t="str">
        <f>Sheet1!F436</f>
        <v>3-921</v>
      </c>
      <c r="B455" s="2992">
        <f>Sheet1!G436</f>
        <v>50.63</v>
      </c>
      <c r="C455" s="11">
        <f t="shared" si="69"/>
        <v>1</v>
      </c>
      <c r="D455" s="2994"/>
      <c r="E455" s="11">
        <f t="shared" si="70"/>
        <v>1</v>
      </c>
      <c r="F455" s="2994"/>
      <c r="G455" s="11">
        <f t="shared" si="71"/>
        <v>1</v>
      </c>
      <c r="H455" s="2994"/>
      <c r="I455" s="11">
        <f t="shared" si="72"/>
        <v>1</v>
      </c>
      <c r="J455" s="2994"/>
      <c r="K455" s="11">
        <f t="shared" si="73"/>
        <v>1</v>
      </c>
      <c r="L455" s="2994"/>
      <c r="M455" s="11">
        <f t="shared" si="74"/>
        <v>1</v>
      </c>
      <c r="N455" s="2994"/>
      <c r="O455" s="11">
        <f t="shared" si="75"/>
        <v>1</v>
      </c>
      <c r="P455" s="2994"/>
      <c r="Q455" s="11">
        <f t="shared" si="76"/>
        <v>1</v>
      </c>
      <c r="R455" s="712">
        <f t="shared" ca="1" si="77"/>
        <v>17260</v>
      </c>
      <c r="S455" s="2959">
        <f t="shared" ca="1" si="78"/>
        <v>87</v>
      </c>
    </row>
    <row r="456" spans="1:19">
      <c r="A456" s="2992" t="str">
        <f>Sheet1!F437</f>
        <v>3-922</v>
      </c>
      <c r="B456" s="2992">
        <f>Sheet1!G437</f>
        <v>50.63</v>
      </c>
      <c r="C456" s="11">
        <f t="shared" si="69"/>
        <v>1</v>
      </c>
      <c r="D456" s="2994"/>
      <c r="E456" s="11">
        <f t="shared" si="70"/>
        <v>1</v>
      </c>
      <c r="F456" s="2994"/>
      <c r="G456" s="11">
        <f t="shared" si="71"/>
        <v>1</v>
      </c>
      <c r="H456" s="2994"/>
      <c r="I456" s="11">
        <f t="shared" si="72"/>
        <v>1</v>
      </c>
      <c r="J456" s="2994"/>
      <c r="K456" s="11">
        <f t="shared" si="73"/>
        <v>1</v>
      </c>
      <c r="L456" s="2994"/>
      <c r="M456" s="11">
        <f t="shared" si="74"/>
        <v>1</v>
      </c>
      <c r="N456" s="2994"/>
      <c r="O456" s="11">
        <f t="shared" si="75"/>
        <v>1</v>
      </c>
      <c r="P456" s="2994"/>
      <c r="Q456" s="11">
        <f t="shared" si="76"/>
        <v>1</v>
      </c>
      <c r="R456" s="712">
        <f t="shared" ca="1" si="77"/>
        <v>17260</v>
      </c>
      <c r="S456" s="2959">
        <f t="shared" ca="1" si="78"/>
        <v>87</v>
      </c>
    </row>
    <row r="457" spans="1:19">
      <c r="A457" s="2992" t="str">
        <f>Sheet1!F438</f>
        <v>3-923</v>
      </c>
      <c r="B457" s="2992">
        <f>Sheet1!G438</f>
        <v>50.63</v>
      </c>
      <c r="C457" s="11">
        <f t="shared" si="69"/>
        <v>1</v>
      </c>
      <c r="D457" s="2994"/>
      <c r="E457" s="11">
        <f t="shared" si="70"/>
        <v>1</v>
      </c>
      <c r="F457" s="2994"/>
      <c r="G457" s="11">
        <f t="shared" si="71"/>
        <v>1</v>
      </c>
      <c r="H457" s="2994"/>
      <c r="I457" s="11">
        <f t="shared" si="72"/>
        <v>1</v>
      </c>
      <c r="J457" s="2994"/>
      <c r="K457" s="11">
        <f t="shared" si="73"/>
        <v>1</v>
      </c>
      <c r="L457" s="2994"/>
      <c r="M457" s="11">
        <f t="shared" si="74"/>
        <v>1</v>
      </c>
      <c r="N457" s="2994"/>
      <c r="O457" s="11">
        <f t="shared" si="75"/>
        <v>1</v>
      </c>
      <c r="P457" s="2994"/>
      <c r="Q457" s="11">
        <f t="shared" si="76"/>
        <v>1</v>
      </c>
      <c r="R457" s="712">
        <f t="shared" ca="1" si="77"/>
        <v>17260</v>
      </c>
      <c r="S457" s="2959">
        <f t="shared" ca="1" si="78"/>
        <v>87</v>
      </c>
    </row>
    <row r="458" spans="1:19">
      <c r="A458" s="2992" t="str">
        <f>Sheet1!F439</f>
        <v>3-924</v>
      </c>
      <c r="B458" s="2992">
        <f>Sheet1!G439</f>
        <v>50.63</v>
      </c>
      <c r="C458" s="11">
        <f t="shared" si="69"/>
        <v>1</v>
      </c>
      <c r="D458" s="2994"/>
      <c r="E458" s="11">
        <f t="shared" si="70"/>
        <v>1</v>
      </c>
      <c r="F458" s="2994"/>
      <c r="G458" s="11">
        <f t="shared" si="71"/>
        <v>1</v>
      </c>
      <c r="H458" s="2994"/>
      <c r="I458" s="11">
        <f t="shared" si="72"/>
        <v>1</v>
      </c>
      <c r="J458" s="2994"/>
      <c r="K458" s="11">
        <f t="shared" si="73"/>
        <v>1</v>
      </c>
      <c r="L458" s="2994"/>
      <c r="M458" s="11">
        <f t="shared" si="74"/>
        <v>1</v>
      </c>
      <c r="N458" s="2994"/>
      <c r="O458" s="11">
        <f t="shared" si="75"/>
        <v>1</v>
      </c>
      <c r="P458" s="2994"/>
      <c r="Q458" s="11">
        <f t="shared" si="76"/>
        <v>1</v>
      </c>
      <c r="R458" s="712">
        <f t="shared" ca="1" si="77"/>
        <v>17260</v>
      </c>
      <c r="S458" s="2959">
        <f t="shared" ca="1" si="78"/>
        <v>87</v>
      </c>
    </row>
    <row r="459" spans="1:19">
      <c r="A459" s="2992" t="str">
        <f>Sheet1!F440</f>
        <v>3-925</v>
      </c>
      <c r="B459" s="2992">
        <f>Sheet1!G440</f>
        <v>50.63</v>
      </c>
      <c r="C459" s="11">
        <f t="shared" si="69"/>
        <v>1</v>
      </c>
      <c r="D459" s="2994"/>
      <c r="E459" s="11">
        <f t="shared" si="70"/>
        <v>1</v>
      </c>
      <c r="F459" s="2994"/>
      <c r="G459" s="11">
        <f t="shared" si="71"/>
        <v>1</v>
      </c>
      <c r="H459" s="2994"/>
      <c r="I459" s="11">
        <f t="shared" si="72"/>
        <v>1</v>
      </c>
      <c r="J459" s="2994"/>
      <c r="K459" s="11">
        <f t="shared" si="73"/>
        <v>1</v>
      </c>
      <c r="L459" s="2994"/>
      <c r="M459" s="11">
        <f t="shared" si="74"/>
        <v>1</v>
      </c>
      <c r="N459" s="2994"/>
      <c r="O459" s="11">
        <f t="shared" si="75"/>
        <v>1</v>
      </c>
      <c r="P459" s="2994"/>
      <c r="Q459" s="11">
        <f t="shared" si="76"/>
        <v>1</v>
      </c>
      <c r="R459" s="712">
        <f t="shared" ca="1" si="77"/>
        <v>17260</v>
      </c>
      <c r="S459" s="2959">
        <f t="shared" ca="1" si="78"/>
        <v>87</v>
      </c>
    </row>
    <row r="460" spans="1:19">
      <c r="A460" s="2992" t="str">
        <f>Sheet1!F441</f>
        <v>3-926</v>
      </c>
      <c r="B460" s="2992">
        <f>Sheet1!G441</f>
        <v>50.63</v>
      </c>
      <c r="C460" s="11">
        <f t="shared" si="69"/>
        <v>1</v>
      </c>
      <c r="D460" s="2994"/>
      <c r="E460" s="11">
        <f t="shared" si="70"/>
        <v>1</v>
      </c>
      <c r="F460" s="2994"/>
      <c r="G460" s="11">
        <f t="shared" si="71"/>
        <v>1</v>
      </c>
      <c r="H460" s="2994"/>
      <c r="I460" s="11">
        <f t="shared" si="72"/>
        <v>1</v>
      </c>
      <c r="J460" s="2994"/>
      <c r="K460" s="11">
        <f t="shared" si="73"/>
        <v>1</v>
      </c>
      <c r="L460" s="2994"/>
      <c r="M460" s="11">
        <f t="shared" si="74"/>
        <v>1</v>
      </c>
      <c r="N460" s="2994"/>
      <c r="O460" s="11">
        <f t="shared" si="75"/>
        <v>1</v>
      </c>
      <c r="P460" s="2994"/>
      <c r="Q460" s="11">
        <f t="shared" si="76"/>
        <v>1</v>
      </c>
      <c r="R460" s="712">
        <f t="shared" ca="1" si="77"/>
        <v>17260</v>
      </c>
      <c r="S460" s="2959">
        <f t="shared" ca="1" si="78"/>
        <v>87</v>
      </c>
    </row>
    <row r="461" spans="1:19">
      <c r="A461" s="2992" t="str">
        <f>Sheet1!F442</f>
        <v>3-927</v>
      </c>
      <c r="B461" s="2992">
        <f>Sheet1!G442</f>
        <v>50.63</v>
      </c>
      <c r="C461" s="11">
        <f t="shared" si="69"/>
        <v>1</v>
      </c>
      <c r="D461" s="2994"/>
      <c r="E461" s="11">
        <f t="shared" si="70"/>
        <v>1</v>
      </c>
      <c r="F461" s="2994"/>
      <c r="G461" s="11">
        <f t="shared" si="71"/>
        <v>1</v>
      </c>
      <c r="H461" s="2994"/>
      <c r="I461" s="11">
        <f t="shared" si="72"/>
        <v>1</v>
      </c>
      <c r="J461" s="2994"/>
      <c r="K461" s="11">
        <f t="shared" si="73"/>
        <v>1</v>
      </c>
      <c r="L461" s="2994"/>
      <c r="M461" s="11">
        <f t="shared" si="74"/>
        <v>1</v>
      </c>
      <c r="N461" s="2994"/>
      <c r="O461" s="11">
        <f t="shared" si="75"/>
        <v>1</v>
      </c>
      <c r="P461" s="2994"/>
      <c r="Q461" s="11">
        <f t="shared" si="76"/>
        <v>1</v>
      </c>
      <c r="R461" s="712">
        <f t="shared" ca="1" si="77"/>
        <v>17260</v>
      </c>
      <c r="S461" s="2959">
        <f t="shared" ca="1" si="78"/>
        <v>87</v>
      </c>
    </row>
    <row r="462" spans="1:19">
      <c r="A462" s="2992" t="str">
        <f>Sheet1!F443</f>
        <v>3-928</v>
      </c>
      <c r="B462" s="2992">
        <f>Sheet1!G443</f>
        <v>50.63</v>
      </c>
      <c r="C462" s="11">
        <f t="shared" si="69"/>
        <v>1</v>
      </c>
      <c r="D462" s="2994"/>
      <c r="E462" s="11">
        <f t="shared" si="70"/>
        <v>1</v>
      </c>
      <c r="F462" s="2994"/>
      <c r="G462" s="11">
        <f t="shared" si="71"/>
        <v>1</v>
      </c>
      <c r="H462" s="2994"/>
      <c r="I462" s="11">
        <f t="shared" si="72"/>
        <v>1</v>
      </c>
      <c r="J462" s="2994"/>
      <c r="K462" s="11">
        <f t="shared" si="73"/>
        <v>1</v>
      </c>
      <c r="L462" s="2994"/>
      <c r="M462" s="11">
        <f t="shared" si="74"/>
        <v>1</v>
      </c>
      <c r="N462" s="2994"/>
      <c r="O462" s="11">
        <f t="shared" si="75"/>
        <v>1</v>
      </c>
      <c r="P462" s="2994"/>
      <c r="Q462" s="11">
        <f t="shared" si="76"/>
        <v>1</v>
      </c>
      <c r="R462" s="712">
        <f t="shared" ca="1" si="77"/>
        <v>17260</v>
      </c>
      <c r="S462" s="2959">
        <f t="shared" ca="1" si="78"/>
        <v>87</v>
      </c>
    </row>
    <row r="463" spans="1:19">
      <c r="A463" s="2992" t="str">
        <f>Sheet1!F444</f>
        <v>3-929</v>
      </c>
      <c r="B463" s="2992">
        <f>Sheet1!G444</f>
        <v>50.63</v>
      </c>
      <c r="C463" s="11">
        <f t="shared" si="69"/>
        <v>1</v>
      </c>
      <c r="D463" s="2994"/>
      <c r="E463" s="11">
        <f t="shared" si="70"/>
        <v>1</v>
      </c>
      <c r="F463" s="2994"/>
      <c r="G463" s="11">
        <f t="shared" si="71"/>
        <v>1</v>
      </c>
      <c r="H463" s="2994"/>
      <c r="I463" s="11">
        <f t="shared" si="72"/>
        <v>1</v>
      </c>
      <c r="J463" s="2994"/>
      <c r="K463" s="11">
        <f t="shared" si="73"/>
        <v>1</v>
      </c>
      <c r="L463" s="2994"/>
      <c r="M463" s="11">
        <f t="shared" si="74"/>
        <v>1</v>
      </c>
      <c r="N463" s="2994"/>
      <c r="O463" s="11">
        <f t="shared" si="75"/>
        <v>1</v>
      </c>
      <c r="P463" s="2994"/>
      <c r="Q463" s="11">
        <f t="shared" si="76"/>
        <v>1</v>
      </c>
      <c r="R463" s="712">
        <f t="shared" ca="1" si="77"/>
        <v>17260</v>
      </c>
      <c r="S463" s="2959">
        <f t="shared" ca="1" si="78"/>
        <v>87</v>
      </c>
    </row>
    <row r="464" spans="1:19">
      <c r="A464" s="2992" t="str">
        <f>Sheet1!F445</f>
        <v>3-930</v>
      </c>
      <c r="B464" s="2992">
        <f>Sheet1!G445</f>
        <v>50.63</v>
      </c>
      <c r="C464" s="11">
        <f t="shared" si="69"/>
        <v>1</v>
      </c>
      <c r="D464" s="2994"/>
      <c r="E464" s="11">
        <f t="shared" si="70"/>
        <v>1</v>
      </c>
      <c r="F464" s="2994"/>
      <c r="G464" s="11">
        <f t="shared" si="71"/>
        <v>1</v>
      </c>
      <c r="H464" s="2994"/>
      <c r="I464" s="11">
        <f t="shared" si="72"/>
        <v>1</v>
      </c>
      <c r="J464" s="2994"/>
      <c r="K464" s="11">
        <f t="shared" si="73"/>
        <v>1</v>
      </c>
      <c r="L464" s="2994"/>
      <c r="M464" s="11">
        <f t="shared" si="74"/>
        <v>1</v>
      </c>
      <c r="N464" s="2994"/>
      <c r="O464" s="11">
        <f t="shared" si="75"/>
        <v>1</v>
      </c>
      <c r="P464" s="2994"/>
      <c r="Q464" s="11">
        <f t="shared" si="76"/>
        <v>1</v>
      </c>
      <c r="R464" s="712">
        <f t="shared" ca="1" si="77"/>
        <v>17260</v>
      </c>
      <c r="S464" s="2959">
        <f t="shared" ca="1" si="78"/>
        <v>87</v>
      </c>
    </row>
    <row r="465" spans="1:19">
      <c r="A465" s="2992" t="str">
        <f>Sheet1!F446</f>
        <v>3-931</v>
      </c>
      <c r="B465" s="2992">
        <f>Sheet1!G446</f>
        <v>50.63</v>
      </c>
      <c r="C465" s="11">
        <f t="shared" si="69"/>
        <v>1</v>
      </c>
      <c r="D465" s="2994"/>
      <c r="E465" s="11">
        <f t="shared" si="70"/>
        <v>1</v>
      </c>
      <c r="F465" s="2994"/>
      <c r="G465" s="11">
        <f t="shared" si="71"/>
        <v>1</v>
      </c>
      <c r="H465" s="2994"/>
      <c r="I465" s="11">
        <f t="shared" si="72"/>
        <v>1</v>
      </c>
      <c r="J465" s="2994"/>
      <c r="K465" s="11">
        <f t="shared" si="73"/>
        <v>1</v>
      </c>
      <c r="L465" s="2994"/>
      <c r="M465" s="11">
        <f t="shared" si="74"/>
        <v>1</v>
      </c>
      <c r="N465" s="2994"/>
      <c r="O465" s="11">
        <f t="shared" si="75"/>
        <v>1</v>
      </c>
      <c r="P465" s="2994"/>
      <c r="Q465" s="11">
        <f t="shared" si="76"/>
        <v>1</v>
      </c>
      <c r="R465" s="712">
        <f t="shared" ca="1" si="77"/>
        <v>17260</v>
      </c>
      <c r="S465" s="2959">
        <f t="shared" ca="1" si="78"/>
        <v>87</v>
      </c>
    </row>
    <row r="466" spans="1:19">
      <c r="A466" s="2992" t="str">
        <f>Sheet1!F447</f>
        <v>3-932</v>
      </c>
      <c r="B466" s="2992">
        <f>Sheet1!G447</f>
        <v>50.63</v>
      </c>
      <c r="C466" s="11">
        <f t="shared" si="69"/>
        <v>1</v>
      </c>
      <c r="D466" s="2994"/>
      <c r="E466" s="11">
        <f t="shared" si="70"/>
        <v>1</v>
      </c>
      <c r="F466" s="2994"/>
      <c r="G466" s="11">
        <f t="shared" si="71"/>
        <v>1</v>
      </c>
      <c r="H466" s="2994"/>
      <c r="I466" s="11">
        <f t="shared" si="72"/>
        <v>1</v>
      </c>
      <c r="J466" s="2994"/>
      <c r="K466" s="11">
        <f t="shared" si="73"/>
        <v>1</v>
      </c>
      <c r="L466" s="2994"/>
      <c r="M466" s="11">
        <f t="shared" si="74"/>
        <v>1</v>
      </c>
      <c r="N466" s="2994"/>
      <c r="O466" s="11">
        <f t="shared" si="75"/>
        <v>1</v>
      </c>
      <c r="P466" s="2994"/>
      <c r="Q466" s="11">
        <f t="shared" si="76"/>
        <v>1</v>
      </c>
      <c r="R466" s="712">
        <f t="shared" ca="1" si="77"/>
        <v>17260</v>
      </c>
      <c r="S466" s="2959">
        <f t="shared" ca="1" si="78"/>
        <v>87</v>
      </c>
    </row>
    <row r="467" spans="1:19">
      <c r="A467" s="2992" t="str">
        <f>Sheet1!F448</f>
        <v>3-933</v>
      </c>
      <c r="B467" s="2992">
        <f>Sheet1!G448</f>
        <v>50.38</v>
      </c>
      <c r="C467" s="11">
        <f t="shared" si="69"/>
        <v>1</v>
      </c>
      <c r="D467" s="2994"/>
      <c r="E467" s="11">
        <f t="shared" si="70"/>
        <v>1</v>
      </c>
      <c r="F467" s="2994"/>
      <c r="G467" s="11">
        <f t="shared" si="71"/>
        <v>1</v>
      </c>
      <c r="H467" s="2994"/>
      <c r="I467" s="11">
        <f t="shared" si="72"/>
        <v>1</v>
      </c>
      <c r="J467" s="2994"/>
      <c r="K467" s="11">
        <f t="shared" si="73"/>
        <v>1</v>
      </c>
      <c r="L467" s="2994"/>
      <c r="M467" s="11">
        <f t="shared" si="74"/>
        <v>1</v>
      </c>
      <c r="N467" s="2994"/>
      <c r="O467" s="11">
        <f t="shared" si="75"/>
        <v>1</v>
      </c>
      <c r="P467" s="2994"/>
      <c r="Q467" s="11">
        <f t="shared" si="76"/>
        <v>1</v>
      </c>
      <c r="R467" s="712">
        <f t="shared" ca="1" si="77"/>
        <v>17260</v>
      </c>
      <c r="S467" s="2959">
        <f t="shared" ca="1" si="78"/>
        <v>87</v>
      </c>
    </row>
    <row r="468" spans="1:19">
      <c r="A468" s="2992" t="str">
        <f>Sheet1!F449</f>
        <v>3-934</v>
      </c>
      <c r="B468" s="2992">
        <f>Sheet1!G449</f>
        <v>51.12</v>
      </c>
      <c r="C468" s="11">
        <f t="shared" si="69"/>
        <v>1</v>
      </c>
      <c r="D468" s="2994"/>
      <c r="E468" s="11">
        <f t="shared" si="70"/>
        <v>1</v>
      </c>
      <c r="F468" s="2994"/>
      <c r="G468" s="11">
        <f t="shared" si="71"/>
        <v>1</v>
      </c>
      <c r="H468" s="2994"/>
      <c r="I468" s="11">
        <f t="shared" si="72"/>
        <v>1</v>
      </c>
      <c r="J468" s="2994"/>
      <c r="K468" s="11">
        <f t="shared" si="73"/>
        <v>1</v>
      </c>
      <c r="L468" s="2994"/>
      <c r="M468" s="11">
        <f t="shared" si="74"/>
        <v>1</v>
      </c>
      <c r="N468" s="2994"/>
      <c r="O468" s="11">
        <f t="shared" si="75"/>
        <v>1</v>
      </c>
      <c r="P468" s="2994"/>
      <c r="Q468" s="11">
        <f t="shared" si="76"/>
        <v>1</v>
      </c>
      <c r="R468" s="712">
        <f t="shared" ca="1" si="77"/>
        <v>17260</v>
      </c>
      <c r="S468" s="2959">
        <f t="shared" ref="S468:S497" ca="1" si="79">ROUND(R468*B468/10000,0)</f>
        <v>88</v>
      </c>
    </row>
    <row r="469" spans="1:19">
      <c r="A469" s="2992" t="str">
        <f>Sheet1!F450</f>
        <v>3-935</v>
      </c>
      <c r="B469" s="2992">
        <f>Sheet1!G450</f>
        <v>68.760000000000005</v>
      </c>
      <c r="C469" s="11">
        <f t="shared" si="69"/>
        <v>1</v>
      </c>
      <c r="D469" s="2994"/>
      <c r="E469" s="11">
        <f t="shared" si="70"/>
        <v>1</v>
      </c>
      <c r="F469" s="2994"/>
      <c r="G469" s="11">
        <f t="shared" si="71"/>
        <v>1</v>
      </c>
      <c r="H469" s="2994"/>
      <c r="I469" s="11">
        <f t="shared" si="72"/>
        <v>1</v>
      </c>
      <c r="J469" s="2994"/>
      <c r="K469" s="11">
        <f t="shared" si="73"/>
        <v>1</v>
      </c>
      <c r="L469" s="2994"/>
      <c r="M469" s="11">
        <f t="shared" si="74"/>
        <v>1</v>
      </c>
      <c r="N469" s="2994"/>
      <c r="O469" s="11">
        <f t="shared" si="75"/>
        <v>1</v>
      </c>
      <c r="P469" s="2994"/>
      <c r="Q469" s="11">
        <f t="shared" si="76"/>
        <v>1</v>
      </c>
      <c r="R469" s="712">
        <f t="shared" ca="1" si="77"/>
        <v>17260</v>
      </c>
      <c r="S469" s="2959">
        <f t="shared" ca="1" si="79"/>
        <v>119</v>
      </c>
    </row>
    <row r="470" spans="1:19">
      <c r="A470" s="2992" t="str">
        <f>Sheet1!F451</f>
        <v>3-936</v>
      </c>
      <c r="B470" s="2992">
        <f>Sheet1!G451</f>
        <v>69.319999999999993</v>
      </c>
      <c r="C470" s="11">
        <f t="shared" si="69"/>
        <v>1</v>
      </c>
      <c r="D470" s="2994"/>
      <c r="E470" s="11">
        <f t="shared" si="70"/>
        <v>1</v>
      </c>
      <c r="F470" s="2994"/>
      <c r="G470" s="11">
        <f t="shared" si="71"/>
        <v>1</v>
      </c>
      <c r="H470" s="2994"/>
      <c r="I470" s="11">
        <f t="shared" si="72"/>
        <v>1</v>
      </c>
      <c r="J470" s="2994"/>
      <c r="K470" s="11">
        <f t="shared" si="73"/>
        <v>1</v>
      </c>
      <c r="L470" s="2994"/>
      <c r="M470" s="11">
        <f t="shared" si="74"/>
        <v>1</v>
      </c>
      <c r="N470" s="2994"/>
      <c r="O470" s="11">
        <f t="shared" si="75"/>
        <v>1</v>
      </c>
      <c r="P470" s="2994"/>
      <c r="Q470" s="11">
        <f t="shared" si="76"/>
        <v>1</v>
      </c>
      <c r="R470" s="712">
        <f t="shared" ca="1" si="77"/>
        <v>17260</v>
      </c>
      <c r="S470" s="2959">
        <f t="shared" ca="1" si="79"/>
        <v>120</v>
      </c>
    </row>
    <row r="471" spans="1:19">
      <c r="A471" s="2992" t="str">
        <f>Sheet1!F452</f>
        <v>3-937</v>
      </c>
      <c r="B471" s="2992">
        <f>Sheet1!G452</f>
        <v>61.41</v>
      </c>
      <c r="C471" s="11">
        <f t="shared" si="69"/>
        <v>1</v>
      </c>
      <c r="D471" s="2994"/>
      <c r="E471" s="11">
        <f t="shared" si="70"/>
        <v>1</v>
      </c>
      <c r="F471" s="2994"/>
      <c r="G471" s="11">
        <f t="shared" si="71"/>
        <v>1</v>
      </c>
      <c r="H471" s="2994"/>
      <c r="I471" s="11">
        <f t="shared" si="72"/>
        <v>1</v>
      </c>
      <c r="J471" s="2994"/>
      <c r="K471" s="11">
        <f t="shared" si="73"/>
        <v>1</v>
      </c>
      <c r="L471" s="2994"/>
      <c r="M471" s="11">
        <f t="shared" si="74"/>
        <v>1</v>
      </c>
      <c r="N471" s="2994"/>
      <c r="O471" s="11">
        <f t="shared" si="75"/>
        <v>1</v>
      </c>
      <c r="P471" s="2994"/>
      <c r="Q471" s="11">
        <f t="shared" si="76"/>
        <v>1</v>
      </c>
      <c r="R471" s="712">
        <f t="shared" ca="1" si="77"/>
        <v>17260</v>
      </c>
      <c r="S471" s="2959">
        <f t="shared" ca="1" si="79"/>
        <v>106</v>
      </c>
    </row>
    <row r="472" spans="1:19">
      <c r="A472" s="2992" t="str">
        <f>Sheet1!F453</f>
        <v>3-938</v>
      </c>
      <c r="B472" s="2992">
        <f>Sheet1!G453</f>
        <v>61.41</v>
      </c>
      <c r="C472" s="11">
        <f t="shared" si="69"/>
        <v>1</v>
      </c>
      <c r="D472" s="2994"/>
      <c r="E472" s="11">
        <f t="shared" si="70"/>
        <v>1</v>
      </c>
      <c r="F472" s="2994"/>
      <c r="G472" s="11">
        <f t="shared" si="71"/>
        <v>1</v>
      </c>
      <c r="H472" s="2994"/>
      <c r="I472" s="11">
        <f t="shared" si="72"/>
        <v>1</v>
      </c>
      <c r="J472" s="2994"/>
      <c r="K472" s="11">
        <f t="shared" si="73"/>
        <v>1</v>
      </c>
      <c r="L472" s="2994"/>
      <c r="M472" s="11">
        <f t="shared" si="74"/>
        <v>1</v>
      </c>
      <c r="N472" s="2994"/>
      <c r="O472" s="11">
        <f t="shared" si="75"/>
        <v>1</v>
      </c>
      <c r="P472" s="2994"/>
      <c r="Q472" s="11">
        <f t="shared" si="76"/>
        <v>1</v>
      </c>
      <c r="R472" s="712">
        <f t="shared" ca="1" si="77"/>
        <v>17260</v>
      </c>
      <c r="S472" s="2959">
        <f t="shared" ca="1" si="79"/>
        <v>106</v>
      </c>
    </row>
    <row r="473" spans="1:19">
      <c r="A473" s="2992" t="str">
        <f>Sheet1!F454</f>
        <v>3-939</v>
      </c>
      <c r="B473" s="2992">
        <f>Sheet1!G454</f>
        <v>61.41</v>
      </c>
      <c r="C473" s="11">
        <f t="shared" si="69"/>
        <v>1</v>
      </c>
      <c r="D473" s="2994"/>
      <c r="E473" s="11">
        <f t="shared" si="70"/>
        <v>1</v>
      </c>
      <c r="F473" s="2994"/>
      <c r="G473" s="11">
        <f t="shared" si="71"/>
        <v>1</v>
      </c>
      <c r="H473" s="2994"/>
      <c r="I473" s="11">
        <f t="shared" si="72"/>
        <v>1</v>
      </c>
      <c r="J473" s="2994"/>
      <c r="K473" s="11">
        <f t="shared" si="73"/>
        <v>1</v>
      </c>
      <c r="L473" s="2994"/>
      <c r="M473" s="11">
        <f t="shared" si="74"/>
        <v>1</v>
      </c>
      <c r="N473" s="2994"/>
      <c r="O473" s="11">
        <f t="shared" si="75"/>
        <v>1</v>
      </c>
      <c r="P473" s="2994"/>
      <c r="Q473" s="11">
        <f t="shared" si="76"/>
        <v>1</v>
      </c>
      <c r="R473" s="712">
        <f t="shared" ca="1" si="77"/>
        <v>17260</v>
      </c>
      <c r="S473" s="2959">
        <f t="shared" ca="1" si="79"/>
        <v>106</v>
      </c>
    </row>
    <row r="474" spans="1:19">
      <c r="A474" s="2992" t="str">
        <f>Sheet1!F455</f>
        <v>3-940</v>
      </c>
      <c r="B474" s="2992">
        <f>Sheet1!G455</f>
        <v>61.41</v>
      </c>
      <c r="C474" s="11">
        <f t="shared" ref="C474:C524" si="80">IF(B474="",1,(LOOKUP(B474,$3:$3,$4:$4)-LOOKUP($B$24,$3:$3,$4:$4)+100)/100)</f>
        <v>1</v>
      </c>
      <c r="D474" s="2994"/>
      <c r="E474" s="11">
        <f t="shared" ref="E474:E524" si="81">(SUMIF($5:$5,D474,$6:$6)-SUMIF($5:$5,$D$24,$6:$6)+100)/100</f>
        <v>1</v>
      </c>
      <c r="F474" s="2994"/>
      <c r="G474" s="11">
        <f t="shared" ref="G474:G524" si="82">(SUMIF($7:$7,F474,$8:$8)-SUMIF($7:$7,$F$24,$8:$8)+100)/100</f>
        <v>1</v>
      </c>
      <c r="H474" s="2994"/>
      <c r="I474" s="11">
        <f t="shared" ref="I474:I524" si="83">(SUMIF($9:$9,H474,$10:$10)-SUMIF($9:$9,$H$24,$10:$10)+100)/100</f>
        <v>1</v>
      </c>
      <c r="J474" s="2994"/>
      <c r="K474" s="11">
        <f t="shared" ref="K474:K524" si="84">(SUMIF($11:$11,J474,$12:$12)-SUMIF($11:$11,$J$24,$12:$12)+100)/100</f>
        <v>1</v>
      </c>
      <c r="L474" s="2994"/>
      <c r="M474" s="11">
        <f t="shared" ref="M474:M524" si="85">(SUMIF($13:$13,L474,$14:$14)-SUMIF($13:$13,$L$24,$14:$14)+100)/100</f>
        <v>1</v>
      </c>
      <c r="N474" s="2994"/>
      <c r="O474" s="11">
        <f t="shared" ref="O474:O524" si="86">(SUMIF($15:$15,N474,$16:$16)-SUMIF($15:$15,$N$24,$16:$16)+100)/100</f>
        <v>1</v>
      </c>
      <c r="P474" s="2994"/>
      <c r="Q474" s="11">
        <f t="shared" ref="Q474:Q524" si="87">(SUMIF($17:$17,P474,$18:$18)-SUMIF($17:$17,$P$24,$18:$18)+100)/100</f>
        <v>1</v>
      </c>
      <c r="R474" s="712">
        <f t="shared" ref="R474:R524" ca="1" si="88">IF(B474="",0,ROUND($R$24*C474*E474*G474*I474*K474*M474*O474*Q474,0))</f>
        <v>17260</v>
      </c>
      <c r="S474" s="2959">
        <f t="shared" ca="1" si="79"/>
        <v>106</v>
      </c>
    </row>
    <row r="475" spans="1:19">
      <c r="A475" s="2992" t="str">
        <f>Sheet1!F456</f>
        <v>3-941</v>
      </c>
      <c r="B475" s="2992">
        <f>Sheet1!G456</f>
        <v>61.41</v>
      </c>
      <c r="C475" s="11">
        <f t="shared" si="80"/>
        <v>1</v>
      </c>
      <c r="D475" s="2994"/>
      <c r="E475" s="11">
        <f t="shared" si="81"/>
        <v>1</v>
      </c>
      <c r="F475" s="2994"/>
      <c r="G475" s="11">
        <f t="shared" si="82"/>
        <v>1</v>
      </c>
      <c r="H475" s="2994"/>
      <c r="I475" s="11">
        <f t="shared" si="83"/>
        <v>1</v>
      </c>
      <c r="J475" s="2994"/>
      <c r="K475" s="11">
        <f t="shared" si="84"/>
        <v>1</v>
      </c>
      <c r="L475" s="2994"/>
      <c r="M475" s="11">
        <f t="shared" si="85"/>
        <v>1</v>
      </c>
      <c r="N475" s="2994"/>
      <c r="O475" s="11">
        <f t="shared" si="86"/>
        <v>1</v>
      </c>
      <c r="P475" s="2994"/>
      <c r="Q475" s="11">
        <f t="shared" si="87"/>
        <v>1</v>
      </c>
      <c r="R475" s="712">
        <f t="shared" ca="1" si="88"/>
        <v>17260</v>
      </c>
      <c r="S475" s="2959">
        <f t="shared" ca="1" si="79"/>
        <v>106</v>
      </c>
    </row>
    <row r="476" spans="1:19">
      <c r="A476" s="2992" t="str">
        <f>Sheet1!F457</f>
        <v>3-942</v>
      </c>
      <c r="B476" s="2992">
        <f>Sheet1!G457</f>
        <v>72.87</v>
      </c>
      <c r="C476" s="11">
        <f t="shared" si="80"/>
        <v>1</v>
      </c>
      <c r="D476" s="2994"/>
      <c r="E476" s="11">
        <f t="shared" si="81"/>
        <v>1</v>
      </c>
      <c r="F476" s="2994"/>
      <c r="G476" s="11">
        <f t="shared" si="82"/>
        <v>1</v>
      </c>
      <c r="H476" s="2994"/>
      <c r="I476" s="11">
        <f t="shared" si="83"/>
        <v>1</v>
      </c>
      <c r="J476" s="2994"/>
      <c r="K476" s="11">
        <f t="shared" si="84"/>
        <v>1</v>
      </c>
      <c r="L476" s="2994"/>
      <c r="M476" s="11">
        <f t="shared" si="85"/>
        <v>1</v>
      </c>
      <c r="N476" s="2994"/>
      <c r="O476" s="11">
        <f t="shared" si="86"/>
        <v>1</v>
      </c>
      <c r="P476" s="2994"/>
      <c r="Q476" s="11">
        <f t="shared" si="87"/>
        <v>1</v>
      </c>
      <c r="R476" s="712">
        <f t="shared" ca="1" si="88"/>
        <v>17260</v>
      </c>
      <c r="S476" s="2959">
        <f t="shared" ca="1" si="79"/>
        <v>126</v>
      </c>
    </row>
    <row r="477" spans="1:19">
      <c r="A477" s="2992" t="str">
        <f>Sheet1!F458</f>
        <v>3-943</v>
      </c>
      <c r="B477" s="2992">
        <f>Sheet1!G458</f>
        <v>81.069999999999993</v>
      </c>
      <c r="C477" s="11">
        <f t="shared" si="80"/>
        <v>1</v>
      </c>
      <c r="D477" s="2994"/>
      <c r="E477" s="11">
        <f t="shared" si="81"/>
        <v>1</v>
      </c>
      <c r="F477" s="2994"/>
      <c r="G477" s="11">
        <f t="shared" si="82"/>
        <v>1</v>
      </c>
      <c r="H477" s="2994"/>
      <c r="I477" s="11">
        <f t="shared" si="83"/>
        <v>1</v>
      </c>
      <c r="J477" s="2994"/>
      <c r="K477" s="11">
        <f t="shared" si="84"/>
        <v>1</v>
      </c>
      <c r="L477" s="2994"/>
      <c r="M477" s="11">
        <f t="shared" si="85"/>
        <v>1</v>
      </c>
      <c r="N477" s="2994"/>
      <c r="O477" s="11">
        <f t="shared" si="86"/>
        <v>1</v>
      </c>
      <c r="P477" s="2994"/>
      <c r="Q477" s="11">
        <f t="shared" si="87"/>
        <v>1</v>
      </c>
      <c r="R477" s="712">
        <f t="shared" ca="1" si="88"/>
        <v>17260</v>
      </c>
      <c r="S477" s="2959">
        <f t="shared" ca="1" si="79"/>
        <v>140</v>
      </c>
    </row>
    <row r="478" spans="1:19">
      <c r="A478" s="2992" t="str">
        <f>Sheet1!F459</f>
        <v>3-944</v>
      </c>
      <c r="B478" s="2992">
        <f>Sheet1!G459</f>
        <v>61.41</v>
      </c>
      <c r="C478" s="11">
        <f t="shared" si="80"/>
        <v>1</v>
      </c>
      <c r="D478" s="2994"/>
      <c r="E478" s="11">
        <f t="shared" si="81"/>
        <v>1</v>
      </c>
      <c r="F478" s="2994"/>
      <c r="G478" s="11">
        <f t="shared" si="82"/>
        <v>1</v>
      </c>
      <c r="H478" s="2994"/>
      <c r="I478" s="11">
        <f t="shared" si="83"/>
        <v>1</v>
      </c>
      <c r="J478" s="2994"/>
      <c r="K478" s="11">
        <f t="shared" si="84"/>
        <v>1</v>
      </c>
      <c r="L478" s="2994"/>
      <c r="M478" s="11">
        <f t="shared" si="85"/>
        <v>1</v>
      </c>
      <c r="N478" s="2994"/>
      <c r="O478" s="11">
        <f t="shared" si="86"/>
        <v>1</v>
      </c>
      <c r="P478" s="2994"/>
      <c r="Q478" s="11">
        <f t="shared" si="87"/>
        <v>1</v>
      </c>
      <c r="R478" s="712">
        <f t="shared" ca="1" si="88"/>
        <v>17260</v>
      </c>
      <c r="S478" s="2959">
        <f t="shared" ca="1" si="79"/>
        <v>106</v>
      </c>
    </row>
    <row r="479" spans="1:19">
      <c r="A479" s="2992" t="str">
        <f>Sheet1!F460</f>
        <v>3-945</v>
      </c>
      <c r="B479" s="2992">
        <f>Sheet1!G460</f>
        <v>54.6</v>
      </c>
      <c r="C479" s="11">
        <f t="shared" si="80"/>
        <v>1</v>
      </c>
      <c r="D479" s="2994"/>
      <c r="E479" s="11">
        <f t="shared" si="81"/>
        <v>1</v>
      </c>
      <c r="F479" s="2994"/>
      <c r="G479" s="11">
        <f t="shared" si="82"/>
        <v>1</v>
      </c>
      <c r="H479" s="2994"/>
      <c r="I479" s="11">
        <f t="shared" si="83"/>
        <v>1</v>
      </c>
      <c r="J479" s="2994"/>
      <c r="K479" s="11">
        <f t="shared" si="84"/>
        <v>1</v>
      </c>
      <c r="L479" s="2994"/>
      <c r="M479" s="11">
        <f t="shared" si="85"/>
        <v>1</v>
      </c>
      <c r="N479" s="2994"/>
      <c r="O479" s="11">
        <f t="shared" si="86"/>
        <v>1</v>
      </c>
      <c r="P479" s="2994"/>
      <c r="Q479" s="11">
        <f t="shared" si="87"/>
        <v>1</v>
      </c>
      <c r="R479" s="712">
        <f t="shared" ca="1" si="88"/>
        <v>17260</v>
      </c>
      <c r="S479" s="2959">
        <f t="shared" ca="1" si="79"/>
        <v>94</v>
      </c>
    </row>
    <row r="480" spans="1:19">
      <c r="A480" s="2992" t="str">
        <f>Sheet1!F461</f>
        <v>3-946</v>
      </c>
      <c r="B480" s="2992">
        <f>Sheet1!G461</f>
        <v>71.23</v>
      </c>
      <c r="C480" s="11">
        <f t="shared" si="80"/>
        <v>1</v>
      </c>
      <c r="D480" s="2994"/>
      <c r="E480" s="11">
        <f t="shared" si="81"/>
        <v>1</v>
      </c>
      <c r="F480" s="2994"/>
      <c r="G480" s="11">
        <f t="shared" si="82"/>
        <v>1</v>
      </c>
      <c r="H480" s="2994"/>
      <c r="I480" s="11">
        <f t="shared" si="83"/>
        <v>1</v>
      </c>
      <c r="J480" s="2994"/>
      <c r="K480" s="11">
        <f t="shared" si="84"/>
        <v>1</v>
      </c>
      <c r="L480" s="2994"/>
      <c r="M480" s="11">
        <f t="shared" si="85"/>
        <v>1</v>
      </c>
      <c r="N480" s="2994"/>
      <c r="O480" s="11">
        <f t="shared" si="86"/>
        <v>1</v>
      </c>
      <c r="P480" s="2994"/>
      <c r="Q480" s="11">
        <f t="shared" si="87"/>
        <v>1</v>
      </c>
      <c r="R480" s="712">
        <f t="shared" ca="1" si="88"/>
        <v>17260</v>
      </c>
      <c r="S480" s="2959">
        <f t="shared" ca="1" si="79"/>
        <v>123</v>
      </c>
    </row>
    <row r="481" spans="1:19">
      <c r="A481" s="2992" t="str">
        <f>Sheet1!F462</f>
        <v>3-947</v>
      </c>
      <c r="B481" s="2992">
        <f>Sheet1!G462</f>
        <v>61.41</v>
      </c>
      <c r="C481" s="11">
        <f t="shared" si="80"/>
        <v>1</v>
      </c>
      <c r="D481" s="2994"/>
      <c r="E481" s="11">
        <f t="shared" si="81"/>
        <v>1</v>
      </c>
      <c r="F481" s="2994"/>
      <c r="G481" s="11">
        <f t="shared" si="82"/>
        <v>1</v>
      </c>
      <c r="H481" s="2994"/>
      <c r="I481" s="11">
        <f t="shared" si="83"/>
        <v>1</v>
      </c>
      <c r="J481" s="2994"/>
      <c r="K481" s="11">
        <f t="shared" si="84"/>
        <v>1</v>
      </c>
      <c r="L481" s="2994"/>
      <c r="M481" s="11">
        <f t="shared" si="85"/>
        <v>1</v>
      </c>
      <c r="N481" s="2994"/>
      <c r="O481" s="11">
        <f t="shared" si="86"/>
        <v>1</v>
      </c>
      <c r="P481" s="2994"/>
      <c r="Q481" s="11">
        <f t="shared" si="87"/>
        <v>1</v>
      </c>
      <c r="R481" s="712">
        <f t="shared" ca="1" si="88"/>
        <v>17260</v>
      </c>
      <c r="S481" s="2959">
        <f t="shared" ca="1" si="79"/>
        <v>106</v>
      </c>
    </row>
    <row r="482" spans="1:19">
      <c r="A482" s="2992" t="str">
        <f>Sheet1!F463</f>
        <v>3-948</v>
      </c>
      <c r="B482" s="2992">
        <f>Sheet1!G463</f>
        <v>61.41</v>
      </c>
      <c r="C482" s="11">
        <f t="shared" si="80"/>
        <v>1</v>
      </c>
      <c r="D482" s="2994"/>
      <c r="E482" s="11">
        <f t="shared" si="81"/>
        <v>1</v>
      </c>
      <c r="F482" s="2994"/>
      <c r="G482" s="11">
        <f t="shared" si="82"/>
        <v>1</v>
      </c>
      <c r="H482" s="2994"/>
      <c r="I482" s="11">
        <f t="shared" si="83"/>
        <v>1</v>
      </c>
      <c r="J482" s="2994"/>
      <c r="K482" s="11">
        <f t="shared" si="84"/>
        <v>1</v>
      </c>
      <c r="L482" s="2994"/>
      <c r="M482" s="11">
        <f t="shared" si="85"/>
        <v>1</v>
      </c>
      <c r="N482" s="2994"/>
      <c r="O482" s="11">
        <f t="shared" si="86"/>
        <v>1</v>
      </c>
      <c r="P482" s="2994"/>
      <c r="Q482" s="11">
        <f t="shared" si="87"/>
        <v>1</v>
      </c>
      <c r="R482" s="712">
        <f t="shared" ca="1" si="88"/>
        <v>17260</v>
      </c>
      <c r="S482" s="2959">
        <f t="shared" ca="1" si="79"/>
        <v>106</v>
      </c>
    </row>
    <row r="483" spans="1:19">
      <c r="A483" s="2992" t="str">
        <f>Sheet1!F464</f>
        <v>3-949</v>
      </c>
      <c r="B483" s="2992">
        <f>Sheet1!G464</f>
        <v>61.41</v>
      </c>
      <c r="C483" s="11">
        <f t="shared" si="80"/>
        <v>1</v>
      </c>
      <c r="D483" s="2994"/>
      <c r="E483" s="11">
        <f t="shared" si="81"/>
        <v>1</v>
      </c>
      <c r="F483" s="2994"/>
      <c r="G483" s="11">
        <f t="shared" si="82"/>
        <v>1</v>
      </c>
      <c r="H483" s="2994"/>
      <c r="I483" s="11">
        <f t="shared" si="83"/>
        <v>1</v>
      </c>
      <c r="J483" s="2994"/>
      <c r="K483" s="11">
        <f t="shared" si="84"/>
        <v>1</v>
      </c>
      <c r="L483" s="2994"/>
      <c r="M483" s="11">
        <f t="shared" si="85"/>
        <v>1</v>
      </c>
      <c r="N483" s="2994"/>
      <c r="O483" s="11">
        <f t="shared" si="86"/>
        <v>1</v>
      </c>
      <c r="P483" s="2994"/>
      <c r="Q483" s="11">
        <f t="shared" si="87"/>
        <v>1</v>
      </c>
      <c r="R483" s="712">
        <f t="shared" ca="1" si="88"/>
        <v>17260</v>
      </c>
      <c r="S483" s="2959">
        <f t="shared" ca="1" si="79"/>
        <v>106</v>
      </c>
    </row>
    <row r="484" spans="1:19">
      <c r="A484" s="2992" t="str">
        <f>Sheet1!F465</f>
        <v>3-950</v>
      </c>
      <c r="B484" s="2992">
        <f>Sheet1!G465</f>
        <v>61.88</v>
      </c>
      <c r="C484" s="11">
        <f t="shared" si="80"/>
        <v>1</v>
      </c>
      <c r="D484" s="2994"/>
      <c r="E484" s="11">
        <f t="shared" si="81"/>
        <v>1</v>
      </c>
      <c r="F484" s="2994"/>
      <c r="G484" s="11">
        <f t="shared" si="82"/>
        <v>1</v>
      </c>
      <c r="H484" s="2994"/>
      <c r="I484" s="11">
        <f t="shared" si="83"/>
        <v>1</v>
      </c>
      <c r="J484" s="2994"/>
      <c r="K484" s="11">
        <f t="shared" si="84"/>
        <v>1</v>
      </c>
      <c r="L484" s="2994"/>
      <c r="M484" s="11">
        <f t="shared" si="85"/>
        <v>1</v>
      </c>
      <c r="N484" s="2994"/>
      <c r="O484" s="11">
        <f t="shared" si="86"/>
        <v>1</v>
      </c>
      <c r="P484" s="2994"/>
      <c r="Q484" s="11">
        <f t="shared" si="87"/>
        <v>1</v>
      </c>
      <c r="R484" s="712">
        <f t="shared" ca="1" si="88"/>
        <v>17260</v>
      </c>
      <c r="S484" s="2959">
        <f t="shared" ca="1" si="79"/>
        <v>107</v>
      </c>
    </row>
    <row r="485" spans="1:19">
      <c r="A485" s="2992" t="str">
        <f>Sheet1!F466</f>
        <v>3-951</v>
      </c>
      <c r="B485" s="2992">
        <f>Sheet1!G466</f>
        <v>58.8</v>
      </c>
      <c r="C485" s="11">
        <f t="shared" si="80"/>
        <v>1</v>
      </c>
      <c r="D485" s="2994"/>
      <c r="E485" s="11">
        <f t="shared" si="81"/>
        <v>1</v>
      </c>
      <c r="F485" s="2994"/>
      <c r="G485" s="11">
        <f t="shared" si="82"/>
        <v>1</v>
      </c>
      <c r="H485" s="2994"/>
      <c r="I485" s="11">
        <f t="shared" si="83"/>
        <v>1</v>
      </c>
      <c r="J485" s="2994"/>
      <c r="K485" s="11">
        <f t="shared" si="84"/>
        <v>1</v>
      </c>
      <c r="L485" s="2994"/>
      <c r="M485" s="11">
        <f t="shared" si="85"/>
        <v>1</v>
      </c>
      <c r="N485" s="2994"/>
      <c r="O485" s="11">
        <f t="shared" si="86"/>
        <v>1</v>
      </c>
      <c r="P485" s="2994"/>
      <c r="Q485" s="11">
        <f t="shared" si="87"/>
        <v>1</v>
      </c>
      <c r="R485" s="712">
        <f t="shared" ca="1" si="88"/>
        <v>17260</v>
      </c>
      <c r="S485" s="2959">
        <f t="shared" ca="1" si="79"/>
        <v>101</v>
      </c>
    </row>
    <row r="486" spans="1:19">
      <c r="A486" s="2992" t="str">
        <f>Sheet1!F467</f>
        <v>3-952</v>
      </c>
      <c r="B486" s="2992">
        <f>Sheet1!G467</f>
        <v>60.21</v>
      </c>
      <c r="C486" s="11">
        <f t="shared" si="80"/>
        <v>1</v>
      </c>
      <c r="D486" s="2994"/>
      <c r="E486" s="11">
        <f t="shared" si="81"/>
        <v>1</v>
      </c>
      <c r="F486" s="2994"/>
      <c r="G486" s="11">
        <f t="shared" si="82"/>
        <v>1</v>
      </c>
      <c r="H486" s="2994"/>
      <c r="I486" s="11">
        <f t="shared" si="83"/>
        <v>1</v>
      </c>
      <c r="J486" s="2994"/>
      <c r="K486" s="11">
        <f t="shared" si="84"/>
        <v>1</v>
      </c>
      <c r="L486" s="2994"/>
      <c r="M486" s="11">
        <f t="shared" si="85"/>
        <v>1</v>
      </c>
      <c r="N486" s="2994"/>
      <c r="O486" s="11">
        <f t="shared" si="86"/>
        <v>1</v>
      </c>
      <c r="P486" s="2994"/>
      <c r="Q486" s="11">
        <f t="shared" si="87"/>
        <v>1</v>
      </c>
      <c r="R486" s="712">
        <f t="shared" ca="1" si="88"/>
        <v>17260</v>
      </c>
      <c r="S486" s="2959">
        <f t="shared" ca="1" si="79"/>
        <v>104</v>
      </c>
    </row>
    <row r="487" spans="1:19">
      <c r="A487" s="2992" t="str">
        <f>Sheet1!F468</f>
        <v>4-901</v>
      </c>
      <c r="B487" s="2992">
        <f>Sheet1!G468</f>
        <v>65.760000000000005</v>
      </c>
      <c r="C487" s="11">
        <f t="shared" si="80"/>
        <v>1</v>
      </c>
      <c r="D487" s="2994"/>
      <c r="E487" s="11">
        <f t="shared" si="81"/>
        <v>1</v>
      </c>
      <c r="F487" s="2994"/>
      <c r="G487" s="11">
        <f t="shared" si="82"/>
        <v>1</v>
      </c>
      <c r="H487" s="2994"/>
      <c r="I487" s="11">
        <f t="shared" si="83"/>
        <v>1</v>
      </c>
      <c r="J487" s="2994"/>
      <c r="K487" s="11">
        <f t="shared" si="84"/>
        <v>1</v>
      </c>
      <c r="L487" s="2994"/>
      <c r="M487" s="11">
        <f t="shared" si="85"/>
        <v>1</v>
      </c>
      <c r="N487" s="2994"/>
      <c r="O487" s="11">
        <f t="shared" si="86"/>
        <v>1</v>
      </c>
      <c r="P487" s="2994"/>
      <c r="Q487" s="11">
        <f t="shared" si="87"/>
        <v>1</v>
      </c>
      <c r="R487" s="712">
        <f t="shared" ca="1" si="88"/>
        <v>17260</v>
      </c>
      <c r="S487" s="2959">
        <f t="shared" ca="1" si="79"/>
        <v>114</v>
      </c>
    </row>
    <row r="488" spans="1:19">
      <c r="A488" s="2992" t="str">
        <f>Sheet1!F469</f>
        <v>4-902</v>
      </c>
      <c r="B488" s="2992">
        <f>Sheet1!G469</f>
        <v>59.41</v>
      </c>
      <c r="C488" s="11">
        <f t="shared" si="80"/>
        <v>1</v>
      </c>
      <c r="D488" s="2994"/>
      <c r="E488" s="11">
        <f t="shared" si="81"/>
        <v>1</v>
      </c>
      <c r="F488" s="2994"/>
      <c r="G488" s="11">
        <f t="shared" si="82"/>
        <v>1</v>
      </c>
      <c r="H488" s="2994"/>
      <c r="I488" s="11">
        <f t="shared" si="83"/>
        <v>1</v>
      </c>
      <c r="J488" s="2994"/>
      <c r="K488" s="11">
        <f t="shared" si="84"/>
        <v>1</v>
      </c>
      <c r="L488" s="2994"/>
      <c r="M488" s="11">
        <f t="shared" si="85"/>
        <v>1</v>
      </c>
      <c r="N488" s="2994"/>
      <c r="O488" s="11">
        <f t="shared" si="86"/>
        <v>1</v>
      </c>
      <c r="P488" s="2994"/>
      <c r="Q488" s="11">
        <f t="shared" si="87"/>
        <v>1</v>
      </c>
      <c r="R488" s="712">
        <f t="shared" ca="1" si="88"/>
        <v>17260</v>
      </c>
      <c r="S488" s="2959">
        <f t="shared" ca="1" si="79"/>
        <v>103</v>
      </c>
    </row>
    <row r="489" spans="1:19">
      <c r="A489" s="2992" t="str">
        <f>Sheet1!F470</f>
        <v>4-903</v>
      </c>
      <c r="B489" s="2992">
        <f>Sheet1!G470</f>
        <v>60.69</v>
      </c>
      <c r="C489" s="11">
        <f t="shared" si="80"/>
        <v>1</v>
      </c>
      <c r="D489" s="2994"/>
      <c r="E489" s="11">
        <f t="shared" si="81"/>
        <v>1</v>
      </c>
      <c r="F489" s="2994"/>
      <c r="G489" s="11">
        <f t="shared" si="82"/>
        <v>1</v>
      </c>
      <c r="H489" s="2994"/>
      <c r="I489" s="11">
        <f t="shared" si="83"/>
        <v>1</v>
      </c>
      <c r="J489" s="2994"/>
      <c r="K489" s="11">
        <f t="shared" si="84"/>
        <v>1</v>
      </c>
      <c r="L489" s="2994"/>
      <c r="M489" s="11">
        <f t="shared" si="85"/>
        <v>1</v>
      </c>
      <c r="N489" s="2994"/>
      <c r="O489" s="11">
        <f t="shared" si="86"/>
        <v>1</v>
      </c>
      <c r="P489" s="2994"/>
      <c r="Q489" s="11">
        <f t="shared" si="87"/>
        <v>1</v>
      </c>
      <c r="R489" s="712">
        <f t="shared" ca="1" si="88"/>
        <v>17260</v>
      </c>
      <c r="S489" s="2959">
        <f t="shared" ca="1" si="79"/>
        <v>105</v>
      </c>
    </row>
    <row r="490" spans="1:19">
      <c r="A490" s="2992" t="str">
        <f>Sheet1!F471</f>
        <v>4-904</v>
      </c>
      <c r="B490" s="2992">
        <f>Sheet1!G471</f>
        <v>60.69</v>
      </c>
      <c r="C490" s="11">
        <f t="shared" si="80"/>
        <v>1</v>
      </c>
      <c r="D490" s="2994"/>
      <c r="E490" s="11">
        <f t="shared" si="81"/>
        <v>1</v>
      </c>
      <c r="F490" s="2994"/>
      <c r="G490" s="11">
        <f t="shared" si="82"/>
        <v>1</v>
      </c>
      <c r="H490" s="2994"/>
      <c r="I490" s="11">
        <f t="shared" si="83"/>
        <v>1</v>
      </c>
      <c r="J490" s="2994"/>
      <c r="K490" s="11">
        <f t="shared" si="84"/>
        <v>1</v>
      </c>
      <c r="L490" s="2994"/>
      <c r="M490" s="11">
        <f t="shared" si="85"/>
        <v>1</v>
      </c>
      <c r="N490" s="2994"/>
      <c r="O490" s="11">
        <f t="shared" si="86"/>
        <v>1</v>
      </c>
      <c r="P490" s="2994"/>
      <c r="Q490" s="11">
        <f t="shared" si="87"/>
        <v>1</v>
      </c>
      <c r="R490" s="712">
        <f t="shared" ca="1" si="88"/>
        <v>17260</v>
      </c>
      <c r="S490" s="2959">
        <f t="shared" ca="1" si="79"/>
        <v>105</v>
      </c>
    </row>
    <row r="491" spans="1:19">
      <c r="A491" s="2992" t="str">
        <f>Sheet1!F472</f>
        <v>4-905</v>
      </c>
      <c r="B491" s="2992">
        <f>Sheet1!G472</f>
        <v>60.69</v>
      </c>
      <c r="C491" s="11">
        <f t="shared" si="80"/>
        <v>1</v>
      </c>
      <c r="D491" s="2994"/>
      <c r="E491" s="11">
        <f t="shared" si="81"/>
        <v>1</v>
      </c>
      <c r="F491" s="2994"/>
      <c r="G491" s="11">
        <f t="shared" si="82"/>
        <v>1</v>
      </c>
      <c r="H491" s="2994"/>
      <c r="I491" s="11">
        <f t="shared" si="83"/>
        <v>1</v>
      </c>
      <c r="J491" s="2994"/>
      <c r="K491" s="11">
        <f t="shared" si="84"/>
        <v>1</v>
      </c>
      <c r="L491" s="2994"/>
      <c r="M491" s="11">
        <f t="shared" si="85"/>
        <v>1</v>
      </c>
      <c r="N491" s="2994"/>
      <c r="O491" s="11">
        <f t="shared" si="86"/>
        <v>1</v>
      </c>
      <c r="P491" s="2994"/>
      <c r="Q491" s="11">
        <f t="shared" si="87"/>
        <v>1</v>
      </c>
      <c r="R491" s="712">
        <f t="shared" ca="1" si="88"/>
        <v>17260</v>
      </c>
      <c r="S491" s="2959">
        <f t="shared" ca="1" si="79"/>
        <v>105</v>
      </c>
    </row>
    <row r="492" spans="1:19">
      <c r="A492" s="2992" t="str">
        <f>Sheet1!F473</f>
        <v>4-906</v>
      </c>
      <c r="B492" s="2992">
        <f>Sheet1!G473</f>
        <v>60.69</v>
      </c>
      <c r="C492" s="11">
        <f t="shared" si="80"/>
        <v>1</v>
      </c>
      <c r="D492" s="2994"/>
      <c r="E492" s="11">
        <f t="shared" si="81"/>
        <v>1</v>
      </c>
      <c r="F492" s="2994"/>
      <c r="G492" s="11">
        <f t="shared" si="82"/>
        <v>1</v>
      </c>
      <c r="H492" s="2994"/>
      <c r="I492" s="11">
        <f t="shared" si="83"/>
        <v>1</v>
      </c>
      <c r="J492" s="2994"/>
      <c r="K492" s="11">
        <f t="shared" si="84"/>
        <v>1</v>
      </c>
      <c r="L492" s="2994"/>
      <c r="M492" s="11">
        <f t="shared" si="85"/>
        <v>1</v>
      </c>
      <c r="N492" s="2994"/>
      <c r="O492" s="11">
        <f t="shared" si="86"/>
        <v>1</v>
      </c>
      <c r="P492" s="2994"/>
      <c r="Q492" s="11">
        <f t="shared" si="87"/>
        <v>1</v>
      </c>
      <c r="R492" s="712">
        <f t="shared" ca="1" si="88"/>
        <v>17260</v>
      </c>
      <c r="S492" s="2959">
        <f t="shared" ca="1" si="79"/>
        <v>105</v>
      </c>
    </row>
    <row r="493" spans="1:19">
      <c r="A493" s="2992" t="str">
        <f>Sheet1!F474</f>
        <v>4-907</v>
      </c>
      <c r="B493" s="2992">
        <f>Sheet1!G474</f>
        <v>60.69</v>
      </c>
      <c r="C493" s="11">
        <f t="shared" si="80"/>
        <v>1</v>
      </c>
      <c r="D493" s="2994"/>
      <c r="E493" s="11">
        <f t="shared" si="81"/>
        <v>1</v>
      </c>
      <c r="F493" s="2994"/>
      <c r="G493" s="11">
        <f t="shared" si="82"/>
        <v>1</v>
      </c>
      <c r="H493" s="2994"/>
      <c r="I493" s="11">
        <f t="shared" si="83"/>
        <v>1</v>
      </c>
      <c r="J493" s="2994"/>
      <c r="K493" s="11">
        <f t="shared" si="84"/>
        <v>1</v>
      </c>
      <c r="L493" s="2994"/>
      <c r="M493" s="11">
        <f t="shared" si="85"/>
        <v>1</v>
      </c>
      <c r="N493" s="2994"/>
      <c r="O493" s="11">
        <f t="shared" si="86"/>
        <v>1</v>
      </c>
      <c r="P493" s="2994"/>
      <c r="Q493" s="11">
        <f t="shared" si="87"/>
        <v>1</v>
      </c>
      <c r="R493" s="712">
        <f t="shared" ca="1" si="88"/>
        <v>17260</v>
      </c>
      <c r="S493" s="2959">
        <f t="shared" ca="1" si="79"/>
        <v>105</v>
      </c>
    </row>
    <row r="494" spans="1:19">
      <c r="A494" s="2992" t="str">
        <f>Sheet1!F475</f>
        <v>4-908</v>
      </c>
      <c r="B494" s="2992">
        <f>Sheet1!G475</f>
        <v>60.69</v>
      </c>
      <c r="C494" s="11">
        <f t="shared" si="80"/>
        <v>1</v>
      </c>
      <c r="D494" s="2994"/>
      <c r="E494" s="11">
        <f t="shared" si="81"/>
        <v>1</v>
      </c>
      <c r="F494" s="2994"/>
      <c r="G494" s="11">
        <f t="shared" si="82"/>
        <v>1</v>
      </c>
      <c r="H494" s="2994"/>
      <c r="I494" s="11">
        <f t="shared" si="83"/>
        <v>1</v>
      </c>
      <c r="J494" s="2994"/>
      <c r="K494" s="11">
        <f t="shared" si="84"/>
        <v>1</v>
      </c>
      <c r="L494" s="2994"/>
      <c r="M494" s="11">
        <f t="shared" si="85"/>
        <v>1</v>
      </c>
      <c r="N494" s="2994"/>
      <c r="O494" s="11">
        <f t="shared" si="86"/>
        <v>1</v>
      </c>
      <c r="P494" s="2994"/>
      <c r="Q494" s="11">
        <f t="shared" si="87"/>
        <v>1</v>
      </c>
      <c r="R494" s="712">
        <f t="shared" ca="1" si="88"/>
        <v>17260</v>
      </c>
      <c r="S494" s="2959">
        <f t="shared" ca="1" si="79"/>
        <v>105</v>
      </c>
    </row>
    <row r="495" spans="1:19">
      <c r="A495" s="2992" t="str">
        <f>Sheet1!F476</f>
        <v>4-909</v>
      </c>
      <c r="B495" s="2992">
        <f>Sheet1!G476</f>
        <v>60.69</v>
      </c>
      <c r="C495" s="11">
        <f t="shared" si="80"/>
        <v>1</v>
      </c>
      <c r="D495" s="2994"/>
      <c r="E495" s="11">
        <f t="shared" si="81"/>
        <v>1</v>
      </c>
      <c r="F495" s="2994"/>
      <c r="G495" s="11">
        <f t="shared" si="82"/>
        <v>1</v>
      </c>
      <c r="H495" s="2994"/>
      <c r="I495" s="11">
        <f t="shared" si="83"/>
        <v>1</v>
      </c>
      <c r="J495" s="2994"/>
      <c r="K495" s="11">
        <f t="shared" si="84"/>
        <v>1</v>
      </c>
      <c r="L495" s="2994"/>
      <c r="M495" s="11">
        <f t="shared" si="85"/>
        <v>1</v>
      </c>
      <c r="N495" s="2994"/>
      <c r="O495" s="11">
        <f t="shared" si="86"/>
        <v>1</v>
      </c>
      <c r="P495" s="2994"/>
      <c r="Q495" s="11">
        <f t="shared" si="87"/>
        <v>1</v>
      </c>
      <c r="R495" s="712">
        <f t="shared" ca="1" si="88"/>
        <v>17260</v>
      </c>
      <c r="S495" s="2959">
        <f t="shared" ca="1" si="79"/>
        <v>105</v>
      </c>
    </row>
    <row r="496" spans="1:19">
      <c r="A496" s="2992" t="str">
        <f>Sheet1!F477</f>
        <v>4-910</v>
      </c>
      <c r="B496" s="2992">
        <f>Sheet1!G477</f>
        <v>60.69</v>
      </c>
      <c r="C496" s="11">
        <f t="shared" si="80"/>
        <v>1</v>
      </c>
      <c r="D496" s="2994"/>
      <c r="E496" s="11">
        <f t="shared" si="81"/>
        <v>1</v>
      </c>
      <c r="F496" s="2994"/>
      <c r="G496" s="11">
        <f t="shared" si="82"/>
        <v>1</v>
      </c>
      <c r="H496" s="2994"/>
      <c r="I496" s="11">
        <f t="shared" si="83"/>
        <v>1</v>
      </c>
      <c r="J496" s="2994"/>
      <c r="K496" s="11">
        <f t="shared" si="84"/>
        <v>1</v>
      </c>
      <c r="L496" s="2994"/>
      <c r="M496" s="11">
        <f t="shared" si="85"/>
        <v>1</v>
      </c>
      <c r="N496" s="2994"/>
      <c r="O496" s="11">
        <f t="shared" si="86"/>
        <v>1</v>
      </c>
      <c r="P496" s="2994"/>
      <c r="Q496" s="11">
        <f t="shared" si="87"/>
        <v>1</v>
      </c>
      <c r="R496" s="712">
        <f t="shared" ca="1" si="88"/>
        <v>17260</v>
      </c>
      <c r="S496" s="2959">
        <f t="shared" ca="1" si="79"/>
        <v>105</v>
      </c>
    </row>
    <row r="497" spans="1:19">
      <c r="A497" s="2992" t="str">
        <f>Sheet1!F478</f>
        <v>4-911</v>
      </c>
      <c r="B497" s="2992">
        <f>Sheet1!G478</f>
        <v>60.69</v>
      </c>
      <c r="C497" s="11">
        <f t="shared" si="80"/>
        <v>1</v>
      </c>
      <c r="D497" s="2994"/>
      <c r="E497" s="11">
        <f t="shared" si="81"/>
        <v>1</v>
      </c>
      <c r="F497" s="2994"/>
      <c r="G497" s="11">
        <f t="shared" si="82"/>
        <v>1</v>
      </c>
      <c r="H497" s="2994"/>
      <c r="I497" s="11">
        <f t="shared" si="83"/>
        <v>1</v>
      </c>
      <c r="J497" s="2994"/>
      <c r="K497" s="11">
        <f t="shared" si="84"/>
        <v>1</v>
      </c>
      <c r="L497" s="2994"/>
      <c r="M497" s="11">
        <f t="shared" si="85"/>
        <v>1</v>
      </c>
      <c r="N497" s="2994"/>
      <c r="O497" s="11">
        <f t="shared" si="86"/>
        <v>1</v>
      </c>
      <c r="P497" s="2994"/>
      <c r="Q497" s="11">
        <f t="shared" si="87"/>
        <v>1</v>
      </c>
      <c r="R497" s="712">
        <f t="shared" ca="1" si="88"/>
        <v>17260</v>
      </c>
      <c r="S497" s="2959">
        <f t="shared" ca="1" si="79"/>
        <v>105</v>
      </c>
    </row>
    <row r="498" spans="1:19">
      <c r="A498" s="2992" t="str">
        <f>Sheet1!F479</f>
        <v>4-912</v>
      </c>
      <c r="B498" s="2992">
        <f>Sheet1!G479</f>
        <v>54.3</v>
      </c>
      <c r="C498" s="11">
        <f t="shared" si="80"/>
        <v>1</v>
      </c>
      <c r="D498" s="2994"/>
      <c r="E498" s="11">
        <f t="shared" si="81"/>
        <v>1</v>
      </c>
      <c r="F498" s="2994"/>
      <c r="G498" s="11">
        <f t="shared" si="82"/>
        <v>1</v>
      </c>
      <c r="H498" s="2994"/>
      <c r="I498" s="11">
        <f t="shared" si="83"/>
        <v>1</v>
      </c>
      <c r="J498" s="2994"/>
      <c r="K498" s="11">
        <f t="shared" si="84"/>
        <v>1</v>
      </c>
      <c r="L498" s="2994"/>
      <c r="M498" s="11">
        <f t="shared" si="85"/>
        <v>1</v>
      </c>
      <c r="N498" s="2994"/>
      <c r="O498" s="11">
        <f t="shared" si="86"/>
        <v>1</v>
      </c>
      <c r="P498" s="2994"/>
      <c r="Q498" s="11">
        <f t="shared" si="87"/>
        <v>1</v>
      </c>
      <c r="R498" s="712">
        <f t="shared" ca="1" si="88"/>
        <v>17260</v>
      </c>
      <c r="S498" s="2959">
        <f t="shared" ref="S498:S524" ca="1" si="89">ROUND(R498*B498/10000,0)</f>
        <v>94</v>
      </c>
    </row>
    <row r="499" spans="1:19">
      <c r="A499" s="2992" t="str">
        <f>Sheet1!F480</f>
        <v>4-913</v>
      </c>
      <c r="B499" s="2992">
        <f>Sheet1!G480</f>
        <v>60.68</v>
      </c>
      <c r="C499" s="11">
        <f t="shared" si="80"/>
        <v>1</v>
      </c>
      <c r="D499" s="2994"/>
      <c r="E499" s="11">
        <f t="shared" si="81"/>
        <v>1</v>
      </c>
      <c r="F499" s="2994"/>
      <c r="G499" s="11">
        <f t="shared" si="82"/>
        <v>1</v>
      </c>
      <c r="H499" s="2994"/>
      <c r="I499" s="11">
        <f t="shared" si="83"/>
        <v>1</v>
      </c>
      <c r="J499" s="2994"/>
      <c r="K499" s="11">
        <f t="shared" si="84"/>
        <v>1</v>
      </c>
      <c r="L499" s="2994"/>
      <c r="M499" s="11">
        <f t="shared" si="85"/>
        <v>1</v>
      </c>
      <c r="N499" s="2994"/>
      <c r="O499" s="11">
        <f t="shared" si="86"/>
        <v>1</v>
      </c>
      <c r="P499" s="2994"/>
      <c r="Q499" s="11">
        <f t="shared" si="87"/>
        <v>1</v>
      </c>
      <c r="R499" s="712">
        <f t="shared" ca="1" si="88"/>
        <v>17260</v>
      </c>
      <c r="S499" s="2959">
        <f t="shared" ca="1" si="89"/>
        <v>105</v>
      </c>
    </row>
    <row r="500" spans="1:19">
      <c r="A500" s="2992" t="str">
        <f>Sheet1!F481</f>
        <v>4-914</v>
      </c>
      <c r="B500" s="2992">
        <f>Sheet1!G481</f>
        <v>80.459999999999994</v>
      </c>
      <c r="C500" s="11">
        <f t="shared" si="80"/>
        <v>1</v>
      </c>
      <c r="D500" s="2994"/>
      <c r="E500" s="11">
        <f t="shared" si="81"/>
        <v>1</v>
      </c>
      <c r="F500" s="2994"/>
      <c r="G500" s="11">
        <f t="shared" si="82"/>
        <v>1</v>
      </c>
      <c r="H500" s="2994"/>
      <c r="I500" s="11">
        <f t="shared" si="83"/>
        <v>1</v>
      </c>
      <c r="J500" s="2994"/>
      <c r="K500" s="11">
        <f t="shared" si="84"/>
        <v>1</v>
      </c>
      <c r="L500" s="2994"/>
      <c r="M500" s="11">
        <f t="shared" si="85"/>
        <v>1</v>
      </c>
      <c r="N500" s="2994"/>
      <c r="O500" s="11">
        <f t="shared" si="86"/>
        <v>1</v>
      </c>
      <c r="P500" s="2994"/>
      <c r="Q500" s="11">
        <f t="shared" si="87"/>
        <v>1</v>
      </c>
      <c r="R500" s="712">
        <f t="shared" ca="1" si="88"/>
        <v>17260</v>
      </c>
      <c r="S500" s="2959">
        <f t="shared" ca="1" si="89"/>
        <v>139</v>
      </c>
    </row>
    <row r="501" spans="1:19">
      <c r="A501" s="2992" t="str">
        <f>Sheet1!F482</f>
        <v>4-915</v>
      </c>
      <c r="B501" s="2992">
        <f>Sheet1!G482</f>
        <v>80.45</v>
      </c>
      <c r="C501" s="11">
        <f t="shared" si="80"/>
        <v>1</v>
      </c>
      <c r="D501" s="2994"/>
      <c r="E501" s="11">
        <f t="shared" si="81"/>
        <v>1</v>
      </c>
      <c r="F501" s="2994"/>
      <c r="G501" s="11">
        <f t="shared" si="82"/>
        <v>1</v>
      </c>
      <c r="H501" s="2994"/>
      <c r="I501" s="11">
        <f t="shared" si="83"/>
        <v>1</v>
      </c>
      <c r="J501" s="2994"/>
      <c r="K501" s="11">
        <f t="shared" si="84"/>
        <v>1</v>
      </c>
      <c r="L501" s="2994"/>
      <c r="M501" s="11">
        <f t="shared" si="85"/>
        <v>1</v>
      </c>
      <c r="N501" s="2994"/>
      <c r="O501" s="11">
        <f t="shared" si="86"/>
        <v>1</v>
      </c>
      <c r="P501" s="2994"/>
      <c r="Q501" s="11">
        <f t="shared" si="87"/>
        <v>1</v>
      </c>
      <c r="R501" s="712">
        <f t="shared" ca="1" si="88"/>
        <v>17260</v>
      </c>
      <c r="S501" s="2959">
        <f t="shared" ca="1" si="89"/>
        <v>139</v>
      </c>
    </row>
    <row r="502" spans="1:19">
      <c r="A502" s="2992" t="str">
        <f>Sheet1!F483</f>
        <v>4-916</v>
      </c>
      <c r="B502" s="2992">
        <f>Sheet1!G483</f>
        <v>60.69</v>
      </c>
      <c r="C502" s="11">
        <f t="shared" si="80"/>
        <v>1</v>
      </c>
      <c r="D502" s="2994"/>
      <c r="E502" s="11">
        <f t="shared" si="81"/>
        <v>1</v>
      </c>
      <c r="F502" s="2994"/>
      <c r="G502" s="11">
        <f t="shared" si="82"/>
        <v>1</v>
      </c>
      <c r="H502" s="2994"/>
      <c r="I502" s="11">
        <f t="shared" si="83"/>
        <v>1</v>
      </c>
      <c r="J502" s="2994"/>
      <c r="K502" s="11">
        <f t="shared" si="84"/>
        <v>1</v>
      </c>
      <c r="L502" s="2994"/>
      <c r="M502" s="11">
        <f t="shared" si="85"/>
        <v>1</v>
      </c>
      <c r="N502" s="2994"/>
      <c r="O502" s="11">
        <f t="shared" si="86"/>
        <v>1</v>
      </c>
      <c r="P502" s="2994"/>
      <c r="Q502" s="11">
        <f t="shared" si="87"/>
        <v>1</v>
      </c>
      <c r="R502" s="712">
        <f t="shared" ca="1" si="88"/>
        <v>17260</v>
      </c>
      <c r="S502" s="2959">
        <f t="shared" ca="1" si="89"/>
        <v>105</v>
      </c>
    </row>
    <row r="503" spans="1:19">
      <c r="A503" s="2992" t="str">
        <f>Sheet1!F484</f>
        <v>4-917</v>
      </c>
      <c r="B503" s="2992">
        <f>Sheet1!G484</f>
        <v>60.69</v>
      </c>
      <c r="C503" s="11">
        <f t="shared" si="80"/>
        <v>1</v>
      </c>
      <c r="D503" s="2994"/>
      <c r="E503" s="11">
        <f t="shared" si="81"/>
        <v>1</v>
      </c>
      <c r="F503" s="2994"/>
      <c r="G503" s="11">
        <f t="shared" si="82"/>
        <v>1</v>
      </c>
      <c r="H503" s="2994"/>
      <c r="I503" s="11">
        <f t="shared" si="83"/>
        <v>1</v>
      </c>
      <c r="J503" s="2994"/>
      <c r="K503" s="11">
        <f t="shared" si="84"/>
        <v>1</v>
      </c>
      <c r="L503" s="2994"/>
      <c r="M503" s="11">
        <f t="shared" si="85"/>
        <v>1</v>
      </c>
      <c r="N503" s="2994"/>
      <c r="O503" s="11">
        <f t="shared" si="86"/>
        <v>1</v>
      </c>
      <c r="P503" s="2994"/>
      <c r="Q503" s="11">
        <f t="shared" si="87"/>
        <v>1</v>
      </c>
      <c r="R503" s="712">
        <f t="shared" ca="1" si="88"/>
        <v>17260</v>
      </c>
      <c r="S503" s="2959">
        <f t="shared" ca="1" si="89"/>
        <v>105</v>
      </c>
    </row>
    <row r="504" spans="1:19">
      <c r="A504" s="2992" t="str">
        <f>Sheet1!F485</f>
        <v>4-918</v>
      </c>
      <c r="B504" s="2992">
        <f>Sheet1!G485</f>
        <v>60.68</v>
      </c>
      <c r="C504" s="11">
        <f t="shared" si="80"/>
        <v>1</v>
      </c>
      <c r="D504" s="2994"/>
      <c r="E504" s="11">
        <f t="shared" si="81"/>
        <v>1</v>
      </c>
      <c r="F504" s="2994"/>
      <c r="G504" s="11">
        <f t="shared" si="82"/>
        <v>1</v>
      </c>
      <c r="H504" s="2994"/>
      <c r="I504" s="11">
        <f t="shared" si="83"/>
        <v>1</v>
      </c>
      <c r="J504" s="2994"/>
      <c r="K504" s="11">
        <f t="shared" si="84"/>
        <v>1</v>
      </c>
      <c r="L504" s="2994"/>
      <c r="M504" s="11">
        <f t="shared" si="85"/>
        <v>1</v>
      </c>
      <c r="N504" s="2994"/>
      <c r="O504" s="11">
        <f t="shared" si="86"/>
        <v>1</v>
      </c>
      <c r="P504" s="2994"/>
      <c r="Q504" s="11">
        <f t="shared" si="87"/>
        <v>1</v>
      </c>
      <c r="R504" s="712">
        <f t="shared" ca="1" si="88"/>
        <v>17260</v>
      </c>
      <c r="S504" s="2959">
        <f t="shared" ca="1" si="89"/>
        <v>105</v>
      </c>
    </row>
    <row r="505" spans="1:19">
      <c r="A505" s="2992" t="str">
        <f>Sheet1!F486</f>
        <v>4-919</v>
      </c>
      <c r="B505" s="2992">
        <f>Sheet1!G486</f>
        <v>60.69</v>
      </c>
      <c r="C505" s="11">
        <f t="shared" si="80"/>
        <v>1</v>
      </c>
      <c r="D505" s="2994"/>
      <c r="E505" s="11">
        <f t="shared" si="81"/>
        <v>1</v>
      </c>
      <c r="F505" s="2994"/>
      <c r="G505" s="11">
        <f t="shared" si="82"/>
        <v>1</v>
      </c>
      <c r="H505" s="2994"/>
      <c r="I505" s="11">
        <f t="shared" si="83"/>
        <v>1</v>
      </c>
      <c r="J505" s="2994"/>
      <c r="K505" s="11">
        <f t="shared" si="84"/>
        <v>1</v>
      </c>
      <c r="L505" s="2994"/>
      <c r="M505" s="11">
        <f t="shared" si="85"/>
        <v>1</v>
      </c>
      <c r="N505" s="2994"/>
      <c r="O505" s="11">
        <f t="shared" si="86"/>
        <v>1</v>
      </c>
      <c r="P505" s="2994"/>
      <c r="Q505" s="11">
        <f t="shared" si="87"/>
        <v>1</v>
      </c>
      <c r="R505" s="712">
        <f t="shared" ca="1" si="88"/>
        <v>17260</v>
      </c>
      <c r="S505" s="2959">
        <f t="shared" ca="1" si="89"/>
        <v>105</v>
      </c>
    </row>
    <row r="506" spans="1:19">
      <c r="A506" s="2992" t="str">
        <f>Sheet1!F487</f>
        <v>4-920</v>
      </c>
      <c r="B506" s="2992">
        <f>Sheet1!G487</f>
        <v>60.69</v>
      </c>
      <c r="C506" s="11">
        <f t="shared" si="80"/>
        <v>1</v>
      </c>
      <c r="D506" s="2994"/>
      <c r="E506" s="11">
        <f t="shared" si="81"/>
        <v>1</v>
      </c>
      <c r="F506" s="2994"/>
      <c r="G506" s="11">
        <f t="shared" si="82"/>
        <v>1</v>
      </c>
      <c r="H506" s="2994"/>
      <c r="I506" s="11">
        <f t="shared" si="83"/>
        <v>1</v>
      </c>
      <c r="J506" s="2994"/>
      <c r="K506" s="11">
        <f t="shared" si="84"/>
        <v>1</v>
      </c>
      <c r="L506" s="2994"/>
      <c r="M506" s="11">
        <f t="shared" si="85"/>
        <v>1</v>
      </c>
      <c r="N506" s="2994"/>
      <c r="O506" s="11">
        <f t="shared" si="86"/>
        <v>1</v>
      </c>
      <c r="P506" s="2994"/>
      <c r="Q506" s="11">
        <f t="shared" si="87"/>
        <v>1</v>
      </c>
      <c r="R506" s="712">
        <f t="shared" ca="1" si="88"/>
        <v>17260</v>
      </c>
      <c r="S506" s="2959">
        <f t="shared" ca="1" si="89"/>
        <v>105</v>
      </c>
    </row>
    <row r="507" spans="1:19">
      <c r="A507" s="2992" t="str">
        <f>Sheet1!F488</f>
        <v>4-921</v>
      </c>
      <c r="B507" s="2992">
        <f>Sheet1!G488</f>
        <v>60.69</v>
      </c>
      <c r="C507" s="11">
        <f t="shared" si="80"/>
        <v>1</v>
      </c>
      <c r="D507" s="2994"/>
      <c r="E507" s="11">
        <f t="shared" si="81"/>
        <v>1</v>
      </c>
      <c r="F507" s="2994"/>
      <c r="G507" s="11">
        <f t="shared" si="82"/>
        <v>1</v>
      </c>
      <c r="H507" s="2994"/>
      <c r="I507" s="11">
        <f t="shared" si="83"/>
        <v>1</v>
      </c>
      <c r="J507" s="2994"/>
      <c r="K507" s="11">
        <f t="shared" si="84"/>
        <v>1</v>
      </c>
      <c r="L507" s="2994"/>
      <c r="M507" s="11">
        <f t="shared" si="85"/>
        <v>1</v>
      </c>
      <c r="N507" s="2994"/>
      <c r="O507" s="11">
        <f t="shared" si="86"/>
        <v>1</v>
      </c>
      <c r="P507" s="2994"/>
      <c r="Q507" s="11">
        <f t="shared" si="87"/>
        <v>1</v>
      </c>
      <c r="R507" s="712">
        <f t="shared" ca="1" si="88"/>
        <v>17260</v>
      </c>
      <c r="S507" s="2959">
        <f t="shared" ca="1" si="89"/>
        <v>105</v>
      </c>
    </row>
    <row r="508" spans="1:19">
      <c r="A508" s="2992" t="str">
        <f>Sheet1!F489</f>
        <v>4-922</v>
      </c>
      <c r="B508" s="2992">
        <f>Sheet1!G489</f>
        <v>60.69</v>
      </c>
      <c r="C508" s="11">
        <f t="shared" si="80"/>
        <v>1</v>
      </c>
      <c r="D508" s="2994"/>
      <c r="E508" s="11">
        <f t="shared" si="81"/>
        <v>1</v>
      </c>
      <c r="F508" s="2994"/>
      <c r="G508" s="11">
        <f t="shared" si="82"/>
        <v>1</v>
      </c>
      <c r="H508" s="2994"/>
      <c r="I508" s="11">
        <f t="shared" si="83"/>
        <v>1</v>
      </c>
      <c r="J508" s="2994"/>
      <c r="K508" s="11">
        <f t="shared" si="84"/>
        <v>1</v>
      </c>
      <c r="L508" s="2994"/>
      <c r="M508" s="11">
        <f t="shared" si="85"/>
        <v>1</v>
      </c>
      <c r="N508" s="2994"/>
      <c r="O508" s="11">
        <f t="shared" si="86"/>
        <v>1</v>
      </c>
      <c r="P508" s="2994"/>
      <c r="Q508" s="11">
        <f t="shared" si="87"/>
        <v>1</v>
      </c>
      <c r="R508" s="712">
        <f t="shared" ca="1" si="88"/>
        <v>17260</v>
      </c>
      <c r="S508" s="2959">
        <f t="shared" ca="1" si="89"/>
        <v>105</v>
      </c>
    </row>
    <row r="509" spans="1:19">
      <c r="A509" s="2992" t="str">
        <f>Sheet1!F490</f>
        <v>4-923</v>
      </c>
      <c r="B509" s="2992">
        <f>Sheet1!G490</f>
        <v>60.69</v>
      </c>
      <c r="C509" s="11">
        <f t="shared" si="80"/>
        <v>1</v>
      </c>
      <c r="D509" s="2994"/>
      <c r="E509" s="11">
        <f t="shared" si="81"/>
        <v>1</v>
      </c>
      <c r="F509" s="2994"/>
      <c r="G509" s="11">
        <f t="shared" si="82"/>
        <v>1</v>
      </c>
      <c r="H509" s="2994"/>
      <c r="I509" s="11">
        <f t="shared" si="83"/>
        <v>1</v>
      </c>
      <c r="J509" s="2994"/>
      <c r="K509" s="11">
        <f t="shared" si="84"/>
        <v>1</v>
      </c>
      <c r="L509" s="2994"/>
      <c r="M509" s="11">
        <f t="shared" si="85"/>
        <v>1</v>
      </c>
      <c r="N509" s="2994"/>
      <c r="O509" s="11">
        <f t="shared" si="86"/>
        <v>1</v>
      </c>
      <c r="P509" s="2994"/>
      <c r="Q509" s="11">
        <f t="shared" si="87"/>
        <v>1</v>
      </c>
      <c r="R509" s="712">
        <f t="shared" ca="1" si="88"/>
        <v>17260</v>
      </c>
      <c r="S509" s="2959">
        <f t="shared" ca="1" si="89"/>
        <v>105</v>
      </c>
    </row>
    <row r="510" spans="1:19">
      <c r="A510" s="2992" t="str">
        <f>Sheet1!F491</f>
        <v>4-924</v>
      </c>
      <c r="B510" s="2992">
        <f>Sheet1!G491</f>
        <v>60.69</v>
      </c>
      <c r="C510" s="11">
        <f t="shared" si="80"/>
        <v>1</v>
      </c>
      <c r="D510" s="2994"/>
      <c r="E510" s="11">
        <f t="shared" si="81"/>
        <v>1</v>
      </c>
      <c r="F510" s="2994"/>
      <c r="G510" s="11">
        <f t="shared" si="82"/>
        <v>1</v>
      </c>
      <c r="H510" s="2994"/>
      <c r="I510" s="11">
        <f t="shared" si="83"/>
        <v>1</v>
      </c>
      <c r="J510" s="2994"/>
      <c r="K510" s="11">
        <f t="shared" si="84"/>
        <v>1</v>
      </c>
      <c r="L510" s="2994"/>
      <c r="M510" s="11">
        <f t="shared" si="85"/>
        <v>1</v>
      </c>
      <c r="N510" s="2994"/>
      <c r="O510" s="11">
        <f t="shared" si="86"/>
        <v>1</v>
      </c>
      <c r="P510" s="2994"/>
      <c r="Q510" s="11">
        <f t="shared" si="87"/>
        <v>1</v>
      </c>
      <c r="R510" s="712">
        <f t="shared" ca="1" si="88"/>
        <v>17260</v>
      </c>
      <c r="S510" s="2959">
        <f t="shared" ca="1" si="89"/>
        <v>105</v>
      </c>
    </row>
    <row r="511" spans="1:19">
      <c r="A511" s="2992" t="str">
        <f>Sheet1!F492</f>
        <v>4-925</v>
      </c>
      <c r="B511" s="2992">
        <f>Sheet1!G492</f>
        <v>60.69</v>
      </c>
      <c r="C511" s="11">
        <f t="shared" si="80"/>
        <v>1</v>
      </c>
      <c r="D511" s="2994"/>
      <c r="E511" s="11">
        <f t="shared" si="81"/>
        <v>1</v>
      </c>
      <c r="F511" s="2994"/>
      <c r="G511" s="11">
        <f t="shared" si="82"/>
        <v>1</v>
      </c>
      <c r="H511" s="2994"/>
      <c r="I511" s="11">
        <f t="shared" si="83"/>
        <v>1</v>
      </c>
      <c r="J511" s="2994"/>
      <c r="K511" s="11">
        <f t="shared" si="84"/>
        <v>1</v>
      </c>
      <c r="L511" s="2994"/>
      <c r="M511" s="11">
        <f t="shared" si="85"/>
        <v>1</v>
      </c>
      <c r="N511" s="2994"/>
      <c r="O511" s="11">
        <f t="shared" si="86"/>
        <v>1</v>
      </c>
      <c r="P511" s="2994"/>
      <c r="Q511" s="11">
        <f t="shared" si="87"/>
        <v>1</v>
      </c>
      <c r="R511" s="712">
        <f t="shared" ca="1" si="88"/>
        <v>17260</v>
      </c>
      <c r="S511" s="2959">
        <f t="shared" ca="1" si="89"/>
        <v>105</v>
      </c>
    </row>
    <row r="512" spans="1:19">
      <c r="A512" s="2992" t="str">
        <f>Sheet1!F493</f>
        <v>4-926</v>
      </c>
      <c r="B512" s="2992">
        <f>Sheet1!G493</f>
        <v>60.69</v>
      </c>
      <c r="C512" s="11">
        <f t="shared" si="80"/>
        <v>1</v>
      </c>
      <c r="D512" s="2994"/>
      <c r="E512" s="11">
        <f t="shared" si="81"/>
        <v>1</v>
      </c>
      <c r="F512" s="2994"/>
      <c r="G512" s="11">
        <f t="shared" si="82"/>
        <v>1</v>
      </c>
      <c r="H512" s="2994"/>
      <c r="I512" s="11">
        <f t="shared" si="83"/>
        <v>1</v>
      </c>
      <c r="J512" s="2994"/>
      <c r="K512" s="11">
        <f t="shared" si="84"/>
        <v>1</v>
      </c>
      <c r="L512" s="2994"/>
      <c r="M512" s="11">
        <f t="shared" si="85"/>
        <v>1</v>
      </c>
      <c r="N512" s="2994"/>
      <c r="O512" s="11">
        <f t="shared" si="86"/>
        <v>1</v>
      </c>
      <c r="P512" s="2994"/>
      <c r="Q512" s="11">
        <f t="shared" si="87"/>
        <v>1</v>
      </c>
      <c r="R512" s="712">
        <f t="shared" ca="1" si="88"/>
        <v>17260</v>
      </c>
      <c r="S512" s="2959">
        <f t="shared" ca="1" si="89"/>
        <v>105</v>
      </c>
    </row>
    <row r="513" spans="1:19">
      <c r="A513" s="2992" t="str">
        <f>Sheet1!F494</f>
        <v>4-927</v>
      </c>
      <c r="B513" s="2992">
        <f>Sheet1!G494</f>
        <v>104.53</v>
      </c>
      <c r="C513" s="11">
        <f t="shared" si="80"/>
        <v>0.99</v>
      </c>
      <c r="D513" s="2994"/>
      <c r="E513" s="11">
        <f t="shared" si="81"/>
        <v>1</v>
      </c>
      <c r="F513" s="2994"/>
      <c r="G513" s="11">
        <f t="shared" si="82"/>
        <v>1</v>
      </c>
      <c r="H513" s="2994"/>
      <c r="I513" s="11">
        <f t="shared" si="83"/>
        <v>1</v>
      </c>
      <c r="J513" s="2994"/>
      <c r="K513" s="11">
        <f t="shared" si="84"/>
        <v>1</v>
      </c>
      <c r="L513" s="2994"/>
      <c r="M513" s="11">
        <f t="shared" si="85"/>
        <v>1</v>
      </c>
      <c r="N513" s="2994"/>
      <c r="O513" s="11">
        <f t="shared" si="86"/>
        <v>1</v>
      </c>
      <c r="P513" s="2994"/>
      <c r="Q513" s="11">
        <f t="shared" si="87"/>
        <v>1</v>
      </c>
      <c r="R513" s="712">
        <f t="shared" ca="1" si="88"/>
        <v>17087</v>
      </c>
      <c r="S513" s="2959">
        <f t="shared" ca="1" si="89"/>
        <v>179</v>
      </c>
    </row>
    <row r="514" spans="1:19">
      <c r="A514" s="2992" t="str">
        <f>Sheet1!F495</f>
        <v>4-928</v>
      </c>
      <c r="B514" s="2992">
        <f>Sheet1!G495</f>
        <v>55.78</v>
      </c>
      <c r="C514" s="11">
        <f t="shared" si="80"/>
        <v>1</v>
      </c>
      <c r="D514" s="2994"/>
      <c r="E514" s="11">
        <f t="shared" si="81"/>
        <v>1</v>
      </c>
      <c r="F514" s="2994"/>
      <c r="G514" s="11">
        <f t="shared" si="82"/>
        <v>1</v>
      </c>
      <c r="H514" s="2994"/>
      <c r="I514" s="11">
        <f t="shared" si="83"/>
        <v>1</v>
      </c>
      <c r="J514" s="2994"/>
      <c r="K514" s="11">
        <f t="shared" si="84"/>
        <v>1</v>
      </c>
      <c r="L514" s="2994"/>
      <c r="M514" s="11">
        <f t="shared" si="85"/>
        <v>1</v>
      </c>
      <c r="N514" s="2994"/>
      <c r="O514" s="11">
        <f t="shared" si="86"/>
        <v>1</v>
      </c>
      <c r="P514" s="2994"/>
      <c r="Q514" s="11">
        <f t="shared" si="87"/>
        <v>1</v>
      </c>
      <c r="R514" s="712">
        <f t="shared" ca="1" si="88"/>
        <v>17260</v>
      </c>
      <c r="S514" s="2959">
        <f t="shared" ca="1" si="89"/>
        <v>96</v>
      </c>
    </row>
    <row r="515" spans="1:19">
      <c r="A515" s="2992" t="str">
        <f>Sheet1!F496</f>
        <v>4-929</v>
      </c>
      <c r="B515" s="2992">
        <f>Sheet1!G496</f>
        <v>48.86</v>
      </c>
      <c r="C515" s="11">
        <f t="shared" si="80"/>
        <v>1</v>
      </c>
      <c r="D515" s="2994"/>
      <c r="E515" s="11">
        <f t="shared" si="81"/>
        <v>1</v>
      </c>
      <c r="F515" s="2994"/>
      <c r="G515" s="11">
        <f t="shared" si="82"/>
        <v>1</v>
      </c>
      <c r="H515" s="2994"/>
      <c r="I515" s="11">
        <f t="shared" si="83"/>
        <v>1</v>
      </c>
      <c r="J515" s="2994"/>
      <c r="K515" s="11">
        <f t="shared" si="84"/>
        <v>1</v>
      </c>
      <c r="L515" s="2994"/>
      <c r="M515" s="11">
        <f t="shared" si="85"/>
        <v>1</v>
      </c>
      <c r="N515" s="2994"/>
      <c r="O515" s="11">
        <f t="shared" si="86"/>
        <v>1</v>
      </c>
      <c r="P515" s="2994"/>
      <c r="Q515" s="11">
        <f t="shared" si="87"/>
        <v>1</v>
      </c>
      <c r="R515" s="712">
        <f t="shared" ca="1" si="88"/>
        <v>17260</v>
      </c>
      <c r="S515" s="2959">
        <f t="shared" ca="1" si="89"/>
        <v>84</v>
      </c>
    </row>
    <row r="516" spans="1:19">
      <c r="A516" s="2992" t="str">
        <f>Sheet1!F497</f>
        <v>4-930</v>
      </c>
      <c r="B516" s="2992">
        <f>Sheet1!G497</f>
        <v>48.86</v>
      </c>
      <c r="C516" s="11">
        <f t="shared" si="80"/>
        <v>1</v>
      </c>
      <c r="D516" s="2994"/>
      <c r="E516" s="11">
        <f t="shared" si="81"/>
        <v>1</v>
      </c>
      <c r="F516" s="2994"/>
      <c r="G516" s="11">
        <f t="shared" si="82"/>
        <v>1</v>
      </c>
      <c r="H516" s="2994"/>
      <c r="I516" s="11">
        <f t="shared" si="83"/>
        <v>1</v>
      </c>
      <c r="J516" s="2994"/>
      <c r="K516" s="11">
        <f t="shared" si="84"/>
        <v>1</v>
      </c>
      <c r="L516" s="2994"/>
      <c r="M516" s="11">
        <f t="shared" si="85"/>
        <v>1</v>
      </c>
      <c r="N516" s="2994"/>
      <c r="O516" s="11">
        <f t="shared" si="86"/>
        <v>1</v>
      </c>
      <c r="P516" s="2994"/>
      <c r="Q516" s="11">
        <f t="shared" si="87"/>
        <v>1</v>
      </c>
      <c r="R516" s="712">
        <f t="shared" ca="1" si="88"/>
        <v>17260</v>
      </c>
      <c r="S516" s="2959">
        <f t="shared" ca="1" si="89"/>
        <v>84</v>
      </c>
    </row>
    <row r="517" spans="1:19">
      <c r="A517" s="2992" t="str">
        <f>Sheet1!F498</f>
        <v>4-931</v>
      </c>
      <c r="B517" s="2992">
        <f>Sheet1!G498</f>
        <v>48.86</v>
      </c>
      <c r="C517" s="11">
        <f t="shared" si="80"/>
        <v>1</v>
      </c>
      <c r="D517" s="2994"/>
      <c r="E517" s="11">
        <f t="shared" si="81"/>
        <v>1</v>
      </c>
      <c r="F517" s="2994"/>
      <c r="G517" s="11">
        <f t="shared" si="82"/>
        <v>1</v>
      </c>
      <c r="H517" s="2994"/>
      <c r="I517" s="11">
        <f t="shared" si="83"/>
        <v>1</v>
      </c>
      <c r="J517" s="2994"/>
      <c r="K517" s="11">
        <f t="shared" si="84"/>
        <v>1</v>
      </c>
      <c r="L517" s="2994"/>
      <c r="M517" s="11">
        <f t="shared" si="85"/>
        <v>1</v>
      </c>
      <c r="N517" s="2994"/>
      <c r="O517" s="11">
        <f t="shared" si="86"/>
        <v>1</v>
      </c>
      <c r="P517" s="2994"/>
      <c r="Q517" s="11">
        <f t="shared" si="87"/>
        <v>1</v>
      </c>
      <c r="R517" s="712">
        <f t="shared" ca="1" si="88"/>
        <v>17260</v>
      </c>
      <c r="S517" s="2959">
        <f t="shared" ca="1" si="89"/>
        <v>84</v>
      </c>
    </row>
    <row r="518" spans="1:19">
      <c r="A518" s="2992" t="str">
        <f>Sheet1!F499</f>
        <v>4-932</v>
      </c>
      <c r="B518" s="2992">
        <f>Sheet1!G499</f>
        <v>54.5</v>
      </c>
      <c r="C518" s="11">
        <f t="shared" si="80"/>
        <v>1</v>
      </c>
      <c r="D518" s="2994"/>
      <c r="E518" s="11">
        <f t="shared" si="81"/>
        <v>1</v>
      </c>
      <c r="F518" s="2994"/>
      <c r="G518" s="11">
        <f t="shared" si="82"/>
        <v>1</v>
      </c>
      <c r="H518" s="2994"/>
      <c r="I518" s="11">
        <f t="shared" si="83"/>
        <v>1</v>
      </c>
      <c r="J518" s="2994"/>
      <c r="K518" s="11">
        <f t="shared" si="84"/>
        <v>1</v>
      </c>
      <c r="L518" s="2994"/>
      <c r="M518" s="11">
        <f t="shared" si="85"/>
        <v>1</v>
      </c>
      <c r="N518" s="2994"/>
      <c r="O518" s="11">
        <f t="shared" si="86"/>
        <v>1</v>
      </c>
      <c r="P518" s="2994"/>
      <c r="Q518" s="11">
        <f t="shared" si="87"/>
        <v>1</v>
      </c>
      <c r="R518" s="712">
        <f t="shared" ca="1" si="88"/>
        <v>17260</v>
      </c>
      <c r="S518" s="2959">
        <f t="shared" ca="1" si="89"/>
        <v>94</v>
      </c>
    </row>
    <row r="519" spans="1:19">
      <c r="A519" s="2992" t="str">
        <f>Sheet1!F500</f>
        <v>4-933</v>
      </c>
      <c r="B519" s="2992">
        <f>Sheet1!G500</f>
        <v>64.58</v>
      </c>
      <c r="C519" s="11">
        <f t="shared" si="80"/>
        <v>1</v>
      </c>
      <c r="D519" s="2994"/>
      <c r="E519" s="11">
        <f t="shared" si="81"/>
        <v>1</v>
      </c>
      <c r="F519" s="2994"/>
      <c r="G519" s="11">
        <f t="shared" si="82"/>
        <v>1</v>
      </c>
      <c r="H519" s="2994"/>
      <c r="I519" s="11">
        <f t="shared" si="83"/>
        <v>1</v>
      </c>
      <c r="J519" s="2994"/>
      <c r="K519" s="11">
        <f t="shared" si="84"/>
        <v>1</v>
      </c>
      <c r="L519" s="2994"/>
      <c r="M519" s="11">
        <f t="shared" si="85"/>
        <v>1</v>
      </c>
      <c r="N519" s="2994"/>
      <c r="O519" s="11">
        <f t="shared" si="86"/>
        <v>1</v>
      </c>
      <c r="P519" s="2994"/>
      <c r="Q519" s="11">
        <f t="shared" si="87"/>
        <v>1</v>
      </c>
      <c r="R519" s="712">
        <f t="shared" ca="1" si="88"/>
        <v>17260</v>
      </c>
      <c r="S519" s="2959">
        <f t="shared" ca="1" si="89"/>
        <v>111</v>
      </c>
    </row>
    <row r="520" spans="1:19">
      <c r="A520" s="2992" t="str">
        <f>Sheet1!F501</f>
        <v>4-934</v>
      </c>
      <c r="B520" s="2992">
        <f>Sheet1!G501</f>
        <v>45.32</v>
      </c>
      <c r="C520" s="11">
        <f t="shared" si="80"/>
        <v>1</v>
      </c>
      <c r="D520" s="2994"/>
      <c r="E520" s="11">
        <f t="shared" si="81"/>
        <v>1</v>
      </c>
      <c r="F520" s="2994"/>
      <c r="G520" s="11">
        <f t="shared" si="82"/>
        <v>1</v>
      </c>
      <c r="H520" s="2994"/>
      <c r="I520" s="11">
        <f t="shared" si="83"/>
        <v>1</v>
      </c>
      <c r="J520" s="2994"/>
      <c r="K520" s="11">
        <f t="shared" si="84"/>
        <v>1</v>
      </c>
      <c r="L520" s="2994"/>
      <c r="M520" s="11">
        <f t="shared" si="85"/>
        <v>1</v>
      </c>
      <c r="N520" s="2994"/>
      <c r="O520" s="11">
        <f t="shared" si="86"/>
        <v>1</v>
      </c>
      <c r="P520" s="2994"/>
      <c r="Q520" s="11">
        <f t="shared" si="87"/>
        <v>1</v>
      </c>
      <c r="R520" s="712">
        <f t="shared" ca="1" si="88"/>
        <v>17260</v>
      </c>
      <c r="S520" s="2959">
        <f t="shared" ca="1" si="89"/>
        <v>78</v>
      </c>
    </row>
    <row r="521" spans="1:19">
      <c r="A521" s="2992" t="str">
        <f>Sheet1!F502</f>
        <v>4-935</v>
      </c>
      <c r="B521" s="2992">
        <f>Sheet1!G502</f>
        <v>45.2</v>
      </c>
      <c r="C521" s="11">
        <f t="shared" si="80"/>
        <v>1</v>
      </c>
      <c r="D521" s="2994"/>
      <c r="E521" s="11">
        <f t="shared" si="81"/>
        <v>1</v>
      </c>
      <c r="F521" s="2994"/>
      <c r="G521" s="11">
        <f t="shared" si="82"/>
        <v>1</v>
      </c>
      <c r="H521" s="2994"/>
      <c r="I521" s="11">
        <f t="shared" si="83"/>
        <v>1</v>
      </c>
      <c r="J521" s="2994"/>
      <c r="K521" s="11">
        <f t="shared" si="84"/>
        <v>1</v>
      </c>
      <c r="L521" s="2994"/>
      <c r="M521" s="11">
        <f t="shared" si="85"/>
        <v>1</v>
      </c>
      <c r="N521" s="2994"/>
      <c r="O521" s="11">
        <f t="shared" si="86"/>
        <v>1</v>
      </c>
      <c r="P521" s="2994"/>
      <c r="Q521" s="11">
        <f t="shared" si="87"/>
        <v>1</v>
      </c>
      <c r="R521" s="712">
        <f t="shared" ca="1" si="88"/>
        <v>17260</v>
      </c>
      <c r="S521" s="2959">
        <f t="shared" ca="1" si="89"/>
        <v>78</v>
      </c>
    </row>
    <row r="522" spans="1:19">
      <c r="A522" s="2992" t="str">
        <f>Sheet1!F503</f>
        <v>4-936</v>
      </c>
      <c r="B522" s="2992">
        <f>Sheet1!G503</f>
        <v>45.32</v>
      </c>
      <c r="C522" s="11">
        <f t="shared" si="80"/>
        <v>1</v>
      </c>
      <c r="D522" s="2994"/>
      <c r="E522" s="11">
        <f t="shared" si="81"/>
        <v>1</v>
      </c>
      <c r="F522" s="2994"/>
      <c r="G522" s="11">
        <f t="shared" si="82"/>
        <v>1</v>
      </c>
      <c r="H522" s="2994"/>
      <c r="I522" s="11">
        <f t="shared" si="83"/>
        <v>1</v>
      </c>
      <c r="J522" s="2994"/>
      <c r="K522" s="11">
        <f t="shared" si="84"/>
        <v>1</v>
      </c>
      <c r="L522" s="2994"/>
      <c r="M522" s="11">
        <f t="shared" si="85"/>
        <v>1</v>
      </c>
      <c r="N522" s="2994"/>
      <c r="O522" s="11">
        <f t="shared" si="86"/>
        <v>1</v>
      </c>
      <c r="P522" s="2994"/>
      <c r="Q522" s="11">
        <f t="shared" si="87"/>
        <v>1</v>
      </c>
      <c r="R522" s="712">
        <f t="shared" ca="1" si="88"/>
        <v>17260</v>
      </c>
      <c r="S522" s="2959">
        <f t="shared" ca="1" si="89"/>
        <v>78</v>
      </c>
    </row>
    <row r="523" spans="1:19">
      <c r="A523" s="2992" t="str">
        <f>Sheet1!F504</f>
        <v>4-937</v>
      </c>
      <c r="B523" s="2992">
        <f>Sheet1!G504</f>
        <v>45.32</v>
      </c>
      <c r="C523" s="11">
        <f t="shared" si="80"/>
        <v>1</v>
      </c>
      <c r="D523" s="2994"/>
      <c r="E523" s="11">
        <f t="shared" si="81"/>
        <v>1</v>
      </c>
      <c r="F523" s="2994"/>
      <c r="G523" s="11">
        <f t="shared" si="82"/>
        <v>1</v>
      </c>
      <c r="H523" s="2994"/>
      <c r="I523" s="11">
        <f t="shared" si="83"/>
        <v>1</v>
      </c>
      <c r="J523" s="2994"/>
      <c r="K523" s="11">
        <f t="shared" si="84"/>
        <v>1</v>
      </c>
      <c r="L523" s="2994"/>
      <c r="M523" s="11">
        <f t="shared" si="85"/>
        <v>1</v>
      </c>
      <c r="N523" s="2994"/>
      <c r="O523" s="11">
        <f t="shared" si="86"/>
        <v>1</v>
      </c>
      <c r="P523" s="2994"/>
      <c r="Q523" s="11">
        <f t="shared" si="87"/>
        <v>1</v>
      </c>
      <c r="R523" s="712">
        <f t="shared" ca="1" si="88"/>
        <v>17260</v>
      </c>
      <c r="S523" s="2959">
        <f t="shared" ca="1" si="89"/>
        <v>78</v>
      </c>
    </row>
    <row r="524" spans="1:19">
      <c r="A524" s="2992" t="str">
        <f>Sheet1!F505</f>
        <v>4-938</v>
      </c>
      <c r="B524" s="2992">
        <f>Sheet1!G505</f>
        <v>48.86</v>
      </c>
      <c r="C524" s="11">
        <f t="shared" si="80"/>
        <v>1</v>
      </c>
      <c r="D524" s="2994"/>
      <c r="E524" s="11">
        <f t="shared" si="81"/>
        <v>1</v>
      </c>
      <c r="F524" s="2994"/>
      <c r="G524" s="11">
        <f t="shared" si="82"/>
        <v>1</v>
      </c>
      <c r="H524" s="2994"/>
      <c r="I524" s="11">
        <f t="shared" si="83"/>
        <v>1</v>
      </c>
      <c r="J524" s="2994"/>
      <c r="K524" s="11">
        <f t="shared" si="84"/>
        <v>1</v>
      </c>
      <c r="L524" s="2994"/>
      <c r="M524" s="11">
        <f t="shared" si="85"/>
        <v>1</v>
      </c>
      <c r="N524" s="2994"/>
      <c r="O524" s="11">
        <f t="shared" si="86"/>
        <v>1</v>
      </c>
      <c r="P524" s="2994"/>
      <c r="Q524" s="11">
        <f t="shared" si="87"/>
        <v>1</v>
      </c>
      <c r="R524" s="712">
        <f t="shared" ca="1" si="88"/>
        <v>17260</v>
      </c>
      <c r="S524" s="2959">
        <f t="shared" ca="1" si="89"/>
        <v>84</v>
      </c>
    </row>
    <row r="525" spans="1:19">
      <c r="A525" s="2992" t="str">
        <f>Sheet1!F506</f>
        <v>4-939</v>
      </c>
      <c r="B525" s="2992">
        <f>Sheet1!G506</f>
        <v>44.51</v>
      </c>
      <c r="C525" s="2996">
        <f t="shared" ref="C525:C588" si="90">IF(B525="",1,(LOOKUP(B525,$3:$3,$4:$4)-LOOKUP($B$24,$3:$3,$4:$4)+100)/100)</f>
        <v>1</v>
      </c>
      <c r="D525" s="2994"/>
      <c r="E525" s="2996">
        <f t="shared" ref="E525:E588" si="91">(SUMIF($5:$5,D525,$6:$6)-SUMIF($5:$5,$D$24,$6:$6)+100)/100</f>
        <v>1</v>
      </c>
      <c r="F525" s="2994"/>
      <c r="G525" s="2996">
        <f t="shared" ref="G525:G588" si="92">(SUMIF($7:$7,F525,$8:$8)-SUMIF($7:$7,$F$24,$8:$8)+100)/100</f>
        <v>1</v>
      </c>
      <c r="H525" s="2994"/>
      <c r="I525" s="2996">
        <f t="shared" ref="I525:I588" si="93">(SUMIF($9:$9,H525,$10:$10)-SUMIF($9:$9,$H$24,$10:$10)+100)/100</f>
        <v>1</v>
      </c>
      <c r="J525" s="2994"/>
      <c r="K525" s="2996">
        <f t="shared" ref="K525:K588" si="94">(SUMIF($11:$11,J525,$12:$12)-SUMIF($11:$11,$J$24,$12:$12)+100)/100</f>
        <v>1</v>
      </c>
      <c r="L525" s="2994"/>
      <c r="M525" s="2996">
        <f t="shared" ref="M525:M588" si="95">(SUMIF($13:$13,L525,$14:$14)-SUMIF($13:$13,$L$24,$14:$14)+100)/100</f>
        <v>1</v>
      </c>
      <c r="N525" s="2994"/>
      <c r="O525" s="2996">
        <f t="shared" ref="O525:O588" si="96">(SUMIF($15:$15,N525,$16:$16)-SUMIF($15:$15,$N$24,$16:$16)+100)/100</f>
        <v>1</v>
      </c>
      <c r="P525" s="2994"/>
      <c r="Q525" s="2996">
        <f t="shared" ref="Q525:Q588" si="97">(SUMIF($17:$17,P525,$18:$18)-SUMIF($17:$17,$P$24,$18:$18)+100)/100</f>
        <v>1</v>
      </c>
      <c r="R525" s="2997">
        <f t="shared" ref="R525:R588" ca="1" si="98">IF(B525="",0,ROUND($R$24*C525*E525*G525*I525*K525*M525*O525*Q525,0))</f>
        <v>17260</v>
      </c>
      <c r="S525" s="2962">
        <f t="shared" ref="S525:S588" ca="1" si="99">ROUND(R525*B525/10000,0)</f>
        <v>77</v>
      </c>
    </row>
    <row r="526" spans="1:19">
      <c r="A526" s="2992" t="str">
        <f>Sheet1!F507</f>
        <v>4-940</v>
      </c>
      <c r="B526" s="2992">
        <f>Sheet1!G507</f>
        <v>54.67</v>
      </c>
      <c r="C526" s="2996">
        <f t="shared" si="90"/>
        <v>1</v>
      </c>
      <c r="D526" s="2994"/>
      <c r="E526" s="2996">
        <f t="shared" si="91"/>
        <v>1</v>
      </c>
      <c r="F526" s="2994"/>
      <c r="G526" s="2996">
        <f t="shared" si="92"/>
        <v>1</v>
      </c>
      <c r="H526" s="2994"/>
      <c r="I526" s="2996">
        <f t="shared" si="93"/>
        <v>1</v>
      </c>
      <c r="J526" s="2994"/>
      <c r="K526" s="2996">
        <f t="shared" si="94"/>
        <v>1</v>
      </c>
      <c r="L526" s="2994"/>
      <c r="M526" s="2996">
        <f t="shared" si="95"/>
        <v>1</v>
      </c>
      <c r="N526" s="2994"/>
      <c r="O526" s="2996">
        <f t="shared" si="96"/>
        <v>1</v>
      </c>
      <c r="P526" s="2994"/>
      <c r="Q526" s="2996">
        <f t="shared" si="97"/>
        <v>1</v>
      </c>
      <c r="R526" s="2997">
        <f t="shared" ca="1" si="98"/>
        <v>17260</v>
      </c>
      <c r="S526" s="2962">
        <f t="shared" ca="1" si="99"/>
        <v>94</v>
      </c>
    </row>
    <row r="527" spans="1:19">
      <c r="A527" s="2992" t="str">
        <f>Sheet1!F508</f>
        <v>4-941</v>
      </c>
      <c r="B527" s="2992">
        <f>Sheet1!G508</f>
        <v>48.86</v>
      </c>
      <c r="C527" s="2996">
        <f t="shared" si="90"/>
        <v>1</v>
      </c>
      <c r="D527" s="2994"/>
      <c r="E527" s="2996">
        <f t="shared" si="91"/>
        <v>1</v>
      </c>
      <c r="F527" s="2994"/>
      <c r="G527" s="2996">
        <f t="shared" si="92"/>
        <v>1</v>
      </c>
      <c r="H527" s="2994"/>
      <c r="I527" s="2996">
        <f t="shared" si="93"/>
        <v>1</v>
      </c>
      <c r="J527" s="2994"/>
      <c r="K527" s="2996">
        <f t="shared" si="94"/>
        <v>1</v>
      </c>
      <c r="L527" s="2994"/>
      <c r="M527" s="2996">
        <f t="shared" si="95"/>
        <v>1</v>
      </c>
      <c r="N527" s="2994"/>
      <c r="O527" s="2996">
        <f t="shared" si="96"/>
        <v>1</v>
      </c>
      <c r="P527" s="2994"/>
      <c r="Q527" s="2996">
        <f t="shared" si="97"/>
        <v>1</v>
      </c>
      <c r="R527" s="2997">
        <f t="shared" ca="1" si="98"/>
        <v>17260</v>
      </c>
      <c r="S527" s="2962">
        <f t="shared" ca="1" si="99"/>
        <v>84</v>
      </c>
    </row>
    <row r="528" spans="1:19">
      <c r="A528" s="2992" t="str">
        <f>Sheet1!F509</f>
        <v>4-942</v>
      </c>
      <c r="B528" s="2992">
        <f>Sheet1!G509</f>
        <v>48.86</v>
      </c>
      <c r="C528" s="2996">
        <f t="shared" si="90"/>
        <v>1</v>
      </c>
      <c r="D528" s="2994"/>
      <c r="E528" s="2996">
        <f t="shared" si="91"/>
        <v>1</v>
      </c>
      <c r="F528" s="2994"/>
      <c r="G528" s="2996">
        <f t="shared" si="92"/>
        <v>1</v>
      </c>
      <c r="H528" s="2994"/>
      <c r="I528" s="2996">
        <f t="shared" si="93"/>
        <v>1</v>
      </c>
      <c r="J528" s="2994"/>
      <c r="K528" s="2996">
        <f t="shared" si="94"/>
        <v>1</v>
      </c>
      <c r="L528" s="2994"/>
      <c r="M528" s="2996">
        <f t="shared" si="95"/>
        <v>1</v>
      </c>
      <c r="N528" s="2994"/>
      <c r="O528" s="2996">
        <f t="shared" si="96"/>
        <v>1</v>
      </c>
      <c r="P528" s="2994"/>
      <c r="Q528" s="2996">
        <f t="shared" si="97"/>
        <v>1</v>
      </c>
      <c r="R528" s="2997">
        <f t="shared" ca="1" si="98"/>
        <v>17260</v>
      </c>
      <c r="S528" s="2962">
        <f t="shared" ca="1" si="99"/>
        <v>84</v>
      </c>
    </row>
    <row r="529" spans="1:19">
      <c r="A529" s="2992" t="str">
        <f>Sheet1!F510</f>
        <v>4-943</v>
      </c>
      <c r="B529" s="2992">
        <f>Sheet1!G510</f>
        <v>48.86</v>
      </c>
      <c r="C529" s="2996">
        <f t="shared" si="90"/>
        <v>1</v>
      </c>
      <c r="D529" s="2994"/>
      <c r="E529" s="2996">
        <f t="shared" si="91"/>
        <v>1</v>
      </c>
      <c r="F529" s="2994"/>
      <c r="G529" s="2996">
        <f t="shared" si="92"/>
        <v>1</v>
      </c>
      <c r="H529" s="2994"/>
      <c r="I529" s="2996">
        <f t="shared" si="93"/>
        <v>1</v>
      </c>
      <c r="J529" s="2994"/>
      <c r="K529" s="2996">
        <f t="shared" si="94"/>
        <v>1</v>
      </c>
      <c r="L529" s="2994"/>
      <c r="M529" s="2996">
        <f t="shared" si="95"/>
        <v>1</v>
      </c>
      <c r="N529" s="2994"/>
      <c r="O529" s="2996">
        <f t="shared" si="96"/>
        <v>1</v>
      </c>
      <c r="P529" s="2994"/>
      <c r="Q529" s="2996">
        <f t="shared" si="97"/>
        <v>1</v>
      </c>
      <c r="R529" s="2997">
        <f t="shared" ca="1" si="98"/>
        <v>17260</v>
      </c>
      <c r="S529" s="2962">
        <f t="shared" ca="1" si="99"/>
        <v>84</v>
      </c>
    </row>
    <row r="530" spans="1:19">
      <c r="A530" s="2992" t="str">
        <f>Sheet1!F511</f>
        <v>4-944</v>
      </c>
      <c r="B530" s="2992">
        <f>Sheet1!G511</f>
        <v>54.87</v>
      </c>
      <c r="C530" s="2996">
        <f t="shared" si="90"/>
        <v>1</v>
      </c>
      <c r="D530" s="2994"/>
      <c r="E530" s="2996">
        <f t="shared" si="91"/>
        <v>1</v>
      </c>
      <c r="F530" s="2994"/>
      <c r="G530" s="2996">
        <f t="shared" si="92"/>
        <v>1</v>
      </c>
      <c r="H530" s="2994"/>
      <c r="I530" s="2996">
        <f t="shared" si="93"/>
        <v>1</v>
      </c>
      <c r="J530" s="2994"/>
      <c r="K530" s="2996">
        <f t="shared" si="94"/>
        <v>1</v>
      </c>
      <c r="L530" s="2994"/>
      <c r="M530" s="2996">
        <f t="shared" si="95"/>
        <v>1</v>
      </c>
      <c r="N530" s="2994"/>
      <c r="O530" s="2996">
        <f t="shared" si="96"/>
        <v>1</v>
      </c>
      <c r="P530" s="2994"/>
      <c r="Q530" s="2996">
        <f t="shared" si="97"/>
        <v>1</v>
      </c>
      <c r="R530" s="2997">
        <f t="shared" ca="1" si="98"/>
        <v>17260</v>
      </c>
      <c r="S530" s="2962">
        <f t="shared" ca="1" si="99"/>
        <v>95</v>
      </c>
    </row>
    <row r="531" spans="1:19">
      <c r="A531" s="2992" t="str">
        <f>Sheet1!F512</f>
        <v>4-945</v>
      </c>
      <c r="B531" s="2992">
        <f>Sheet1!G512</f>
        <v>88.13</v>
      </c>
      <c r="C531" s="2996">
        <f t="shared" si="90"/>
        <v>1</v>
      </c>
      <c r="D531" s="2994"/>
      <c r="E531" s="2996">
        <f t="shared" si="91"/>
        <v>1</v>
      </c>
      <c r="F531" s="2994"/>
      <c r="G531" s="2996">
        <f t="shared" si="92"/>
        <v>1</v>
      </c>
      <c r="H531" s="2994"/>
      <c r="I531" s="2996">
        <f t="shared" si="93"/>
        <v>1</v>
      </c>
      <c r="J531" s="2994"/>
      <c r="K531" s="2996">
        <f t="shared" si="94"/>
        <v>1</v>
      </c>
      <c r="L531" s="2994"/>
      <c r="M531" s="2996">
        <f t="shared" si="95"/>
        <v>1</v>
      </c>
      <c r="N531" s="2994"/>
      <c r="O531" s="2996">
        <f t="shared" si="96"/>
        <v>1</v>
      </c>
      <c r="P531" s="2994"/>
      <c r="Q531" s="2996">
        <f t="shared" si="97"/>
        <v>1</v>
      </c>
      <c r="R531" s="2997">
        <f t="shared" ca="1" si="98"/>
        <v>17260</v>
      </c>
      <c r="S531" s="2962">
        <f t="shared" ca="1" si="99"/>
        <v>152</v>
      </c>
    </row>
    <row r="532" spans="1:19">
      <c r="A532" s="2992" t="str">
        <f>Sheet1!F513</f>
        <v>1-1001</v>
      </c>
      <c r="B532" s="2992">
        <f>Sheet1!G513</f>
        <v>186.33</v>
      </c>
      <c r="C532" s="2996">
        <f t="shared" si="90"/>
        <v>0.99</v>
      </c>
      <c r="D532" s="2994"/>
      <c r="E532" s="2996">
        <f t="shared" si="91"/>
        <v>1</v>
      </c>
      <c r="F532" s="2994"/>
      <c r="G532" s="2996">
        <f t="shared" si="92"/>
        <v>1</v>
      </c>
      <c r="H532" s="2994"/>
      <c r="I532" s="2996">
        <f t="shared" si="93"/>
        <v>1</v>
      </c>
      <c r="J532" s="2994"/>
      <c r="K532" s="2996">
        <f t="shared" si="94"/>
        <v>1</v>
      </c>
      <c r="L532" s="2994"/>
      <c r="M532" s="2996">
        <f t="shared" si="95"/>
        <v>1</v>
      </c>
      <c r="N532" s="2994"/>
      <c r="O532" s="2996">
        <f t="shared" si="96"/>
        <v>1</v>
      </c>
      <c r="P532" s="2994"/>
      <c r="Q532" s="2996">
        <f t="shared" si="97"/>
        <v>1</v>
      </c>
      <c r="R532" s="2997">
        <f t="shared" ca="1" si="98"/>
        <v>17087</v>
      </c>
      <c r="S532" s="2962">
        <f t="shared" ca="1" si="99"/>
        <v>318</v>
      </c>
    </row>
    <row r="533" spans="1:19">
      <c r="A533" s="2992" t="str">
        <f>Sheet1!F514</f>
        <v>1-1002</v>
      </c>
      <c r="B533" s="2992">
        <f>Sheet1!G514</f>
        <v>188.39</v>
      </c>
      <c r="C533" s="2996">
        <f t="shared" si="90"/>
        <v>0.99</v>
      </c>
      <c r="D533" s="2994"/>
      <c r="E533" s="2996">
        <f t="shared" si="91"/>
        <v>1</v>
      </c>
      <c r="F533" s="2994"/>
      <c r="G533" s="2996">
        <f t="shared" si="92"/>
        <v>1</v>
      </c>
      <c r="H533" s="2994"/>
      <c r="I533" s="2996">
        <f t="shared" si="93"/>
        <v>1</v>
      </c>
      <c r="J533" s="2994"/>
      <c r="K533" s="2996">
        <f t="shared" si="94"/>
        <v>1</v>
      </c>
      <c r="L533" s="2994"/>
      <c r="M533" s="2996">
        <f t="shared" si="95"/>
        <v>1</v>
      </c>
      <c r="N533" s="2994"/>
      <c r="O533" s="2996">
        <f t="shared" si="96"/>
        <v>1</v>
      </c>
      <c r="P533" s="2994"/>
      <c r="Q533" s="2996">
        <f t="shared" si="97"/>
        <v>1</v>
      </c>
      <c r="R533" s="2997">
        <f t="shared" ca="1" si="98"/>
        <v>17087</v>
      </c>
      <c r="S533" s="2962">
        <f t="shared" ca="1" si="99"/>
        <v>322</v>
      </c>
    </row>
    <row r="534" spans="1:19">
      <c r="A534" s="2992" t="str">
        <f>Sheet1!F515</f>
        <v>1-1003</v>
      </c>
      <c r="B534" s="2992">
        <f>Sheet1!G515</f>
        <v>188.39</v>
      </c>
      <c r="C534" s="2996">
        <f t="shared" si="90"/>
        <v>0.99</v>
      </c>
      <c r="D534" s="2994"/>
      <c r="E534" s="2996">
        <f t="shared" si="91"/>
        <v>1</v>
      </c>
      <c r="F534" s="2994"/>
      <c r="G534" s="2996">
        <f t="shared" si="92"/>
        <v>1</v>
      </c>
      <c r="H534" s="2994"/>
      <c r="I534" s="2996">
        <f t="shared" si="93"/>
        <v>1</v>
      </c>
      <c r="J534" s="2994"/>
      <c r="K534" s="2996">
        <f t="shared" si="94"/>
        <v>1</v>
      </c>
      <c r="L534" s="2994"/>
      <c r="M534" s="2996">
        <f t="shared" si="95"/>
        <v>1</v>
      </c>
      <c r="N534" s="2994"/>
      <c r="O534" s="2996">
        <f t="shared" si="96"/>
        <v>1</v>
      </c>
      <c r="P534" s="2994"/>
      <c r="Q534" s="2996">
        <f t="shared" si="97"/>
        <v>1</v>
      </c>
      <c r="R534" s="2997">
        <f t="shared" ca="1" si="98"/>
        <v>17087</v>
      </c>
      <c r="S534" s="2962">
        <f t="shared" ca="1" si="99"/>
        <v>322</v>
      </c>
    </row>
    <row r="535" spans="1:19">
      <c r="A535" s="2992" t="str">
        <f>Sheet1!F516</f>
        <v>1-1004</v>
      </c>
      <c r="B535" s="2992">
        <f>Sheet1!G516</f>
        <v>188.39</v>
      </c>
      <c r="C535" s="2996">
        <f t="shared" si="90"/>
        <v>0.99</v>
      </c>
      <c r="D535" s="2994"/>
      <c r="E535" s="2996">
        <f t="shared" si="91"/>
        <v>1</v>
      </c>
      <c r="F535" s="2994"/>
      <c r="G535" s="2996">
        <f t="shared" si="92"/>
        <v>1</v>
      </c>
      <c r="H535" s="2994"/>
      <c r="I535" s="2996">
        <f t="shared" si="93"/>
        <v>1</v>
      </c>
      <c r="J535" s="2994"/>
      <c r="K535" s="2996">
        <f t="shared" si="94"/>
        <v>1</v>
      </c>
      <c r="L535" s="2994"/>
      <c r="M535" s="2996">
        <f t="shared" si="95"/>
        <v>1</v>
      </c>
      <c r="N535" s="2994"/>
      <c r="O535" s="2996">
        <f t="shared" si="96"/>
        <v>1</v>
      </c>
      <c r="P535" s="2994"/>
      <c r="Q535" s="2996">
        <f t="shared" si="97"/>
        <v>1</v>
      </c>
      <c r="R535" s="2997">
        <f t="shared" ca="1" si="98"/>
        <v>17087</v>
      </c>
      <c r="S535" s="2962">
        <f t="shared" ca="1" si="99"/>
        <v>322</v>
      </c>
    </row>
    <row r="536" spans="1:19">
      <c r="A536" s="2992" t="str">
        <f>Sheet1!F517</f>
        <v>1-1005</v>
      </c>
      <c r="B536" s="2992">
        <f>Sheet1!G517</f>
        <v>188.39</v>
      </c>
      <c r="C536" s="2996">
        <f t="shared" si="90"/>
        <v>0.99</v>
      </c>
      <c r="D536" s="2994"/>
      <c r="E536" s="2996">
        <f t="shared" si="91"/>
        <v>1</v>
      </c>
      <c r="F536" s="2994"/>
      <c r="G536" s="2996">
        <f t="shared" si="92"/>
        <v>1</v>
      </c>
      <c r="H536" s="2994"/>
      <c r="I536" s="2996">
        <f t="shared" si="93"/>
        <v>1</v>
      </c>
      <c r="J536" s="2994"/>
      <c r="K536" s="2996">
        <f t="shared" si="94"/>
        <v>1</v>
      </c>
      <c r="L536" s="2994"/>
      <c r="M536" s="2996">
        <f t="shared" si="95"/>
        <v>1</v>
      </c>
      <c r="N536" s="2994"/>
      <c r="O536" s="2996">
        <f t="shared" si="96"/>
        <v>1</v>
      </c>
      <c r="P536" s="2994"/>
      <c r="Q536" s="2996">
        <f t="shared" si="97"/>
        <v>1</v>
      </c>
      <c r="R536" s="2997">
        <f t="shared" ca="1" si="98"/>
        <v>17087</v>
      </c>
      <c r="S536" s="2962">
        <f t="shared" ca="1" si="99"/>
        <v>322</v>
      </c>
    </row>
    <row r="537" spans="1:19">
      <c r="A537" s="2992" t="str">
        <f>Sheet1!F518</f>
        <v>1-1006</v>
      </c>
      <c r="B537" s="2992">
        <f>Sheet1!G518</f>
        <v>188.39</v>
      </c>
      <c r="C537" s="2996">
        <f t="shared" si="90"/>
        <v>0.99</v>
      </c>
      <c r="D537" s="2994"/>
      <c r="E537" s="2996">
        <f t="shared" si="91"/>
        <v>1</v>
      </c>
      <c r="F537" s="2994"/>
      <c r="G537" s="2996">
        <f t="shared" si="92"/>
        <v>1</v>
      </c>
      <c r="H537" s="2994"/>
      <c r="I537" s="2996">
        <f t="shared" si="93"/>
        <v>1</v>
      </c>
      <c r="J537" s="2994"/>
      <c r="K537" s="2996">
        <f t="shared" si="94"/>
        <v>1</v>
      </c>
      <c r="L537" s="2994"/>
      <c r="M537" s="2996">
        <f t="shared" si="95"/>
        <v>1</v>
      </c>
      <c r="N537" s="2994"/>
      <c r="O537" s="2996">
        <f t="shared" si="96"/>
        <v>1</v>
      </c>
      <c r="P537" s="2994"/>
      <c r="Q537" s="2996">
        <f t="shared" si="97"/>
        <v>1</v>
      </c>
      <c r="R537" s="2997">
        <f t="shared" ca="1" si="98"/>
        <v>17087</v>
      </c>
      <c r="S537" s="2962">
        <f t="shared" ca="1" si="99"/>
        <v>322</v>
      </c>
    </row>
    <row r="538" spans="1:19">
      <c r="A538" s="2992" t="str">
        <f>Sheet1!F519</f>
        <v>1-1007</v>
      </c>
      <c r="B538" s="2992">
        <f>Sheet1!G519</f>
        <v>187.53</v>
      </c>
      <c r="C538" s="2996">
        <f t="shared" si="90"/>
        <v>0.99</v>
      </c>
      <c r="D538" s="2994"/>
      <c r="E538" s="2996">
        <f t="shared" si="91"/>
        <v>1</v>
      </c>
      <c r="F538" s="2994"/>
      <c r="G538" s="2996">
        <f t="shared" si="92"/>
        <v>1</v>
      </c>
      <c r="H538" s="2994"/>
      <c r="I538" s="2996">
        <f t="shared" si="93"/>
        <v>1</v>
      </c>
      <c r="J538" s="2994"/>
      <c r="K538" s="2996">
        <f t="shared" si="94"/>
        <v>1</v>
      </c>
      <c r="L538" s="2994"/>
      <c r="M538" s="2996">
        <f t="shared" si="95"/>
        <v>1</v>
      </c>
      <c r="N538" s="2994"/>
      <c r="O538" s="2996">
        <f t="shared" si="96"/>
        <v>1</v>
      </c>
      <c r="P538" s="2994"/>
      <c r="Q538" s="2996">
        <f t="shared" si="97"/>
        <v>1</v>
      </c>
      <c r="R538" s="2997">
        <f t="shared" ca="1" si="98"/>
        <v>17087</v>
      </c>
      <c r="S538" s="2962">
        <f t="shared" ca="1" si="99"/>
        <v>320</v>
      </c>
    </row>
    <row r="539" spans="1:19">
      <c r="A539" s="2992" t="str">
        <f>Sheet1!F520</f>
        <v>1-1008</v>
      </c>
      <c r="B539" s="2992">
        <f>Sheet1!G520</f>
        <v>210.19</v>
      </c>
      <c r="C539" s="2996">
        <f t="shared" si="90"/>
        <v>0.98</v>
      </c>
      <c r="D539" s="2994"/>
      <c r="E539" s="2996">
        <f t="shared" si="91"/>
        <v>1</v>
      </c>
      <c r="F539" s="2994"/>
      <c r="G539" s="2996">
        <f t="shared" si="92"/>
        <v>1</v>
      </c>
      <c r="H539" s="2994"/>
      <c r="I539" s="2996">
        <f t="shared" si="93"/>
        <v>1</v>
      </c>
      <c r="J539" s="2994"/>
      <c r="K539" s="2996">
        <f t="shared" si="94"/>
        <v>1</v>
      </c>
      <c r="L539" s="2994"/>
      <c r="M539" s="2996">
        <f t="shared" si="95"/>
        <v>1</v>
      </c>
      <c r="N539" s="2994"/>
      <c r="O539" s="2996">
        <f t="shared" si="96"/>
        <v>1</v>
      </c>
      <c r="P539" s="2994"/>
      <c r="Q539" s="2996">
        <f t="shared" si="97"/>
        <v>1</v>
      </c>
      <c r="R539" s="2997">
        <f t="shared" ca="1" si="98"/>
        <v>16915</v>
      </c>
      <c r="S539" s="2962">
        <f t="shared" ca="1" si="99"/>
        <v>356</v>
      </c>
    </row>
    <row r="540" spans="1:19">
      <c r="A540" s="2992" t="str">
        <f>Sheet1!F521</f>
        <v>1-1009</v>
      </c>
      <c r="B540" s="2992">
        <f>Sheet1!G521</f>
        <v>169.2</v>
      </c>
      <c r="C540" s="2996">
        <f t="shared" si="90"/>
        <v>0.99</v>
      </c>
      <c r="D540" s="2994"/>
      <c r="E540" s="2996">
        <f t="shared" si="91"/>
        <v>1</v>
      </c>
      <c r="F540" s="2994"/>
      <c r="G540" s="2996">
        <f t="shared" si="92"/>
        <v>1</v>
      </c>
      <c r="H540" s="2994"/>
      <c r="I540" s="2996">
        <f t="shared" si="93"/>
        <v>1</v>
      </c>
      <c r="J540" s="2994"/>
      <c r="K540" s="2996">
        <f t="shared" si="94"/>
        <v>1</v>
      </c>
      <c r="L540" s="2994"/>
      <c r="M540" s="2996">
        <f t="shared" si="95"/>
        <v>1</v>
      </c>
      <c r="N540" s="2994"/>
      <c r="O540" s="2996">
        <f t="shared" si="96"/>
        <v>1</v>
      </c>
      <c r="P540" s="2994"/>
      <c r="Q540" s="2996">
        <f t="shared" si="97"/>
        <v>1</v>
      </c>
      <c r="R540" s="2997">
        <f t="shared" ca="1" si="98"/>
        <v>17087</v>
      </c>
      <c r="S540" s="2962">
        <f t="shared" ca="1" si="99"/>
        <v>289</v>
      </c>
    </row>
    <row r="541" spans="1:19">
      <c r="A541" s="2992" t="str">
        <f>Sheet1!F522</f>
        <v>1-1010</v>
      </c>
      <c r="B541" s="2992">
        <f>Sheet1!G522</f>
        <v>178.35</v>
      </c>
      <c r="C541" s="2996">
        <f t="shared" si="90"/>
        <v>0.99</v>
      </c>
      <c r="D541" s="2994"/>
      <c r="E541" s="2996">
        <f t="shared" si="91"/>
        <v>1</v>
      </c>
      <c r="F541" s="2994"/>
      <c r="G541" s="2996">
        <f t="shared" si="92"/>
        <v>1</v>
      </c>
      <c r="H541" s="2994"/>
      <c r="I541" s="2996">
        <f t="shared" si="93"/>
        <v>1</v>
      </c>
      <c r="J541" s="2994"/>
      <c r="K541" s="2996">
        <f t="shared" si="94"/>
        <v>1</v>
      </c>
      <c r="L541" s="2994"/>
      <c r="M541" s="2996">
        <f t="shared" si="95"/>
        <v>1</v>
      </c>
      <c r="N541" s="2994"/>
      <c r="O541" s="2996">
        <f t="shared" si="96"/>
        <v>1</v>
      </c>
      <c r="P541" s="2994"/>
      <c r="Q541" s="2996">
        <f t="shared" si="97"/>
        <v>1</v>
      </c>
      <c r="R541" s="2997">
        <f t="shared" ca="1" si="98"/>
        <v>17087</v>
      </c>
      <c r="S541" s="2962">
        <f t="shared" ca="1" si="99"/>
        <v>305</v>
      </c>
    </row>
    <row r="542" spans="1:19">
      <c r="A542" s="2992" t="str">
        <f>Sheet1!F523</f>
        <v>1-1011</v>
      </c>
      <c r="B542" s="2992">
        <f>Sheet1!G523</f>
        <v>208.92</v>
      </c>
      <c r="C542" s="2996">
        <f t="shared" si="90"/>
        <v>0.98</v>
      </c>
      <c r="D542" s="2994"/>
      <c r="E542" s="2996">
        <f t="shared" si="91"/>
        <v>1</v>
      </c>
      <c r="F542" s="2994"/>
      <c r="G542" s="2996">
        <f t="shared" si="92"/>
        <v>1</v>
      </c>
      <c r="H542" s="2994"/>
      <c r="I542" s="2996">
        <f t="shared" si="93"/>
        <v>1</v>
      </c>
      <c r="J542" s="2994"/>
      <c r="K542" s="2996">
        <f t="shared" si="94"/>
        <v>1</v>
      </c>
      <c r="L542" s="2994"/>
      <c r="M542" s="2996">
        <f t="shared" si="95"/>
        <v>1</v>
      </c>
      <c r="N542" s="2994"/>
      <c r="O542" s="2996">
        <f t="shared" si="96"/>
        <v>1</v>
      </c>
      <c r="P542" s="2994"/>
      <c r="Q542" s="2996">
        <f t="shared" si="97"/>
        <v>1</v>
      </c>
      <c r="R542" s="2997">
        <f t="shared" ca="1" si="98"/>
        <v>16915</v>
      </c>
      <c r="S542" s="2962">
        <f t="shared" ca="1" si="99"/>
        <v>353</v>
      </c>
    </row>
    <row r="543" spans="1:19">
      <c r="A543" s="2992" t="str">
        <f>Sheet1!F524</f>
        <v>1-1012</v>
      </c>
      <c r="B543" s="2992">
        <f>Sheet1!G524</f>
        <v>188.35</v>
      </c>
      <c r="C543" s="2996">
        <f t="shared" si="90"/>
        <v>0.99</v>
      </c>
      <c r="D543" s="2994"/>
      <c r="E543" s="2996">
        <f t="shared" si="91"/>
        <v>1</v>
      </c>
      <c r="F543" s="2994"/>
      <c r="G543" s="2996">
        <f t="shared" si="92"/>
        <v>1</v>
      </c>
      <c r="H543" s="2994"/>
      <c r="I543" s="2996">
        <f t="shared" si="93"/>
        <v>1</v>
      </c>
      <c r="J543" s="2994"/>
      <c r="K543" s="2996">
        <f t="shared" si="94"/>
        <v>1</v>
      </c>
      <c r="L543" s="2994"/>
      <c r="M543" s="2996">
        <f t="shared" si="95"/>
        <v>1</v>
      </c>
      <c r="N543" s="2994"/>
      <c r="O543" s="2996">
        <f t="shared" si="96"/>
        <v>1</v>
      </c>
      <c r="P543" s="2994"/>
      <c r="Q543" s="2996">
        <f t="shared" si="97"/>
        <v>1</v>
      </c>
      <c r="R543" s="2997">
        <f t="shared" ca="1" si="98"/>
        <v>17087</v>
      </c>
      <c r="S543" s="2962">
        <f t="shared" ca="1" si="99"/>
        <v>322</v>
      </c>
    </row>
    <row r="544" spans="1:19">
      <c r="A544" s="2992" t="str">
        <f>Sheet1!F525</f>
        <v>1-1013</v>
      </c>
      <c r="B544" s="2992">
        <f>Sheet1!G525</f>
        <v>188.39</v>
      </c>
      <c r="C544" s="2996">
        <f t="shared" si="90"/>
        <v>0.99</v>
      </c>
      <c r="D544" s="2994"/>
      <c r="E544" s="2996">
        <f t="shared" si="91"/>
        <v>1</v>
      </c>
      <c r="F544" s="2994"/>
      <c r="G544" s="2996">
        <f t="shared" si="92"/>
        <v>1</v>
      </c>
      <c r="H544" s="2994"/>
      <c r="I544" s="2996">
        <f t="shared" si="93"/>
        <v>1</v>
      </c>
      <c r="J544" s="2994"/>
      <c r="K544" s="2996">
        <f t="shared" si="94"/>
        <v>1</v>
      </c>
      <c r="L544" s="2994"/>
      <c r="M544" s="2996">
        <f t="shared" si="95"/>
        <v>1</v>
      </c>
      <c r="N544" s="2994"/>
      <c r="O544" s="2996">
        <f t="shared" si="96"/>
        <v>1</v>
      </c>
      <c r="P544" s="2994"/>
      <c r="Q544" s="2996">
        <f t="shared" si="97"/>
        <v>1</v>
      </c>
      <c r="R544" s="2997">
        <f t="shared" ca="1" si="98"/>
        <v>17087</v>
      </c>
      <c r="S544" s="2962">
        <f t="shared" ca="1" si="99"/>
        <v>322</v>
      </c>
    </row>
    <row r="545" spans="1:19">
      <c r="A545" s="2992" t="str">
        <f>Sheet1!F526</f>
        <v>1-1014</v>
      </c>
      <c r="B545" s="2992">
        <f>Sheet1!G526</f>
        <v>188.39</v>
      </c>
      <c r="C545" s="2996">
        <f t="shared" si="90"/>
        <v>0.99</v>
      </c>
      <c r="D545" s="2994"/>
      <c r="E545" s="2996">
        <f t="shared" si="91"/>
        <v>1</v>
      </c>
      <c r="F545" s="2994"/>
      <c r="G545" s="2996">
        <f t="shared" si="92"/>
        <v>1</v>
      </c>
      <c r="H545" s="2994"/>
      <c r="I545" s="2996">
        <f t="shared" si="93"/>
        <v>1</v>
      </c>
      <c r="J545" s="2994"/>
      <c r="K545" s="2996">
        <f t="shared" si="94"/>
        <v>1</v>
      </c>
      <c r="L545" s="2994"/>
      <c r="M545" s="2996">
        <f t="shared" si="95"/>
        <v>1</v>
      </c>
      <c r="N545" s="2994"/>
      <c r="O545" s="2996">
        <f t="shared" si="96"/>
        <v>1</v>
      </c>
      <c r="P545" s="2994"/>
      <c r="Q545" s="2996">
        <f t="shared" si="97"/>
        <v>1</v>
      </c>
      <c r="R545" s="2997">
        <f t="shared" ca="1" si="98"/>
        <v>17087</v>
      </c>
      <c r="S545" s="2962">
        <f t="shared" ca="1" si="99"/>
        <v>322</v>
      </c>
    </row>
    <row r="546" spans="1:19">
      <c r="A546" s="2992" t="str">
        <f>Sheet1!F527</f>
        <v>1-1015</v>
      </c>
      <c r="B546" s="2992">
        <f>Sheet1!G527</f>
        <v>188.39</v>
      </c>
      <c r="C546" s="2996">
        <f t="shared" si="90"/>
        <v>0.99</v>
      </c>
      <c r="D546" s="2994"/>
      <c r="E546" s="2996">
        <f t="shared" si="91"/>
        <v>1</v>
      </c>
      <c r="F546" s="2994"/>
      <c r="G546" s="2996">
        <f t="shared" si="92"/>
        <v>1</v>
      </c>
      <c r="H546" s="2994"/>
      <c r="I546" s="2996">
        <f t="shared" si="93"/>
        <v>1</v>
      </c>
      <c r="J546" s="2994"/>
      <c r="K546" s="2996">
        <f t="shared" si="94"/>
        <v>1</v>
      </c>
      <c r="L546" s="2994"/>
      <c r="M546" s="2996">
        <f t="shared" si="95"/>
        <v>1</v>
      </c>
      <c r="N546" s="2994"/>
      <c r="O546" s="2996">
        <f t="shared" si="96"/>
        <v>1</v>
      </c>
      <c r="P546" s="2994"/>
      <c r="Q546" s="2996">
        <f t="shared" si="97"/>
        <v>1</v>
      </c>
      <c r="R546" s="2997">
        <f t="shared" ca="1" si="98"/>
        <v>17087</v>
      </c>
      <c r="S546" s="2962">
        <f t="shared" ca="1" si="99"/>
        <v>322</v>
      </c>
    </row>
    <row r="547" spans="1:19">
      <c r="A547" s="2992" t="str">
        <f>Sheet1!F528</f>
        <v>1-1016</v>
      </c>
      <c r="B547" s="2992">
        <f>Sheet1!G528</f>
        <v>188.39</v>
      </c>
      <c r="C547" s="2996">
        <f t="shared" si="90"/>
        <v>0.99</v>
      </c>
      <c r="D547" s="2994"/>
      <c r="E547" s="2996">
        <f t="shared" si="91"/>
        <v>1</v>
      </c>
      <c r="F547" s="2994"/>
      <c r="G547" s="2996">
        <f t="shared" si="92"/>
        <v>1</v>
      </c>
      <c r="H547" s="2994"/>
      <c r="I547" s="2996">
        <f t="shared" si="93"/>
        <v>1</v>
      </c>
      <c r="J547" s="2994"/>
      <c r="K547" s="2996">
        <f t="shared" si="94"/>
        <v>1</v>
      </c>
      <c r="L547" s="2994"/>
      <c r="M547" s="2996">
        <f t="shared" si="95"/>
        <v>1</v>
      </c>
      <c r="N547" s="2994"/>
      <c r="O547" s="2996">
        <f t="shared" si="96"/>
        <v>1</v>
      </c>
      <c r="P547" s="2994"/>
      <c r="Q547" s="2996">
        <f t="shared" si="97"/>
        <v>1</v>
      </c>
      <c r="R547" s="2997">
        <f t="shared" ca="1" si="98"/>
        <v>17087</v>
      </c>
      <c r="S547" s="2962">
        <f t="shared" ca="1" si="99"/>
        <v>322</v>
      </c>
    </row>
    <row r="548" spans="1:19">
      <c r="A548" s="2992" t="str">
        <f>Sheet1!F529</f>
        <v>1-1017</v>
      </c>
      <c r="B548" s="2992">
        <f>Sheet1!G529</f>
        <v>188.39</v>
      </c>
      <c r="C548" s="2996">
        <f t="shared" si="90"/>
        <v>0.99</v>
      </c>
      <c r="D548" s="2994"/>
      <c r="E548" s="2996">
        <f t="shared" si="91"/>
        <v>1</v>
      </c>
      <c r="F548" s="2994"/>
      <c r="G548" s="2996">
        <f t="shared" si="92"/>
        <v>1</v>
      </c>
      <c r="H548" s="2994"/>
      <c r="I548" s="2996">
        <f t="shared" si="93"/>
        <v>1</v>
      </c>
      <c r="J548" s="2994"/>
      <c r="K548" s="2996">
        <f t="shared" si="94"/>
        <v>1</v>
      </c>
      <c r="L548" s="2994"/>
      <c r="M548" s="2996">
        <f t="shared" si="95"/>
        <v>1</v>
      </c>
      <c r="N548" s="2994"/>
      <c r="O548" s="2996">
        <f t="shared" si="96"/>
        <v>1</v>
      </c>
      <c r="P548" s="2994"/>
      <c r="Q548" s="2996">
        <f t="shared" si="97"/>
        <v>1</v>
      </c>
      <c r="R548" s="2997">
        <f t="shared" ca="1" si="98"/>
        <v>17087</v>
      </c>
      <c r="S548" s="2962">
        <f t="shared" ca="1" si="99"/>
        <v>322</v>
      </c>
    </row>
    <row r="549" spans="1:19">
      <c r="A549" s="2992" t="str">
        <f>Sheet1!F530</f>
        <v>1-1018</v>
      </c>
      <c r="B549" s="2992">
        <f>Sheet1!G530</f>
        <v>279.91000000000003</v>
      </c>
      <c r="C549" s="2996">
        <f t="shared" si="90"/>
        <v>0.98</v>
      </c>
      <c r="D549" s="2994"/>
      <c r="E549" s="2996">
        <f t="shared" si="91"/>
        <v>1</v>
      </c>
      <c r="F549" s="2994"/>
      <c r="G549" s="2996">
        <f t="shared" si="92"/>
        <v>1</v>
      </c>
      <c r="H549" s="2994"/>
      <c r="I549" s="2996">
        <f t="shared" si="93"/>
        <v>1</v>
      </c>
      <c r="J549" s="2994"/>
      <c r="K549" s="2996">
        <f t="shared" si="94"/>
        <v>1</v>
      </c>
      <c r="L549" s="2994"/>
      <c r="M549" s="2996">
        <f t="shared" si="95"/>
        <v>1</v>
      </c>
      <c r="N549" s="2994"/>
      <c r="O549" s="2996">
        <f t="shared" si="96"/>
        <v>1</v>
      </c>
      <c r="P549" s="2994"/>
      <c r="Q549" s="2996">
        <f t="shared" si="97"/>
        <v>1</v>
      </c>
      <c r="R549" s="2997">
        <f t="shared" ca="1" si="98"/>
        <v>16915</v>
      </c>
      <c r="S549" s="2962">
        <f t="shared" ca="1" si="99"/>
        <v>473</v>
      </c>
    </row>
    <row r="550" spans="1:19">
      <c r="A550" s="2992" t="str">
        <f>Sheet1!F531</f>
        <v>1-1019</v>
      </c>
      <c r="B550" s="2992">
        <f>Sheet1!G531</f>
        <v>175.75</v>
      </c>
      <c r="C550" s="2996">
        <f t="shared" si="90"/>
        <v>0.99</v>
      </c>
      <c r="D550" s="2994"/>
      <c r="E550" s="2996">
        <f t="shared" si="91"/>
        <v>1</v>
      </c>
      <c r="F550" s="2994"/>
      <c r="G550" s="2996">
        <f t="shared" si="92"/>
        <v>1</v>
      </c>
      <c r="H550" s="2994"/>
      <c r="I550" s="2996">
        <f t="shared" si="93"/>
        <v>1</v>
      </c>
      <c r="J550" s="2994"/>
      <c r="K550" s="2996">
        <f t="shared" si="94"/>
        <v>1</v>
      </c>
      <c r="L550" s="2994"/>
      <c r="M550" s="2996">
        <f t="shared" si="95"/>
        <v>1</v>
      </c>
      <c r="N550" s="2994"/>
      <c r="O550" s="2996">
        <f t="shared" si="96"/>
        <v>1</v>
      </c>
      <c r="P550" s="2994"/>
      <c r="Q550" s="2996">
        <f t="shared" si="97"/>
        <v>1</v>
      </c>
      <c r="R550" s="2997">
        <f t="shared" ca="1" si="98"/>
        <v>17087</v>
      </c>
      <c r="S550" s="2962">
        <f t="shared" ca="1" si="99"/>
        <v>300</v>
      </c>
    </row>
    <row r="551" spans="1:19">
      <c r="A551" s="2992" t="str">
        <f>Sheet1!F532</f>
        <v>1-1020</v>
      </c>
      <c r="B551" s="2992">
        <f>Sheet1!G532</f>
        <v>188.32</v>
      </c>
      <c r="C551" s="2996">
        <f t="shared" si="90"/>
        <v>0.99</v>
      </c>
      <c r="D551" s="2994"/>
      <c r="E551" s="2996">
        <f t="shared" si="91"/>
        <v>1</v>
      </c>
      <c r="F551" s="2994"/>
      <c r="G551" s="2996">
        <f t="shared" si="92"/>
        <v>1</v>
      </c>
      <c r="H551" s="2994"/>
      <c r="I551" s="2996">
        <f t="shared" si="93"/>
        <v>1</v>
      </c>
      <c r="J551" s="2994"/>
      <c r="K551" s="2996">
        <f t="shared" si="94"/>
        <v>1</v>
      </c>
      <c r="L551" s="2994"/>
      <c r="M551" s="2996">
        <f t="shared" si="95"/>
        <v>1</v>
      </c>
      <c r="N551" s="2994"/>
      <c r="O551" s="2996">
        <f t="shared" si="96"/>
        <v>1</v>
      </c>
      <c r="P551" s="2994"/>
      <c r="Q551" s="2996">
        <f t="shared" si="97"/>
        <v>1</v>
      </c>
      <c r="R551" s="2997">
        <f t="shared" ca="1" si="98"/>
        <v>17087</v>
      </c>
      <c r="S551" s="2962">
        <f t="shared" ca="1" si="99"/>
        <v>322</v>
      </c>
    </row>
    <row r="552" spans="1:19">
      <c r="A552" s="2992" t="str">
        <f>Sheet1!F533</f>
        <v>2-1001</v>
      </c>
      <c r="B552" s="2992">
        <f>Sheet1!G533</f>
        <v>210.22</v>
      </c>
      <c r="C552" s="2996">
        <f t="shared" si="90"/>
        <v>0.98</v>
      </c>
      <c r="D552" s="2994"/>
      <c r="E552" s="2996">
        <f t="shared" si="91"/>
        <v>1</v>
      </c>
      <c r="F552" s="2994"/>
      <c r="G552" s="2996">
        <f t="shared" si="92"/>
        <v>1</v>
      </c>
      <c r="H552" s="2994"/>
      <c r="I552" s="2996">
        <f t="shared" si="93"/>
        <v>1</v>
      </c>
      <c r="J552" s="2994"/>
      <c r="K552" s="2996">
        <f t="shared" si="94"/>
        <v>1</v>
      </c>
      <c r="L552" s="2994"/>
      <c r="M552" s="2996">
        <f t="shared" si="95"/>
        <v>1</v>
      </c>
      <c r="N552" s="2994"/>
      <c r="O552" s="2996">
        <f t="shared" si="96"/>
        <v>1</v>
      </c>
      <c r="P552" s="2994"/>
      <c r="Q552" s="2996">
        <f t="shared" si="97"/>
        <v>1</v>
      </c>
      <c r="R552" s="2997">
        <f t="shared" ca="1" si="98"/>
        <v>16915</v>
      </c>
      <c r="S552" s="2962">
        <f t="shared" ca="1" si="99"/>
        <v>356</v>
      </c>
    </row>
    <row r="553" spans="1:19">
      <c r="A553" s="2992" t="str">
        <f>Sheet1!F534</f>
        <v>2-1002</v>
      </c>
      <c r="B553" s="2992">
        <f>Sheet1!G534</f>
        <v>187.56</v>
      </c>
      <c r="C553" s="2996">
        <f t="shared" si="90"/>
        <v>0.99</v>
      </c>
      <c r="D553" s="2994"/>
      <c r="E553" s="2996">
        <f t="shared" si="91"/>
        <v>1</v>
      </c>
      <c r="F553" s="2994"/>
      <c r="G553" s="2996">
        <f t="shared" si="92"/>
        <v>1</v>
      </c>
      <c r="H553" s="2994"/>
      <c r="I553" s="2996">
        <f t="shared" si="93"/>
        <v>1</v>
      </c>
      <c r="J553" s="2994"/>
      <c r="K553" s="2996">
        <f t="shared" si="94"/>
        <v>1</v>
      </c>
      <c r="L553" s="2994"/>
      <c r="M553" s="2996">
        <f t="shared" si="95"/>
        <v>1</v>
      </c>
      <c r="N553" s="2994"/>
      <c r="O553" s="2996">
        <f t="shared" si="96"/>
        <v>1</v>
      </c>
      <c r="P553" s="2994"/>
      <c r="Q553" s="2996">
        <f t="shared" si="97"/>
        <v>1</v>
      </c>
      <c r="R553" s="2997">
        <f t="shared" ca="1" si="98"/>
        <v>17087</v>
      </c>
      <c r="S553" s="2962">
        <f t="shared" ca="1" si="99"/>
        <v>320</v>
      </c>
    </row>
    <row r="554" spans="1:19">
      <c r="A554" s="2992" t="str">
        <f>Sheet1!F535</f>
        <v>2-1003</v>
      </c>
      <c r="B554" s="2992">
        <f>Sheet1!G535</f>
        <v>188.42</v>
      </c>
      <c r="C554" s="2996">
        <f t="shared" si="90"/>
        <v>0.99</v>
      </c>
      <c r="D554" s="2994"/>
      <c r="E554" s="2996">
        <f t="shared" si="91"/>
        <v>1</v>
      </c>
      <c r="F554" s="2994"/>
      <c r="G554" s="2996">
        <f t="shared" si="92"/>
        <v>1</v>
      </c>
      <c r="H554" s="2994"/>
      <c r="I554" s="2996">
        <f t="shared" si="93"/>
        <v>1</v>
      </c>
      <c r="J554" s="2994"/>
      <c r="K554" s="2996">
        <f t="shared" si="94"/>
        <v>1</v>
      </c>
      <c r="L554" s="2994"/>
      <c r="M554" s="2996">
        <f t="shared" si="95"/>
        <v>1</v>
      </c>
      <c r="N554" s="2994"/>
      <c r="O554" s="2996">
        <f t="shared" si="96"/>
        <v>1</v>
      </c>
      <c r="P554" s="2994"/>
      <c r="Q554" s="2996">
        <f t="shared" si="97"/>
        <v>1</v>
      </c>
      <c r="R554" s="2997">
        <f t="shared" ca="1" si="98"/>
        <v>17087</v>
      </c>
      <c r="S554" s="2962">
        <f t="shared" ca="1" si="99"/>
        <v>322</v>
      </c>
    </row>
    <row r="555" spans="1:19">
      <c r="A555" s="2992" t="str">
        <f>Sheet1!F536</f>
        <v>2-1004</v>
      </c>
      <c r="B555" s="2992">
        <f>Sheet1!G536</f>
        <v>188.42</v>
      </c>
      <c r="C555" s="2996">
        <f t="shared" si="90"/>
        <v>0.99</v>
      </c>
      <c r="D555" s="2994"/>
      <c r="E555" s="2996">
        <f t="shared" si="91"/>
        <v>1</v>
      </c>
      <c r="F555" s="2994"/>
      <c r="G555" s="2996">
        <f t="shared" si="92"/>
        <v>1</v>
      </c>
      <c r="H555" s="2994"/>
      <c r="I555" s="2996">
        <f t="shared" si="93"/>
        <v>1</v>
      </c>
      <c r="J555" s="2994"/>
      <c r="K555" s="2996">
        <f t="shared" si="94"/>
        <v>1</v>
      </c>
      <c r="L555" s="2994"/>
      <c r="M555" s="2996">
        <f t="shared" si="95"/>
        <v>1</v>
      </c>
      <c r="N555" s="2994"/>
      <c r="O555" s="2996">
        <f t="shared" si="96"/>
        <v>1</v>
      </c>
      <c r="P555" s="2994"/>
      <c r="Q555" s="2996">
        <f t="shared" si="97"/>
        <v>1</v>
      </c>
      <c r="R555" s="2997">
        <f t="shared" ca="1" si="98"/>
        <v>17087</v>
      </c>
      <c r="S555" s="2962">
        <f t="shared" ca="1" si="99"/>
        <v>322</v>
      </c>
    </row>
    <row r="556" spans="1:19">
      <c r="A556" s="2992" t="str">
        <f>Sheet1!F537</f>
        <v>2-1005</v>
      </c>
      <c r="B556" s="2992">
        <f>Sheet1!G537</f>
        <v>188.42</v>
      </c>
      <c r="C556" s="2996">
        <f t="shared" si="90"/>
        <v>0.99</v>
      </c>
      <c r="D556" s="2994"/>
      <c r="E556" s="2996">
        <f t="shared" si="91"/>
        <v>1</v>
      </c>
      <c r="F556" s="2994"/>
      <c r="G556" s="2996">
        <f t="shared" si="92"/>
        <v>1</v>
      </c>
      <c r="H556" s="2994"/>
      <c r="I556" s="2996">
        <f t="shared" si="93"/>
        <v>1</v>
      </c>
      <c r="J556" s="2994"/>
      <c r="K556" s="2996">
        <f t="shared" si="94"/>
        <v>1</v>
      </c>
      <c r="L556" s="2994"/>
      <c r="M556" s="2996">
        <f t="shared" si="95"/>
        <v>1</v>
      </c>
      <c r="N556" s="2994"/>
      <c r="O556" s="2996">
        <f t="shared" si="96"/>
        <v>1</v>
      </c>
      <c r="P556" s="2994"/>
      <c r="Q556" s="2996">
        <f t="shared" si="97"/>
        <v>1</v>
      </c>
      <c r="R556" s="2997">
        <f t="shared" ca="1" si="98"/>
        <v>17087</v>
      </c>
      <c r="S556" s="2962">
        <f t="shared" ca="1" si="99"/>
        <v>322</v>
      </c>
    </row>
    <row r="557" spans="1:19">
      <c r="A557" s="2992" t="str">
        <f>Sheet1!F538</f>
        <v>2-1006</v>
      </c>
      <c r="B557" s="2992">
        <f>Sheet1!G538</f>
        <v>188.42</v>
      </c>
      <c r="C557" s="2996">
        <f t="shared" si="90"/>
        <v>0.99</v>
      </c>
      <c r="D557" s="2994"/>
      <c r="E557" s="2996">
        <f t="shared" si="91"/>
        <v>1</v>
      </c>
      <c r="F557" s="2994"/>
      <c r="G557" s="2996">
        <f t="shared" si="92"/>
        <v>1</v>
      </c>
      <c r="H557" s="2994"/>
      <c r="I557" s="2996">
        <f t="shared" si="93"/>
        <v>1</v>
      </c>
      <c r="J557" s="2994"/>
      <c r="K557" s="2996">
        <f t="shared" si="94"/>
        <v>1</v>
      </c>
      <c r="L557" s="2994"/>
      <c r="M557" s="2996">
        <f t="shared" si="95"/>
        <v>1</v>
      </c>
      <c r="N557" s="2994"/>
      <c r="O557" s="2996">
        <f t="shared" si="96"/>
        <v>1</v>
      </c>
      <c r="P557" s="2994"/>
      <c r="Q557" s="2996">
        <f t="shared" si="97"/>
        <v>1</v>
      </c>
      <c r="R557" s="2997">
        <f t="shared" ca="1" si="98"/>
        <v>17087</v>
      </c>
      <c r="S557" s="2962">
        <f t="shared" ca="1" si="99"/>
        <v>322</v>
      </c>
    </row>
    <row r="558" spans="1:19">
      <c r="A558" s="2992" t="str">
        <f>Sheet1!F539</f>
        <v>2-1007</v>
      </c>
      <c r="B558" s="2992">
        <f>Sheet1!G539</f>
        <v>188.42</v>
      </c>
      <c r="C558" s="2996">
        <f t="shared" si="90"/>
        <v>0.99</v>
      </c>
      <c r="D558" s="2994"/>
      <c r="E558" s="2996">
        <f t="shared" si="91"/>
        <v>1</v>
      </c>
      <c r="F558" s="2994"/>
      <c r="G558" s="2996">
        <f t="shared" si="92"/>
        <v>1</v>
      </c>
      <c r="H558" s="2994"/>
      <c r="I558" s="2996">
        <f t="shared" si="93"/>
        <v>1</v>
      </c>
      <c r="J558" s="2994"/>
      <c r="K558" s="2996">
        <f t="shared" si="94"/>
        <v>1</v>
      </c>
      <c r="L558" s="2994"/>
      <c r="M558" s="2996">
        <f t="shared" si="95"/>
        <v>1</v>
      </c>
      <c r="N558" s="2994"/>
      <c r="O558" s="2996">
        <f t="shared" si="96"/>
        <v>1</v>
      </c>
      <c r="P558" s="2994"/>
      <c r="Q558" s="2996">
        <f t="shared" si="97"/>
        <v>1</v>
      </c>
      <c r="R558" s="2997">
        <f t="shared" ca="1" si="98"/>
        <v>17087</v>
      </c>
      <c r="S558" s="2962">
        <f t="shared" ca="1" si="99"/>
        <v>322</v>
      </c>
    </row>
    <row r="559" spans="1:19">
      <c r="A559" s="2992" t="str">
        <f>Sheet1!F540</f>
        <v>2-1008</v>
      </c>
      <c r="B559" s="2992">
        <f>Sheet1!G540</f>
        <v>186.36</v>
      </c>
      <c r="C559" s="2996">
        <f t="shared" si="90"/>
        <v>0.99</v>
      </c>
      <c r="D559" s="2994"/>
      <c r="E559" s="2996">
        <f t="shared" si="91"/>
        <v>1</v>
      </c>
      <c r="F559" s="2994"/>
      <c r="G559" s="2996">
        <f t="shared" si="92"/>
        <v>1</v>
      </c>
      <c r="H559" s="2994"/>
      <c r="I559" s="2996">
        <f t="shared" si="93"/>
        <v>1</v>
      </c>
      <c r="J559" s="2994"/>
      <c r="K559" s="2996">
        <f t="shared" si="94"/>
        <v>1</v>
      </c>
      <c r="L559" s="2994"/>
      <c r="M559" s="2996">
        <f t="shared" si="95"/>
        <v>1</v>
      </c>
      <c r="N559" s="2994"/>
      <c r="O559" s="2996">
        <f t="shared" si="96"/>
        <v>1</v>
      </c>
      <c r="P559" s="2994"/>
      <c r="Q559" s="2996">
        <f t="shared" si="97"/>
        <v>1</v>
      </c>
      <c r="R559" s="2997">
        <f t="shared" ca="1" si="98"/>
        <v>17087</v>
      </c>
      <c r="S559" s="2962">
        <f t="shared" ca="1" si="99"/>
        <v>318</v>
      </c>
    </row>
    <row r="560" spans="1:19">
      <c r="A560" s="2992" t="str">
        <f>Sheet1!F541</f>
        <v>2-1009</v>
      </c>
      <c r="B560" s="2992">
        <f>Sheet1!G541</f>
        <v>188.36</v>
      </c>
      <c r="C560" s="2996">
        <f t="shared" si="90"/>
        <v>0.99</v>
      </c>
      <c r="D560" s="2994"/>
      <c r="E560" s="2996">
        <f t="shared" si="91"/>
        <v>1</v>
      </c>
      <c r="F560" s="2994"/>
      <c r="G560" s="2996">
        <f t="shared" si="92"/>
        <v>1</v>
      </c>
      <c r="H560" s="2994"/>
      <c r="I560" s="2996">
        <f t="shared" si="93"/>
        <v>1</v>
      </c>
      <c r="J560" s="2994"/>
      <c r="K560" s="2996">
        <f t="shared" si="94"/>
        <v>1</v>
      </c>
      <c r="L560" s="2994"/>
      <c r="M560" s="2996">
        <f t="shared" si="95"/>
        <v>1</v>
      </c>
      <c r="N560" s="2994"/>
      <c r="O560" s="2996">
        <f t="shared" si="96"/>
        <v>1</v>
      </c>
      <c r="P560" s="2994"/>
      <c r="Q560" s="2996">
        <f t="shared" si="97"/>
        <v>1</v>
      </c>
      <c r="R560" s="2997">
        <f t="shared" ca="1" si="98"/>
        <v>17087</v>
      </c>
      <c r="S560" s="2962">
        <f t="shared" ca="1" si="99"/>
        <v>322</v>
      </c>
    </row>
    <row r="561" spans="1:19">
      <c r="A561" s="2992" t="str">
        <f>Sheet1!F542</f>
        <v>2-1010</v>
      </c>
      <c r="B561" s="2992">
        <f>Sheet1!G542</f>
        <v>175.78</v>
      </c>
      <c r="C561" s="2996">
        <f t="shared" si="90"/>
        <v>0.99</v>
      </c>
      <c r="D561" s="2994"/>
      <c r="E561" s="2996">
        <f t="shared" si="91"/>
        <v>1</v>
      </c>
      <c r="F561" s="2994"/>
      <c r="G561" s="2996">
        <f t="shared" si="92"/>
        <v>1</v>
      </c>
      <c r="H561" s="2994"/>
      <c r="I561" s="2996">
        <f t="shared" si="93"/>
        <v>1</v>
      </c>
      <c r="J561" s="2994"/>
      <c r="K561" s="2996">
        <f t="shared" si="94"/>
        <v>1</v>
      </c>
      <c r="L561" s="2994"/>
      <c r="M561" s="2996">
        <f t="shared" si="95"/>
        <v>1</v>
      </c>
      <c r="N561" s="2994"/>
      <c r="O561" s="2996">
        <f t="shared" si="96"/>
        <v>1</v>
      </c>
      <c r="P561" s="2994"/>
      <c r="Q561" s="2996">
        <f t="shared" si="97"/>
        <v>1</v>
      </c>
      <c r="R561" s="2997">
        <f t="shared" ca="1" si="98"/>
        <v>17087</v>
      </c>
      <c r="S561" s="2962">
        <f t="shared" ca="1" si="99"/>
        <v>300</v>
      </c>
    </row>
    <row r="562" spans="1:19">
      <c r="A562" s="2992" t="str">
        <f>Sheet1!F543</f>
        <v>2-1011</v>
      </c>
      <c r="B562" s="2992">
        <f>Sheet1!G543</f>
        <v>279.95999999999998</v>
      </c>
      <c r="C562" s="2996">
        <f t="shared" si="90"/>
        <v>0.98</v>
      </c>
      <c r="D562" s="2994"/>
      <c r="E562" s="2996">
        <f t="shared" si="91"/>
        <v>1</v>
      </c>
      <c r="F562" s="2994"/>
      <c r="G562" s="2996">
        <f t="shared" si="92"/>
        <v>1</v>
      </c>
      <c r="H562" s="2994"/>
      <c r="I562" s="2996">
        <f t="shared" si="93"/>
        <v>1</v>
      </c>
      <c r="J562" s="2994"/>
      <c r="K562" s="2996">
        <f t="shared" si="94"/>
        <v>1</v>
      </c>
      <c r="L562" s="2994"/>
      <c r="M562" s="2996">
        <f t="shared" si="95"/>
        <v>1</v>
      </c>
      <c r="N562" s="2994"/>
      <c r="O562" s="2996">
        <f t="shared" si="96"/>
        <v>1</v>
      </c>
      <c r="P562" s="2994"/>
      <c r="Q562" s="2996">
        <f t="shared" si="97"/>
        <v>1</v>
      </c>
      <c r="R562" s="2997">
        <f t="shared" ca="1" si="98"/>
        <v>16915</v>
      </c>
      <c r="S562" s="2962">
        <f t="shared" ca="1" si="99"/>
        <v>474</v>
      </c>
    </row>
    <row r="563" spans="1:19">
      <c r="A563" s="2992" t="str">
        <f>Sheet1!F544</f>
        <v>2-1012</v>
      </c>
      <c r="B563" s="2992">
        <f>Sheet1!G544</f>
        <v>188.43</v>
      </c>
      <c r="C563" s="2996">
        <f t="shared" si="90"/>
        <v>0.99</v>
      </c>
      <c r="D563" s="2994"/>
      <c r="E563" s="2996">
        <f t="shared" si="91"/>
        <v>1</v>
      </c>
      <c r="F563" s="2994"/>
      <c r="G563" s="2996">
        <f t="shared" si="92"/>
        <v>1</v>
      </c>
      <c r="H563" s="2994"/>
      <c r="I563" s="2996">
        <f t="shared" si="93"/>
        <v>1</v>
      </c>
      <c r="J563" s="2994"/>
      <c r="K563" s="2996">
        <f t="shared" si="94"/>
        <v>1</v>
      </c>
      <c r="L563" s="2994"/>
      <c r="M563" s="2996">
        <f t="shared" si="95"/>
        <v>1</v>
      </c>
      <c r="N563" s="2994"/>
      <c r="O563" s="2996">
        <f t="shared" si="96"/>
        <v>1</v>
      </c>
      <c r="P563" s="2994"/>
      <c r="Q563" s="2996">
        <f t="shared" si="97"/>
        <v>1</v>
      </c>
      <c r="R563" s="2997">
        <f t="shared" ca="1" si="98"/>
        <v>17087</v>
      </c>
      <c r="S563" s="2962">
        <f t="shared" ca="1" si="99"/>
        <v>322</v>
      </c>
    </row>
    <row r="564" spans="1:19">
      <c r="A564" s="2992" t="str">
        <f>Sheet1!F545</f>
        <v>2-1013</v>
      </c>
      <c r="B564" s="2992">
        <f>Sheet1!G545</f>
        <v>188.43</v>
      </c>
      <c r="C564" s="2996">
        <f t="shared" si="90"/>
        <v>0.99</v>
      </c>
      <c r="D564" s="2994"/>
      <c r="E564" s="2996">
        <f t="shared" si="91"/>
        <v>1</v>
      </c>
      <c r="F564" s="2994"/>
      <c r="G564" s="2996">
        <f t="shared" si="92"/>
        <v>1</v>
      </c>
      <c r="H564" s="2994"/>
      <c r="I564" s="2996">
        <f t="shared" si="93"/>
        <v>1</v>
      </c>
      <c r="J564" s="2994"/>
      <c r="K564" s="2996">
        <f t="shared" si="94"/>
        <v>1</v>
      </c>
      <c r="L564" s="2994"/>
      <c r="M564" s="2996">
        <f t="shared" si="95"/>
        <v>1</v>
      </c>
      <c r="N564" s="2994"/>
      <c r="O564" s="2996">
        <f t="shared" si="96"/>
        <v>1</v>
      </c>
      <c r="P564" s="2994"/>
      <c r="Q564" s="2996">
        <f t="shared" si="97"/>
        <v>1</v>
      </c>
      <c r="R564" s="2997">
        <f t="shared" ca="1" si="98"/>
        <v>17087</v>
      </c>
      <c r="S564" s="2962">
        <f t="shared" ca="1" si="99"/>
        <v>322</v>
      </c>
    </row>
    <row r="565" spans="1:19">
      <c r="A565" s="2992" t="str">
        <f>Sheet1!F546</f>
        <v>2-1014</v>
      </c>
      <c r="B565" s="2992">
        <f>Sheet1!G546</f>
        <v>188.43</v>
      </c>
      <c r="C565" s="2996">
        <f t="shared" si="90"/>
        <v>0.99</v>
      </c>
      <c r="D565" s="2994"/>
      <c r="E565" s="2996">
        <f t="shared" si="91"/>
        <v>1</v>
      </c>
      <c r="F565" s="2994"/>
      <c r="G565" s="2996">
        <f t="shared" si="92"/>
        <v>1</v>
      </c>
      <c r="H565" s="2994"/>
      <c r="I565" s="2996">
        <f t="shared" si="93"/>
        <v>1</v>
      </c>
      <c r="J565" s="2994"/>
      <c r="K565" s="2996">
        <f t="shared" si="94"/>
        <v>1</v>
      </c>
      <c r="L565" s="2994"/>
      <c r="M565" s="2996">
        <f t="shared" si="95"/>
        <v>1</v>
      </c>
      <c r="N565" s="2994"/>
      <c r="O565" s="2996">
        <f t="shared" si="96"/>
        <v>1</v>
      </c>
      <c r="P565" s="2994"/>
      <c r="Q565" s="2996">
        <f t="shared" si="97"/>
        <v>1</v>
      </c>
      <c r="R565" s="2997">
        <f t="shared" ca="1" si="98"/>
        <v>17087</v>
      </c>
      <c r="S565" s="2962">
        <f t="shared" ca="1" si="99"/>
        <v>322</v>
      </c>
    </row>
    <row r="566" spans="1:19">
      <c r="A566" s="2992" t="str">
        <f>Sheet1!F547</f>
        <v>2-1015</v>
      </c>
      <c r="B566" s="2992">
        <f>Sheet1!G547</f>
        <v>188.43</v>
      </c>
      <c r="C566" s="2996">
        <f t="shared" si="90"/>
        <v>0.99</v>
      </c>
      <c r="D566" s="2994"/>
      <c r="E566" s="2996">
        <f t="shared" si="91"/>
        <v>1</v>
      </c>
      <c r="F566" s="2994"/>
      <c r="G566" s="2996">
        <f t="shared" si="92"/>
        <v>1</v>
      </c>
      <c r="H566" s="2994"/>
      <c r="I566" s="2996">
        <f t="shared" si="93"/>
        <v>1</v>
      </c>
      <c r="J566" s="2994"/>
      <c r="K566" s="2996">
        <f t="shared" si="94"/>
        <v>1</v>
      </c>
      <c r="L566" s="2994"/>
      <c r="M566" s="2996">
        <f t="shared" si="95"/>
        <v>1</v>
      </c>
      <c r="N566" s="2994"/>
      <c r="O566" s="2996">
        <f t="shared" si="96"/>
        <v>1</v>
      </c>
      <c r="P566" s="2994"/>
      <c r="Q566" s="2996">
        <f t="shared" si="97"/>
        <v>1</v>
      </c>
      <c r="R566" s="2997">
        <f t="shared" ca="1" si="98"/>
        <v>17087</v>
      </c>
      <c r="S566" s="2962">
        <f t="shared" ca="1" si="99"/>
        <v>322</v>
      </c>
    </row>
    <row r="567" spans="1:19">
      <c r="A567" s="2992" t="str">
        <f>Sheet1!F548</f>
        <v>2-1016</v>
      </c>
      <c r="B567" s="2992">
        <f>Sheet1!G548</f>
        <v>188.43</v>
      </c>
      <c r="C567" s="2996">
        <f t="shared" si="90"/>
        <v>0.99</v>
      </c>
      <c r="D567" s="2994"/>
      <c r="E567" s="2996">
        <f t="shared" si="91"/>
        <v>1</v>
      </c>
      <c r="F567" s="2994"/>
      <c r="G567" s="2996">
        <f t="shared" si="92"/>
        <v>1</v>
      </c>
      <c r="H567" s="2994"/>
      <c r="I567" s="2996">
        <f t="shared" si="93"/>
        <v>1</v>
      </c>
      <c r="J567" s="2994"/>
      <c r="K567" s="2996">
        <f t="shared" si="94"/>
        <v>1</v>
      </c>
      <c r="L567" s="2994"/>
      <c r="M567" s="2996">
        <f t="shared" si="95"/>
        <v>1</v>
      </c>
      <c r="N567" s="2994"/>
      <c r="O567" s="2996">
        <f t="shared" si="96"/>
        <v>1</v>
      </c>
      <c r="P567" s="2994"/>
      <c r="Q567" s="2996">
        <f t="shared" si="97"/>
        <v>1</v>
      </c>
      <c r="R567" s="2997">
        <f t="shared" ca="1" si="98"/>
        <v>17087</v>
      </c>
      <c r="S567" s="2962">
        <f t="shared" ca="1" si="99"/>
        <v>322</v>
      </c>
    </row>
    <row r="568" spans="1:19">
      <c r="A568" s="2992" t="str">
        <f>Sheet1!F549</f>
        <v>2-1017</v>
      </c>
      <c r="B568" s="2992">
        <f>Sheet1!G549</f>
        <v>188.38</v>
      </c>
      <c r="C568" s="2996">
        <f t="shared" si="90"/>
        <v>0.99</v>
      </c>
      <c r="D568" s="2994"/>
      <c r="E568" s="2996">
        <f t="shared" si="91"/>
        <v>1</v>
      </c>
      <c r="F568" s="2994"/>
      <c r="G568" s="2996">
        <f t="shared" si="92"/>
        <v>1</v>
      </c>
      <c r="H568" s="2994"/>
      <c r="I568" s="2996">
        <f t="shared" si="93"/>
        <v>1</v>
      </c>
      <c r="J568" s="2994"/>
      <c r="K568" s="2996">
        <f t="shared" si="94"/>
        <v>1</v>
      </c>
      <c r="L568" s="2994"/>
      <c r="M568" s="2996">
        <f t="shared" si="95"/>
        <v>1</v>
      </c>
      <c r="N568" s="2994"/>
      <c r="O568" s="2996">
        <f t="shared" si="96"/>
        <v>1</v>
      </c>
      <c r="P568" s="2994"/>
      <c r="Q568" s="2996">
        <f t="shared" si="97"/>
        <v>1</v>
      </c>
      <c r="R568" s="2997">
        <f t="shared" ca="1" si="98"/>
        <v>17087</v>
      </c>
      <c r="S568" s="2962">
        <f t="shared" ca="1" si="99"/>
        <v>322</v>
      </c>
    </row>
    <row r="569" spans="1:19">
      <c r="A569" s="2992" t="str">
        <f>Sheet1!F550</f>
        <v>2-1018</v>
      </c>
      <c r="B569" s="2992">
        <f>Sheet1!G550</f>
        <v>208.95</v>
      </c>
      <c r="C569" s="2996">
        <f t="shared" si="90"/>
        <v>0.98</v>
      </c>
      <c r="D569" s="2994"/>
      <c r="E569" s="2996">
        <f t="shared" si="91"/>
        <v>1</v>
      </c>
      <c r="F569" s="2994"/>
      <c r="G569" s="2996">
        <f t="shared" si="92"/>
        <v>1</v>
      </c>
      <c r="H569" s="2994"/>
      <c r="I569" s="2996">
        <f t="shared" si="93"/>
        <v>1</v>
      </c>
      <c r="J569" s="2994"/>
      <c r="K569" s="2996">
        <f t="shared" si="94"/>
        <v>1</v>
      </c>
      <c r="L569" s="2994"/>
      <c r="M569" s="2996">
        <f t="shared" si="95"/>
        <v>1</v>
      </c>
      <c r="N569" s="2994"/>
      <c r="O569" s="2996">
        <f t="shared" si="96"/>
        <v>1</v>
      </c>
      <c r="P569" s="2994"/>
      <c r="Q569" s="2996">
        <f t="shared" si="97"/>
        <v>1</v>
      </c>
      <c r="R569" s="2997">
        <f t="shared" ca="1" si="98"/>
        <v>16915</v>
      </c>
      <c r="S569" s="2962">
        <f t="shared" ca="1" si="99"/>
        <v>353</v>
      </c>
    </row>
    <row r="570" spans="1:19">
      <c r="A570" s="2992" t="str">
        <f>Sheet1!F551</f>
        <v>2-1019</v>
      </c>
      <c r="B570" s="2992">
        <f>Sheet1!G551</f>
        <v>189.85</v>
      </c>
      <c r="C570" s="2996">
        <f t="shared" si="90"/>
        <v>0.99</v>
      </c>
      <c r="D570" s="2994"/>
      <c r="E570" s="2996">
        <f t="shared" si="91"/>
        <v>1</v>
      </c>
      <c r="F570" s="2994"/>
      <c r="G570" s="2996">
        <f t="shared" si="92"/>
        <v>1</v>
      </c>
      <c r="H570" s="2994"/>
      <c r="I570" s="2996">
        <f t="shared" si="93"/>
        <v>1</v>
      </c>
      <c r="J570" s="2994"/>
      <c r="K570" s="2996">
        <f t="shared" si="94"/>
        <v>1</v>
      </c>
      <c r="L570" s="2994"/>
      <c r="M570" s="2996">
        <f t="shared" si="95"/>
        <v>1</v>
      </c>
      <c r="N570" s="2994"/>
      <c r="O570" s="2996">
        <f t="shared" si="96"/>
        <v>1</v>
      </c>
      <c r="P570" s="2994"/>
      <c r="Q570" s="2996">
        <f t="shared" si="97"/>
        <v>1</v>
      </c>
      <c r="R570" s="2997">
        <f t="shared" ca="1" si="98"/>
        <v>17087</v>
      </c>
      <c r="S570" s="2962">
        <f t="shared" ca="1" si="99"/>
        <v>324</v>
      </c>
    </row>
    <row r="571" spans="1:19">
      <c r="A571" s="2992" t="str">
        <f>Sheet1!F552</f>
        <v>2-1020</v>
      </c>
      <c r="B571" s="2992">
        <f>Sheet1!G552</f>
        <v>169.23</v>
      </c>
      <c r="C571" s="2996">
        <f t="shared" si="90"/>
        <v>0.99</v>
      </c>
      <c r="D571" s="2994"/>
      <c r="E571" s="2996">
        <f t="shared" si="91"/>
        <v>1</v>
      </c>
      <c r="F571" s="2994"/>
      <c r="G571" s="2996">
        <f t="shared" si="92"/>
        <v>1</v>
      </c>
      <c r="H571" s="2994"/>
      <c r="I571" s="2996">
        <f t="shared" si="93"/>
        <v>1</v>
      </c>
      <c r="J571" s="2994"/>
      <c r="K571" s="2996">
        <f t="shared" si="94"/>
        <v>1</v>
      </c>
      <c r="L571" s="2994"/>
      <c r="M571" s="2996">
        <f t="shared" si="95"/>
        <v>1</v>
      </c>
      <c r="N571" s="2994"/>
      <c r="O571" s="2996">
        <f t="shared" si="96"/>
        <v>1</v>
      </c>
      <c r="P571" s="2994"/>
      <c r="Q571" s="2996">
        <f t="shared" si="97"/>
        <v>1</v>
      </c>
      <c r="R571" s="2997">
        <f t="shared" ca="1" si="98"/>
        <v>17087</v>
      </c>
      <c r="S571" s="2962">
        <f t="shared" ca="1" si="99"/>
        <v>289</v>
      </c>
    </row>
    <row r="572" spans="1:19">
      <c r="A572" s="2992" t="str">
        <f>Sheet1!F553</f>
        <v>3-1001</v>
      </c>
      <c r="B572" s="2992">
        <f>Sheet1!G553</f>
        <v>55.7</v>
      </c>
      <c r="C572" s="2996">
        <f t="shared" si="90"/>
        <v>1</v>
      </c>
      <c r="D572" s="2994"/>
      <c r="E572" s="2996">
        <f t="shared" si="91"/>
        <v>1</v>
      </c>
      <c r="F572" s="2994"/>
      <c r="G572" s="2996">
        <f t="shared" si="92"/>
        <v>1</v>
      </c>
      <c r="H572" s="2994"/>
      <c r="I572" s="2996">
        <f t="shared" si="93"/>
        <v>1</v>
      </c>
      <c r="J572" s="2994"/>
      <c r="K572" s="2996">
        <f t="shared" si="94"/>
        <v>1</v>
      </c>
      <c r="L572" s="2994"/>
      <c r="M572" s="2996">
        <f t="shared" si="95"/>
        <v>1</v>
      </c>
      <c r="N572" s="2994"/>
      <c r="O572" s="2996">
        <f t="shared" si="96"/>
        <v>1</v>
      </c>
      <c r="P572" s="2994"/>
      <c r="Q572" s="2996">
        <f t="shared" si="97"/>
        <v>1</v>
      </c>
      <c r="R572" s="2997">
        <f t="shared" ca="1" si="98"/>
        <v>17260</v>
      </c>
      <c r="S572" s="2962">
        <f t="shared" ca="1" si="99"/>
        <v>96</v>
      </c>
    </row>
    <row r="573" spans="1:19">
      <c r="A573" s="2992" t="str">
        <f>Sheet1!F554</f>
        <v>3-1002</v>
      </c>
      <c r="B573" s="2992">
        <f>Sheet1!G554</f>
        <v>49.53</v>
      </c>
      <c r="C573" s="2996">
        <f t="shared" si="90"/>
        <v>1</v>
      </c>
      <c r="D573" s="2994"/>
      <c r="E573" s="2996">
        <f t="shared" si="91"/>
        <v>1</v>
      </c>
      <c r="F573" s="2994"/>
      <c r="G573" s="2996">
        <f t="shared" si="92"/>
        <v>1</v>
      </c>
      <c r="H573" s="2994"/>
      <c r="I573" s="2996">
        <f t="shared" si="93"/>
        <v>1</v>
      </c>
      <c r="J573" s="2994"/>
      <c r="K573" s="2996">
        <f t="shared" si="94"/>
        <v>1</v>
      </c>
      <c r="L573" s="2994"/>
      <c r="M573" s="2996">
        <f t="shared" si="95"/>
        <v>1</v>
      </c>
      <c r="N573" s="2994"/>
      <c r="O573" s="2996">
        <f t="shared" si="96"/>
        <v>1</v>
      </c>
      <c r="P573" s="2994"/>
      <c r="Q573" s="2996">
        <f t="shared" si="97"/>
        <v>1</v>
      </c>
      <c r="R573" s="2997">
        <f t="shared" ca="1" si="98"/>
        <v>17260</v>
      </c>
      <c r="S573" s="2962">
        <f t="shared" ca="1" si="99"/>
        <v>85</v>
      </c>
    </row>
    <row r="574" spans="1:19">
      <c r="A574" s="2992" t="str">
        <f>Sheet1!F555</f>
        <v>3-1003</v>
      </c>
      <c r="B574" s="2992">
        <f>Sheet1!G555</f>
        <v>50.63</v>
      </c>
      <c r="C574" s="2996">
        <f t="shared" si="90"/>
        <v>1</v>
      </c>
      <c r="D574" s="2994"/>
      <c r="E574" s="2996">
        <f t="shared" si="91"/>
        <v>1</v>
      </c>
      <c r="F574" s="2994"/>
      <c r="G574" s="2996">
        <f t="shared" si="92"/>
        <v>1</v>
      </c>
      <c r="H574" s="2994"/>
      <c r="I574" s="2996">
        <f t="shared" si="93"/>
        <v>1</v>
      </c>
      <c r="J574" s="2994"/>
      <c r="K574" s="2996">
        <f t="shared" si="94"/>
        <v>1</v>
      </c>
      <c r="L574" s="2994"/>
      <c r="M574" s="2996">
        <f t="shared" si="95"/>
        <v>1</v>
      </c>
      <c r="N574" s="2994"/>
      <c r="O574" s="2996">
        <f t="shared" si="96"/>
        <v>1</v>
      </c>
      <c r="P574" s="2994"/>
      <c r="Q574" s="2996">
        <f t="shared" si="97"/>
        <v>1</v>
      </c>
      <c r="R574" s="2997">
        <f t="shared" ca="1" si="98"/>
        <v>17260</v>
      </c>
      <c r="S574" s="2962">
        <f t="shared" ca="1" si="99"/>
        <v>87</v>
      </c>
    </row>
    <row r="575" spans="1:19">
      <c r="A575" s="2992" t="str">
        <f>Sheet1!F556</f>
        <v>3-1004</v>
      </c>
      <c r="B575" s="2992">
        <f>Sheet1!G556</f>
        <v>50.63</v>
      </c>
      <c r="C575" s="2996">
        <f t="shared" si="90"/>
        <v>1</v>
      </c>
      <c r="D575" s="2994"/>
      <c r="E575" s="2996">
        <f t="shared" si="91"/>
        <v>1</v>
      </c>
      <c r="F575" s="2994"/>
      <c r="G575" s="2996">
        <f t="shared" si="92"/>
        <v>1</v>
      </c>
      <c r="H575" s="2994"/>
      <c r="I575" s="2996">
        <f t="shared" si="93"/>
        <v>1</v>
      </c>
      <c r="J575" s="2994"/>
      <c r="K575" s="2996">
        <f t="shared" si="94"/>
        <v>1</v>
      </c>
      <c r="L575" s="2994"/>
      <c r="M575" s="2996">
        <f t="shared" si="95"/>
        <v>1</v>
      </c>
      <c r="N575" s="2994"/>
      <c r="O575" s="2996">
        <f t="shared" si="96"/>
        <v>1</v>
      </c>
      <c r="P575" s="2994"/>
      <c r="Q575" s="2996">
        <f t="shared" si="97"/>
        <v>1</v>
      </c>
      <c r="R575" s="2997">
        <f t="shared" ca="1" si="98"/>
        <v>17260</v>
      </c>
      <c r="S575" s="2962">
        <f t="shared" ca="1" si="99"/>
        <v>87</v>
      </c>
    </row>
    <row r="576" spans="1:19">
      <c r="A576" s="2992" t="str">
        <f>Sheet1!F557</f>
        <v>3-1005</v>
      </c>
      <c r="B576" s="2992">
        <f>Sheet1!G557</f>
        <v>50.63</v>
      </c>
      <c r="C576" s="2996">
        <f t="shared" si="90"/>
        <v>1</v>
      </c>
      <c r="D576" s="2994"/>
      <c r="E576" s="2996">
        <f t="shared" si="91"/>
        <v>1</v>
      </c>
      <c r="F576" s="2994"/>
      <c r="G576" s="2996">
        <f t="shared" si="92"/>
        <v>1</v>
      </c>
      <c r="H576" s="2994"/>
      <c r="I576" s="2996">
        <f t="shared" si="93"/>
        <v>1</v>
      </c>
      <c r="J576" s="2994"/>
      <c r="K576" s="2996">
        <f t="shared" si="94"/>
        <v>1</v>
      </c>
      <c r="L576" s="2994"/>
      <c r="M576" s="2996">
        <f t="shared" si="95"/>
        <v>1</v>
      </c>
      <c r="N576" s="2994"/>
      <c r="O576" s="2996">
        <f t="shared" si="96"/>
        <v>1</v>
      </c>
      <c r="P576" s="2994"/>
      <c r="Q576" s="2996">
        <f t="shared" si="97"/>
        <v>1</v>
      </c>
      <c r="R576" s="2997">
        <f t="shared" ca="1" si="98"/>
        <v>17260</v>
      </c>
      <c r="S576" s="2962">
        <f t="shared" ca="1" si="99"/>
        <v>87</v>
      </c>
    </row>
    <row r="577" spans="1:19">
      <c r="A577" s="2992" t="str">
        <f>Sheet1!F558</f>
        <v>3-1006</v>
      </c>
      <c r="B577" s="2992">
        <f>Sheet1!G558</f>
        <v>50.63</v>
      </c>
      <c r="C577" s="2996">
        <f t="shared" si="90"/>
        <v>1</v>
      </c>
      <c r="D577" s="2994"/>
      <c r="E577" s="2996">
        <f t="shared" si="91"/>
        <v>1</v>
      </c>
      <c r="F577" s="2994"/>
      <c r="G577" s="2996">
        <f t="shared" si="92"/>
        <v>1</v>
      </c>
      <c r="H577" s="2994"/>
      <c r="I577" s="2996">
        <f t="shared" si="93"/>
        <v>1</v>
      </c>
      <c r="J577" s="2994"/>
      <c r="K577" s="2996">
        <f t="shared" si="94"/>
        <v>1</v>
      </c>
      <c r="L577" s="2994"/>
      <c r="M577" s="2996">
        <f t="shared" si="95"/>
        <v>1</v>
      </c>
      <c r="N577" s="2994"/>
      <c r="O577" s="2996">
        <f t="shared" si="96"/>
        <v>1</v>
      </c>
      <c r="P577" s="2994"/>
      <c r="Q577" s="2996">
        <f t="shared" si="97"/>
        <v>1</v>
      </c>
      <c r="R577" s="2997">
        <f t="shared" ca="1" si="98"/>
        <v>17260</v>
      </c>
      <c r="S577" s="2962">
        <f t="shared" ca="1" si="99"/>
        <v>87</v>
      </c>
    </row>
    <row r="578" spans="1:19">
      <c r="A578" s="2992" t="str">
        <f>Sheet1!F559</f>
        <v>3-1007</v>
      </c>
      <c r="B578" s="2992">
        <f>Sheet1!G559</f>
        <v>50.63</v>
      </c>
      <c r="C578" s="2996">
        <f t="shared" si="90"/>
        <v>1</v>
      </c>
      <c r="D578" s="2994"/>
      <c r="E578" s="2996">
        <f t="shared" si="91"/>
        <v>1</v>
      </c>
      <c r="F578" s="2994"/>
      <c r="G578" s="2996">
        <f t="shared" si="92"/>
        <v>1</v>
      </c>
      <c r="H578" s="2994"/>
      <c r="I578" s="2996">
        <f t="shared" si="93"/>
        <v>1</v>
      </c>
      <c r="J578" s="2994"/>
      <c r="K578" s="2996">
        <f t="shared" si="94"/>
        <v>1</v>
      </c>
      <c r="L578" s="2994"/>
      <c r="M578" s="2996">
        <f t="shared" si="95"/>
        <v>1</v>
      </c>
      <c r="N578" s="2994"/>
      <c r="O578" s="2996">
        <f t="shared" si="96"/>
        <v>1</v>
      </c>
      <c r="P578" s="2994"/>
      <c r="Q578" s="2996">
        <f t="shared" si="97"/>
        <v>1</v>
      </c>
      <c r="R578" s="2997">
        <f t="shared" ca="1" si="98"/>
        <v>17260</v>
      </c>
      <c r="S578" s="2962">
        <f t="shared" ca="1" si="99"/>
        <v>87</v>
      </c>
    </row>
    <row r="579" spans="1:19">
      <c r="A579" s="2992" t="str">
        <f>Sheet1!F560</f>
        <v>3-1008</v>
      </c>
      <c r="B579" s="2992">
        <f>Sheet1!G560</f>
        <v>50.63</v>
      </c>
      <c r="C579" s="2996">
        <f t="shared" si="90"/>
        <v>1</v>
      </c>
      <c r="D579" s="2994"/>
      <c r="E579" s="2996">
        <f t="shared" si="91"/>
        <v>1</v>
      </c>
      <c r="F579" s="2994"/>
      <c r="G579" s="2996">
        <f t="shared" si="92"/>
        <v>1</v>
      </c>
      <c r="H579" s="2994"/>
      <c r="I579" s="2996">
        <f t="shared" si="93"/>
        <v>1</v>
      </c>
      <c r="J579" s="2994"/>
      <c r="K579" s="2996">
        <f t="shared" si="94"/>
        <v>1</v>
      </c>
      <c r="L579" s="2994"/>
      <c r="M579" s="2996">
        <f t="shared" si="95"/>
        <v>1</v>
      </c>
      <c r="N579" s="2994"/>
      <c r="O579" s="2996">
        <f t="shared" si="96"/>
        <v>1</v>
      </c>
      <c r="P579" s="2994"/>
      <c r="Q579" s="2996">
        <f t="shared" si="97"/>
        <v>1</v>
      </c>
      <c r="R579" s="2997">
        <f t="shared" ca="1" si="98"/>
        <v>17260</v>
      </c>
      <c r="S579" s="2962">
        <f t="shared" ca="1" si="99"/>
        <v>87</v>
      </c>
    </row>
    <row r="580" spans="1:19">
      <c r="A580" s="2992" t="str">
        <f>Sheet1!F561</f>
        <v>3-1009</v>
      </c>
      <c r="B580" s="2992">
        <f>Sheet1!G561</f>
        <v>50.63</v>
      </c>
      <c r="C580" s="2996">
        <f t="shared" si="90"/>
        <v>1</v>
      </c>
      <c r="D580" s="2994"/>
      <c r="E580" s="2996">
        <f t="shared" si="91"/>
        <v>1</v>
      </c>
      <c r="F580" s="2994"/>
      <c r="G580" s="2996">
        <f t="shared" si="92"/>
        <v>1</v>
      </c>
      <c r="H580" s="2994"/>
      <c r="I580" s="2996">
        <f t="shared" si="93"/>
        <v>1</v>
      </c>
      <c r="J580" s="2994"/>
      <c r="K580" s="2996">
        <f t="shared" si="94"/>
        <v>1</v>
      </c>
      <c r="L580" s="2994"/>
      <c r="M580" s="2996">
        <f t="shared" si="95"/>
        <v>1</v>
      </c>
      <c r="N580" s="2994"/>
      <c r="O580" s="2996">
        <f t="shared" si="96"/>
        <v>1</v>
      </c>
      <c r="P580" s="2994"/>
      <c r="Q580" s="2996">
        <f t="shared" si="97"/>
        <v>1</v>
      </c>
      <c r="R580" s="2997">
        <f t="shared" ca="1" si="98"/>
        <v>17260</v>
      </c>
      <c r="S580" s="2962">
        <f t="shared" ca="1" si="99"/>
        <v>87</v>
      </c>
    </row>
    <row r="581" spans="1:19">
      <c r="A581" s="2992" t="str">
        <f>Sheet1!F562</f>
        <v>3-1010</v>
      </c>
      <c r="B581" s="2992">
        <f>Sheet1!G562</f>
        <v>50.63</v>
      </c>
      <c r="C581" s="2996">
        <f t="shared" si="90"/>
        <v>1</v>
      </c>
      <c r="D581" s="2994"/>
      <c r="E581" s="2996">
        <f t="shared" si="91"/>
        <v>1</v>
      </c>
      <c r="F581" s="2994"/>
      <c r="G581" s="2996">
        <f t="shared" si="92"/>
        <v>1</v>
      </c>
      <c r="H581" s="2994"/>
      <c r="I581" s="2996">
        <f t="shared" si="93"/>
        <v>1</v>
      </c>
      <c r="J581" s="2994"/>
      <c r="K581" s="2996">
        <f t="shared" si="94"/>
        <v>1</v>
      </c>
      <c r="L581" s="2994"/>
      <c r="M581" s="2996">
        <f t="shared" si="95"/>
        <v>1</v>
      </c>
      <c r="N581" s="2994"/>
      <c r="O581" s="2996">
        <f t="shared" si="96"/>
        <v>1</v>
      </c>
      <c r="P581" s="2994"/>
      <c r="Q581" s="2996">
        <f t="shared" si="97"/>
        <v>1</v>
      </c>
      <c r="R581" s="2997">
        <f t="shared" ca="1" si="98"/>
        <v>17260</v>
      </c>
      <c r="S581" s="2962">
        <f t="shared" ca="1" si="99"/>
        <v>87</v>
      </c>
    </row>
    <row r="582" spans="1:19">
      <c r="A582" s="2992" t="str">
        <f>Sheet1!F563</f>
        <v>3-1011</v>
      </c>
      <c r="B582" s="2992">
        <f>Sheet1!G563</f>
        <v>50.63</v>
      </c>
      <c r="C582" s="2996">
        <f t="shared" si="90"/>
        <v>1</v>
      </c>
      <c r="D582" s="2994"/>
      <c r="E582" s="2996">
        <f t="shared" si="91"/>
        <v>1</v>
      </c>
      <c r="F582" s="2994"/>
      <c r="G582" s="2996">
        <f t="shared" si="92"/>
        <v>1</v>
      </c>
      <c r="H582" s="2994"/>
      <c r="I582" s="2996">
        <f t="shared" si="93"/>
        <v>1</v>
      </c>
      <c r="J582" s="2994"/>
      <c r="K582" s="2996">
        <f t="shared" si="94"/>
        <v>1</v>
      </c>
      <c r="L582" s="2994"/>
      <c r="M582" s="2996">
        <f t="shared" si="95"/>
        <v>1</v>
      </c>
      <c r="N582" s="2994"/>
      <c r="O582" s="2996">
        <f t="shared" si="96"/>
        <v>1</v>
      </c>
      <c r="P582" s="2994"/>
      <c r="Q582" s="2996">
        <f t="shared" si="97"/>
        <v>1</v>
      </c>
      <c r="R582" s="2997">
        <f t="shared" ca="1" si="98"/>
        <v>17260</v>
      </c>
      <c r="S582" s="2962">
        <f t="shared" ca="1" si="99"/>
        <v>87</v>
      </c>
    </row>
    <row r="583" spans="1:19">
      <c r="A583" s="2992" t="str">
        <f>Sheet1!F564</f>
        <v>3-1012</v>
      </c>
      <c r="B583" s="2992">
        <f>Sheet1!G564</f>
        <v>50.63</v>
      </c>
      <c r="C583" s="2996">
        <f t="shared" si="90"/>
        <v>1</v>
      </c>
      <c r="D583" s="2994"/>
      <c r="E583" s="2996">
        <f t="shared" si="91"/>
        <v>1</v>
      </c>
      <c r="F583" s="2994"/>
      <c r="G583" s="2996">
        <f t="shared" si="92"/>
        <v>1</v>
      </c>
      <c r="H583" s="2994"/>
      <c r="I583" s="2996">
        <f t="shared" si="93"/>
        <v>1</v>
      </c>
      <c r="J583" s="2994"/>
      <c r="K583" s="2996">
        <f t="shared" si="94"/>
        <v>1</v>
      </c>
      <c r="L583" s="2994"/>
      <c r="M583" s="2996">
        <f t="shared" si="95"/>
        <v>1</v>
      </c>
      <c r="N583" s="2994"/>
      <c r="O583" s="2996">
        <f t="shared" si="96"/>
        <v>1</v>
      </c>
      <c r="P583" s="2994"/>
      <c r="Q583" s="2996">
        <f t="shared" si="97"/>
        <v>1</v>
      </c>
      <c r="R583" s="2997">
        <f t="shared" ca="1" si="98"/>
        <v>17260</v>
      </c>
      <c r="S583" s="2962">
        <f t="shared" ca="1" si="99"/>
        <v>87</v>
      </c>
    </row>
    <row r="584" spans="1:19">
      <c r="A584" s="2992" t="str">
        <f>Sheet1!F565</f>
        <v>3-1013</v>
      </c>
      <c r="B584" s="2992">
        <f>Sheet1!G565</f>
        <v>49.61</v>
      </c>
      <c r="C584" s="2996">
        <f t="shared" si="90"/>
        <v>1</v>
      </c>
      <c r="D584" s="2994"/>
      <c r="E584" s="2996">
        <f t="shared" si="91"/>
        <v>1</v>
      </c>
      <c r="F584" s="2994"/>
      <c r="G584" s="2996">
        <f t="shared" si="92"/>
        <v>1</v>
      </c>
      <c r="H584" s="2994"/>
      <c r="I584" s="2996">
        <f t="shared" si="93"/>
        <v>1</v>
      </c>
      <c r="J584" s="2994"/>
      <c r="K584" s="2996">
        <f t="shared" si="94"/>
        <v>1</v>
      </c>
      <c r="L584" s="2994"/>
      <c r="M584" s="2996">
        <f t="shared" si="95"/>
        <v>1</v>
      </c>
      <c r="N584" s="2994"/>
      <c r="O584" s="2996">
        <f t="shared" si="96"/>
        <v>1</v>
      </c>
      <c r="P584" s="2994"/>
      <c r="Q584" s="2996">
        <f t="shared" si="97"/>
        <v>1</v>
      </c>
      <c r="R584" s="2997">
        <f t="shared" ca="1" si="98"/>
        <v>17260</v>
      </c>
      <c r="S584" s="2962">
        <f t="shared" ca="1" si="99"/>
        <v>86</v>
      </c>
    </row>
    <row r="585" spans="1:19">
      <c r="A585" s="2992" t="str">
        <f>Sheet1!F566</f>
        <v>3-1014</v>
      </c>
      <c r="B585" s="2992">
        <f>Sheet1!G566</f>
        <v>46.31</v>
      </c>
      <c r="C585" s="2996">
        <f t="shared" si="90"/>
        <v>1</v>
      </c>
      <c r="D585" s="2994"/>
      <c r="E585" s="2996">
        <f t="shared" si="91"/>
        <v>1</v>
      </c>
      <c r="F585" s="2994"/>
      <c r="G585" s="2996">
        <f t="shared" si="92"/>
        <v>1</v>
      </c>
      <c r="H585" s="2994"/>
      <c r="I585" s="2996">
        <f t="shared" si="93"/>
        <v>1</v>
      </c>
      <c r="J585" s="2994"/>
      <c r="K585" s="2996">
        <f t="shared" si="94"/>
        <v>1</v>
      </c>
      <c r="L585" s="2994"/>
      <c r="M585" s="2996">
        <f t="shared" si="95"/>
        <v>1</v>
      </c>
      <c r="N585" s="2994"/>
      <c r="O585" s="2996">
        <f t="shared" si="96"/>
        <v>1</v>
      </c>
      <c r="P585" s="2994"/>
      <c r="Q585" s="2996">
        <f t="shared" si="97"/>
        <v>1</v>
      </c>
      <c r="R585" s="2997">
        <f t="shared" ca="1" si="98"/>
        <v>17260</v>
      </c>
      <c r="S585" s="2962">
        <f t="shared" ca="1" si="99"/>
        <v>80</v>
      </c>
    </row>
    <row r="586" spans="1:19">
      <c r="A586" s="2992" t="str">
        <f>Sheet1!F567</f>
        <v>3-1015</v>
      </c>
      <c r="B586" s="2992">
        <f>Sheet1!G567</f>
        <v>50.63</v>
      </c>
      <c r="C586" s="2996">
        <f t="shared" si="90"/>
        <v>1</v>
      </c>
      <c r="D586" s="2994"/>
      <c r="E586" s="2996">
        <f t="shared" si="91"/>
        <v>1</v>
      </c>
      <c r="F586" s="2994"/>
      <c r="G586" s="2996">
        <f t="shared" si="92"/>
        <v>1</v>
      </c>
      <c r="H586" s="2994"/>
      <c r="I586" s="2996">
        <f t="shared" si="93"/>
        <v>1</v>
      </c>
      <c r="J586" s="2994"/>
      <c r="K586" s="2996">
        <f t="shared" si="94"/>
        <v>1</v>
      </c>
      <c r="L586" s="2994"/>
      <c r="M586" s="2996">
        <f t="shared" si="95"/>
        <v>1</v>
      </c>
      <c r="N586" s="2994"/>
      <c r="O586" s="2996">
        <f t="shared" si="96"/>
        <v>1</v>
      </c>
      <c r="P586" s="2994"/>
      <c r="Q586" s="2996">
        <f t="shared" si="97"/>
        <v>1</v>
      </c>
      <c r="R586" s="2997">
        <f t="shared" ca="1" si="98"/>
        <v>17260</v>
      </c>
      <c r="S586" s="2962">
        <f t="shared" ca="1" si="99"/>
        <v>87</v>
      </c>
    </row>
    <row r="587" spans="1:19">
      <c r="A587" s="2992" t="str">
        <f>Sheet1!F568</f>
        <v>3-1016</v>
      </c>
      <c r="B587" s="2992">
        <f>Sheet1!G568</f>
        <v>50.63</v>
      </c>
      <c r="C587" s="2996">
        <f t="shared" si="90"/>
        <v>1</v>
      </c>
      <c r="D587" s="2994"/>
      <c r="E587" s="2996">
        <f t="shared" si="91"/>
        <v>1</v>
      </c>
      <c r="F587" s="2994"/>
      <c r="G587" s="2996">
        <f t="shared" si="92"/>
        <v>1</v>
      </c>
      <c r="H587" s="2994"/>
      <c r="I587" s="2996">
        <f t="shared" si="93"/>
        <v>1</v>
      </c>
      <c r="J587" s="2994"/>
      <c r="K587" s="2996">
        <f t="shared" si="94"/>
        <v>1</v>
      </c>
      <c r="L587" s="2994"/>
      <c r="M587" s="2996">
        <f t="shared" si="95"/>
        <v>1</v>
      </c>
      <c r="N587" s="2994"/>
      <c r="O587" s="2996">
        <f t="shared" si="96"/>
        <v>1</v>
      </c>
      <c r="P587" s="2994"/>
      <c r="Q587" s="2996">
        <f t="shared" si="97"/>
        <v>1</v>
      </c>
      <c r="R587" s="2997">
        <f t="shared" ca="1" si="98"/>
        <v>17260</v>
      </c>
      <c r="S587" s="2962">
        <f t="shared" ca="1" si="99"/>
        <v>87</v>
      </c>
    </row>
    <row r="588" spans="1:19">
      <c r="A588" s="2992" t="str">
        <f>Sheet1!F569</f>
        <v>3-1017</v>
      </c>
      <c r="B588" s="2992">
        <f>Sheet1!G569</f>
        <v>62.54</v>
      </c>
      <c r="C588" s="2996">
        <f t="shared" si="90"/>
        <v>1</v>
      </c>
      <c r="D588" s="2994"/>
      <c r="E588" s="2996">
        <f t="shared" si="91"/>
        <v>1</v>
      </c>
      <c r="F588" s="2994"/>
      <c r="G588" s="2996">
        <f t="shared" si="92"/>
        <v>1</v>
      </c>
      <c r="H588" s="2994"/>
      <c r="I588" s="2996">
        <f t="shared" si="93"/>
        <v>1</v>
      </c>
      <c r="J588" s="2994"/>
      <c r="K588" s="2996">
        <f t="shared" si="94"/>
        <v>1</v>
      </c>
      <c r="L588" s="2994"/>
      <c r="M588" s="2996">
        <f t="shared" si="95"/>
        <v>1</v>
      </c>
      <c r="N588" s="2994"/>
      <c r="O588" s="2996">
        <f t="shared" si="96"/>
        <v>1</v>
      </c>
      <c r="P588" s="2994"/>
      <c r="Q588" s="2996">
        <f t="shared" si="97"/>
        <v>1</v>
      </c>
      <c r="R588" s="2997">
        <f t="shared" ca="1" si="98"/>
        <v>17260</v>
      </c>
      <c r="S588" s="2962">
        <f t="shared" ca="1" si="99"/>
        <v>108</v>
      </c>
    </row>
    <row r="589" spans="1:19">
      <c r="A589" s="2992" t="str">
        <f>Sheet1!F570</f>
        <v>3-1018</v>
      </c>
      <c r="B589" s="2992">
        <f>Sheet1!G570</f>
        <v>62.56</v>
      </c>
      <c r="C589" s="2996">
        <f t="shared" ref="C589:C652" si="100">IF(B589="",1,(LOOKUP(B589,$3:$3,$4:$4)-LOOKUP($B$24,$3:$3,$4:$4)+100)/100)</f>
        <v>1</v>
      </c>
      <c r="D589" s="2994"/>
      <c r="E589" s="2996">
        <f t="shared" ref="E589:E652" si="101">(SUMIF($5:$5,D589,$6:$6)-SUMIF($5:$5,$D$24,$6:$6)+100)/100</f>
        <v>1</v>
      </c>
      <c r="F589" s="2994"/>
      <c r="G589" s="2996">
        <f t="shared" ref="G589:G652" si="102">(SUMIF($7:$7,F589,$8:$8)-SUMIF($7:$7,$F$24,$8:$8)+100)/100</f>
        <v>1</v>
      </c>
      <c r="H589" s="2994"/>
      <c r="I589" s="2996">
        <f t="shared" ref="I589:I652" si="103">(SUMIF($9:$9,H589,$10:$10)-SUMIF($9:$9,$H$24,$10:$10)+100)/100</f>
        <v>1</v>
      </c>
      <c r="J589" s="2994"/>
      <c r="K589" s="2996">
        <f t="shared" ref="K589:K652" si="104">(SUMIF($11:$11,J589,$12:$12)-SUMIF($11:$11,$J$24,$12:$12)+100)/100</f>
        <v>1</v>
      </c>
      <c r="L589" s="2994"/>
      <c r="M589" s="2996">
        <f t="shared" ref="M589:M652" si="105">(SUMIF($13:$13,L589,$14:$14)-SUMIF($13:$13,$L$24,$14:$14)+100)/100</f>
        <v>1</v>
      </c>
      <c r="N589" s="2994"/>
      <c r="O589" s="2996">
        <f t="shared" ref="O589:O652" si="106">(SUMIF($15:$15,N589,$16:$16)-SUMIF($15:$15,$N$24,$16:$16)+100)/100</f>
        <v>1</v>
      </c>
      <c r="P589" s="2994"/>
      <c r="Q589" s="2996">
        <f t="shared" ref="Q589:Q652" si="107">(SUMIF($17:$17,P589,$18:$18)-SUMIF($17:$17,$P$24,$18:$18)+100)/100</f>
        <v>1</v>
      </c>
      <c r="R589" s="2997">
        <f t="shared" ref="R589:R652" ca="1" si="108">IF(B589="",0,ROUND($R$24*C589*E589*G589*I589*K589*M589*O589*Q589,0))</f>
        <v>17260</v>
      </c>
      <c r="S589" s="2962">
        <f t="shared" ref="S589:S652" ca="1" si="109">ROUND(R589*B589/10000,0)</f>
        <v>108</v>
      </c>
    </row>
    <row r="590" spans="1:19">
      <c r="A590" s="2992" t="str">
        <f>Sheet1!F571</f>
        <v>3-1019</v>
      </c>
      <c r="B590" s="2992">
        <f>Sheet1!G571</f>
        <v>62.56</v>
      </c>
      <c r="C590" s="2996">
        <f t="shared" si="100"/>
        <v>1</v>
      </c>
      <c r="D590" s="2994"/>
      <c r="E590" s="2996">
        <f t="shared" si="101"/>
        <v>1</v>
      </c>
      <c r="F590" s="2994"/>
      <c r="G590" s="2996">
        <f t="shared" si="102"/>
        <v>1</v>
      </c>
      <c r="H590" s="2994"/>
      <c r="I590" s="2996">
        <f t="shared" si="103"/>
        <v>1</v>
      </c>
      <c r="J590" s="2994"/>
      <c r="K590" s="2996">
        <f t="shared" si="104"/>
        <v>1</v>
      </c>
      <c r="L590" s="2994"/>
      <c r="M590" s="2996">
        <f t="shared" si="105"/>
        <v>1</v>
      </c>
      <c r="N590" s="2994"/>
      <c r="O590" s="2996">
        <f t="shared" si="106"/>
        <v>1</v>
      </c>
      <c r="P590" s="2994"/>
      <c r="Q590" s="2996">
        <f t="shared" si="107"/>
        <v>1</v>
      </c>
      <c r="R590" s="2997">
        <f t="shared" ca="1" si="108"/>
        <v>17260</v>
      </c>
      <c r="S590" s="2962">
        <f t="shared" ca="1" si="109"/>
        <v>108</v>
      </c>
    </row>
    <row r="591" spans="1:19">
      <c r="A591" s="2992" t="str">
        <f>Sheet1!F572</f>
        <v>3-1020</v>
      </c>
      <c r="B591" s="2992">
        <f>Sheet1!G572</f>
        <v>62.54</v>
      </c>
      <c r="C591" s="2996">
        <f t="shared" si="100"/>
        <v>1</v>
      </c>
      <c r="D591" s="2994"/>
      <c r="E591" s="2996">
        <f t="shared" si="101"/>
        <v>1</v>
      </c>
      <c r="F591" s="2994"/>
      <c r="G591" s="2996">
        <f t="shared" si="102"/>
        <v>1</v>
      </c>
      <c r="H591" s="2994"/>
      <c r="I591" s="2996">
        <f t="shared" si="103"/>
        <v>1</v>
      </c>
      <c r="J591" s="2994"/>
      <c r="K591" s="2996">
        <f t="shared" si="104"/>
        <v>1</v>
      </c>
      <c r="L591" s="2994"/>
      <c r="M591" s="2996">
        <f t="shared" si="105"/>
        <v>1</v>
      </c>
      <c r="N591" s="2994"/>
      <c r="O591" s="2996">
        <f t="shared" si="106"/>
        <v>1</v>
      </c>
      <c r="P591" s="2994"/>
      <c r="Q591" s="2996">
        <f t="shared" si="107"/>
        <v>1</v>
      </c>
      <c r="R591" s="2997">
        <f t="shared" ca="1" si="108"/>
        <v>17260</v>
      </c>
      <c r="S591" s="2962">
        <f t="shared" ca="1" si="109"/>
        <v>108</v>
      </c>
    </row>
    <row r="592" spans="1:19">
      <c r="A592" s="2992" t="str">
        <f>Sheet1!F573</f>
        <v>3-1021</v>
      </c>
      <c r="B592" s="2992">
        <f>Sheet1!G573</f>
        <v>50.63</v>
      </c>
      <c r="C592" s="2996">
        <f t="shared" si="100"/>
        <v>1</v>
      </c>
      <c r="D592" s="2994"/>
      <c r="E592" s="2996">
        <f t="shared" si="101"/>
        <v>1</v>
      </c>
      <c r="F592" s="2994"/>
      <c r="G592" s="2996">
        <f t="shared" si="102"/>
        <v>1</v>
      </c>
      <c r="H592" s="2994"/>
      <c r="I592" s="2996">
        <f t="shared" si="103"/>
        <v>1</v>
      </c>
      <c r="J592" s="2994"/>
      <c r="K592" s="2996">
        <f t="shared" si="104"/>
        <v>1</v>
      </c>
      <c r="L592" s="2994"/>
      <c r="M592" s="2996">
        <f t="shared" si="105"/>
        <v>1</v>
      </c>
      <c r="N592" s="2994"/>
      <c r="O592" s="2996">
        <f t="shared" si="106"/>
        <v>1</v>
      </c>
      <c r="P592" s="2994"/>
      <c r="Q592" s="2996">
        <f t="shared" si="107"/>
        <v>1</v>
      </c>
      <c r="R592" s="2997">
        <f t="shared" ca="1" si="108"/>
        <v>17260</v>
      </c>
      <c r="S592" s="2962">
        <f t="shared" ca="1" si="109"/>
        <v>87</v>
      </c>
    </row>
    <row r="593" spans="1:19">
      <c r="A593" s="2992" t="str">
        <f>Sheet1!F574</f>
        <v>3-1022</v>
      </c>
      <c r="B593" s="2992">
        <f>Sheet1!G574</f>
        <v>50.63</v>
      </c>
      <c r="C593" s="2996">
        <f t="shared" si="100"/>
        <v>1</v>
      </c>
      <c r="D593" s="2994"/>
      <c r="E593" s="2996">
        <f t="shared" si="101"/>
        <v>1</v>
      </c>
      <c r="F593" s="2994"/>
      <c r="G593" s="2996">
        <f t="shared" si="102"/>
        <v>1</v>
      </c>
      <c r="H593" s="2994"/>
      <c r="I593" s="2996">
        <f t="shared" si="103"/>
        <v>1</v>
      </c>
      <c r="J593" s="2994"/>
      <c r="K593" s="2996">
        <f t="shared" si="104"/>
        <v>1</v>
      </c>
      <c r="L593" s="2994"/>
      <c r="M593" s="2996">
        <f t="shared" si="105"/>
        <v>1</v>
      </c>
      <c r="N593" s="2994"/>
      <c r="O593" s="2996">
        <f t="shared" si="106"/>
        <v>1</v>
      </c>
      <c r="P593" s="2994"/>
      <c r="Q593" s="2996">
        <f t="shared" si="107"/>
        <v>1</v>
      </c>
      <c r="R593" s="2997">
        <f t="shared" ca="1" si="108"/>
        <v>17260</v>
      </c>
      <c r="S593" s="2962">
        <f t="shared" ca="1" si="109"/>
        <v>87</v>
      </c>
    </row>
    <row r="594" spans="1:19">
      <c r="A594" s="2992" t="str">
        <f>Sheet1!F575</f>
        <v>3-1023</v>
      </c>
      <c r="B594" s="2992">
        <f>Sheet1!G575</f>
        <v>50.63</v>
      </c>
      <c r="C594" s="2996">
        <f t="shared" si="100"/>
        <v>1</v>
      </c>
      <c r="D594" s="2994"/>
      <c r="E594" s="2996">
        <f t="shared" si="101"/>
        <v>1</v>
      </c>
      <c r="F594" s="2994"/>
      <c r="G594" s="2996">
        <f t="shared" si="102"/>
        <v>1</v>
      </c>
      <c r="H594" s="2994"/>
      <c r="I594" s="2996">
        <f t="shared" si="103"/>
        <v>1</v>
      </c>
      <c r="J594" s="2994"/>
      <c r="K594" s="2996">
        <f t="shared" si="104"/>
        <v>1</v>
      </c>
      <c r="L594" s="2994"/>
      <c r="M594" s="2996">
        <f t="shared" si="105"/>
        <v>1</v>
      </c>
      <c r="N594" s="2994"/>
      <c r="O594" s="2996">
        <f t="shared" si="106"/>
        <v>1</v>
      </c>
      <c r="P594" s="2994"/>
      <c r="Q594" s="2996">
        <f t="shared" si="107"/>
        <v>1</v>
      </c>
      <c r="R594" s="2997">
        <f t="shared" ca="1" si="108"/>
        <v>17260</v>
      </c>
      <c r="S594" s="2962">
        <f t="shared" ca="1" si="109"/>
        <v>87</v>
      </c>
    </row>
    <row r="595" spans="1:19">
      <c r="A595" s="2992" t="str">
        <f>Sheet1!F576</f>
        <v>3-1024</v>
      </c>
      <c r="B595" s="2992">
        <f>Sheet1!G576</f>
        <v>50.63</v>
      </c>
      <c r="C595" s="2996">
        <f t="shared" si="100"/>
        <v>1</v>
      </c>
      <c r="D595" s="2994"/>
      <c r="E595" s="2996">
        <f t="shared" si="101"/>
        <v>1</v>
      </c>
      <c r="F595" s="2994"/>
      <c r="G595" s="2996">
        <f t="shared" si="102"/>
        <v>1</v>
      </c>
      <c r="H595" s="2994"/>
      <c r="I595" s="2996">
        <f t="shared" si="103"/>
        <v>1</v>
      </c>
      <c r="J595" s="2994"/>
      <c r="K595" s="2996">
        <f t="shared" si="104"/>
        <v>1</v>
      </c>
      <c r="L595" s="2994"/>
      <c r="M595" s="2996">
        <f t="shared" si="105"/>
        <v>1</v>
      </c>
      <c r="N595" s="2994"/>
      <c r="O595" s="2996">
        <f t="shared" si="106"/>
        <v>1</v>
      </c>
      <c r="P595" s="2994"/>
      <c r="Q595" s="2996">
        <f t="shared" si="107"/>
        <v>1</v>
      </c>
      <c r="R595" s="2997">
        <f t="shared" ca="1" si="108"/>
        <v>17260</v>
      </c>
      <c r="S595" s="2962">
        <f t="shared" ca="1" si="109"/>
        <v>87</v>
      </c>
    </row>
    <row r="596" spans="1:19">
      <c r="A596" s="2992" t="str">
        <f>Sheet1!F577</f>
        <v>3-1025</v>
      </c>
      <c r="B596" s="2992">
        <f>Sheet1!G577</f>
        <v>50.63</v>
      </c>
      <c r="C596" s="2996">
        <f t="shared" si="100"/>
        <v>1</v>
      </c>
      <c r="D596" s="2994"/>
      <c r="E596" s="2996">
        <f t="shared" si="101"/>
        <v>1</v>
      </c>
      <c r="F596" s="2994"/>
      <c r="G596" s="2996">
        <f t="shared" si="102"/>
        <v>1</v>
      </c>
      <c r="H596" s="2994"/>
      <c r="I596" s="2996">
        <f t="shared" si="103"/>
        <v>1</v>
      </c>
      <c r="J596" s="2994"/>
      <c r="K596" s="2996">
        <f t="shared" si="104"/>
        <v>1</v>
      </c>
      <c r="L596" s="2994"/>
      <c r="M596" s="2996">
        <f t="shared" si="105"/>
        <v>1</v>
      </c>
      <c r="N596" s="2994"/>
      <c r="O596" s="2996">
        <f t="shared" si="106"/>
        <v>1</v>
      </c>
      <c r="P596" s="2994"/>
      <c r="Q596" s="2996">
        <f t="shared" si="107"/>
        <v>1</v>
      </c>
      <c r="R596" s="2997">
        <f t="shared" ca="1" si="108"/>
        <v>17260</v>
      </c>
      <c r="S596" s="2962">
        <f t="shared" ca="1" si="109"/>
        <v>87</v>
      </c>
    </row>
    <row r="597" spans="1:19">
      <c r="A597" s="2992" t="str">
        <f>Sheet1!F578</f>
        <v>3-1026</v>
      </c>
      <c r="B597" s="2992">
        <f>Sheet1!G578</f>
        <v>50.63</v>
      </c>
      <c r="C597" s="2996">
        <f t="shared" si="100"/>
        <v>1</v>
      </c>
      <c r="D597" s="2994"/>
      <c r="E597" s="2996">
        <f t="shared" si="101"/>
        <v>1</v>
      </c>
      <c r="F597" s="2994"/>
      <c r="G597" s="2996">
        <f t="shared" si="102"/>
        <v>1</v>
      </c>
      <c r="H597" s="2994"/>
      <c r="I597" s="2996">
        <f t="shared" si="103"/>
        <v>1</v>
      </c>
      <c r="J597" s="2994"/>
      <c r="K597" s="2996">
        <f t="shared" si="104"/>
        <v>1</v>
      </c>
      <c r="L597" s="2994"/>
      <c r="M597" s="2996">
        <f t="shared" si="105"/>
        <v>1</v>
      </c>
      <c r="N597" s="2994"/>
      <c r="O597" s="2996">
        <f t="shared" si="106"/>
        <v>1</v>
      </c>
      <c r="P597" s="2994"/>
      <c r="Q597" s="2996">
        <f t="shared" si="107"/>
        <v>1</v>
      </c>
      <c r="R597" s="2997">
        <f t="shared" ca="1" si="108"/>
        <v>17260</v>
      </c>
      <c r="S597" s="2962">
        <f t="shared" ca="1" si="109"/>
        <v>87</v>
      </c>
    </row>
    <row r="598" spans="1:19">
      <c r="A598" s="2992" t="str">
        <f>Sheet1!F579</f>
        <v>3-1027</v>
      </c>
      <c r="B598" s="2992">
        <f>Sheet1!G579</f>
        <v>50.63</v>
      </c>
      <c r="C598" s="2996">
        <f t="shared" si="100"/>
        <v>1</v>
      </c>
      <c r="D598" s="2994"/>
      <c r="E598" s="2996">
        <f t="shared" si="101"/>
        <v>1</v>
      </c>
      <c r="F598" s="2994"/>
      <c r="G598" s="2996">
        <f t="shared" si="102"/>
        <v>1</v>
      </c>
      <c r="H598" s="2994"/>
      <c r="I598" s="2996">
        <f t="shared" si="103"/>
        <v>1</v>
      </c>
      <c r="J598" s="2994"/>
      <c r="K598" s="2996">
        <f t="shared" si="104"/>
        <v>1</v>
      </c>
      <c r="L598" s="2994"/>
      <c r="M598" s="2996">
        <f t="shared" si="105"/>
        <v>1</v>
      </c>
      <c r="N598" s="2994"/>
      <c r="O598" s="2996">
        <f t="shared" si="106"/>
        <v>1</v>
      </c>
      <c r="P598" s="2994"/>
      <c r="Q598" s="2996">
        <f t="shared" si="107"/>
        <v>1</v>
      </c>
      <c r="R598" s="2997">
        <f t="shared" ca="1" si="108"/>
        <v>17260</v>
      </c>
      <c r="S598" s="2962">
        <f t="shared" ca="1" si="109"/>
        <v>87</v>
      </c>
    </row>
    <row r="599" spans="1:19">
      <c r="A599" s="2992" t="str">
        <f>Sheet1!F580</f>
        <v>3-1028</v>
      </c>
      <c r="B599" s="2992">
        <f>Sheet1!G580</f>
        <v>50.63</v>
      </c>
      <c r="C599" s="2996">
        <f t="shared" si="100"/>
        <v>1</v>
      </c>
      <c r="D599" s="2994"/>
      <c r="E599" s="2996">
        <f t="shared" si="101"/>
        <v>1</v>
      </c>
      <c r="F599" s="2994"/>
      <c r="G599" s="2996">
        <f t="shared" si="102"/>
        <v>1</v>
      </c>
      <c r="H599" s="2994"/>
      <c r="I599" s="2996">
        <f t="shared" si="103"/>
        <v>1</v>
      </c>
      <c r="J599" s="2994"/>
      <c r="K599" s="2996">
        <f t="shared" si="104"/>
        <v>1</v>
      </c>
      <c r="L599" s="2994"/>
      <c r="M599" s="2996">
        <f t="shared" si="105"/>
        <v>1</v>
      </c>
      <c r="N599" s="2994"/>
      <c r="O599" s="2996">
        <f t="shared" si="106"/>
        <v>1</v>
      </c>
      <c r="P599" s="2994"/>
      <c r="Q599" s="2996">
        <f t="shared" si="107"/>
        <v>1</v>
      </c>
      <c r="R599" s="2997">
        <f t="shared" ca="1" si="108"/>
        <v>17260</v>
      </c>
      <c r="S599" s="2962">
        <f t="shared" ca="1" si="109"/>
        <v>87</v>
      </c>
    </row>
    <row r="600" spans="1:19">
      <c r="A600" s="2992" t="str">
        <f>Sheet1!F581</f>
        <v>3-1029</v>
      </c>
      <c r="B600" s="2992">
        <f>Sheet1!G581</f>
        <v>50.63</v>
      </c>
      <c r="C600" s="2996">
        <f t="shared" si="100"/>
        <v>1</v>
      </c>
      <c r="D600" s="2994"/>
      <c r="E600" s="2996">
        <f t="shared" si="101"/>
        <v>1</v>
      </c>
      <c r="F600" s="2994"/>
      <c r="G600" s="2996">
        <f t="shared" si="102"/>
        <v>1</v>
      </c>
      <c r="H600" s="2994"/>
      <c r="I600" s="2996">
        <f t="shared" si="103"/>
        <v>1</v>
      </c>
      <c r="J600" s="2994"/>
      <c r="K600" s="2996">
        <f t="shared" si="104"/>
        <v>1</v>
      </c>
      <c r="L600" s="2994"/>
      <c r="M600" s="2996">
        <f t="shared" si="105"/>
        <v>1</v>
      </c>
      <c r="N600" s="2994"/>
      <c r="O600" s="2996">
        <f t="shared" si="106"/>
        <v>1</v>
      </c>
      <c r="P600" s="2994"/>
      <c r="Q600" s="2996">
        <f t="shared" si="107"/>
        <v>1</v>
      </c>
      <c r="R600" s="2997">
        <f t="shared" ca="1" si="108"/>
        <v>17260</v>
      </c>
      <c r="S600" s="2962">
        <f t="shared" ca="1" si="109"/>
        <v>87</v>
      </c>
    </row>
    <row r="601" spans="1:19">
      <c r="A601" s="2992" t="str">
        <f>Sheet1!F582</f>
        <v>3-1030</v>
      </c>
      <c r="B601" s="2992">
        <f>Sheet1!G582</f>
        <v>50.63</v>
      </c>
      <c r="C601" s="2996">
        <f t="shared" si="100"/>
        <v>1</v>
      </c>
      <c r="D601" s="2994"/>
      <c r="E601" s="2996">
        <f t="shared" si="101"/>
        <v>1</v>
      </c>
      <c r="F601" s="2994"/>
      <c r="G601" s="2996">
        <f t="shared" si="102"/>
        <v>1</v>
      </c>
      <c r="H601" s="2994"/>
      <c r="I601" s="2996">
        <f t="shared" si="103"/>
        <v>1</v>
      </c>
      <c r="J601" s="2994"/>
      <c r="K601" s="2996">
        <f t="shared" si="104"/>
        <v>1</v>
      </c>
      <c r="L601" s="2994"/>
      <c r="M601" s="2996">
        <f t="shared" si="105"/>
        <v>1</v>
      </c>
      <c r="N601" s="2994"/>
      <c r="O601" s="2996">
        <f t="shared" si="106"/>
        <v>1</v>
      </c>
      <c r="P601" s="2994"/>
      <c r="Q601" s="2996">
        <f t="shared" si="107"/>
        <v>1</v>
      </c>
      <c r="R601" s="2997">
        <f t="shared" ca="1" si="108"/>
        <v>17260</v>
      </c>
      <c r="S601" s="2962">
        <f t="shared" ca="1" si="109"/>
        <v>87</v>
      </c>
    </row>
    <row r="602" spans="1:19">
      <c r="A602" s="2992" t="str">
        <f>Sheet1!F583</f>
        <v>3-1031</v>
      </c>
      <c r="B602" s="2992">
        <f>Sheet1!G583</f>
        <v>50.63</v>
      </c>
      <c r="C602" s="2996">
        <f t="shared" si="100"/>
        <v>1</v>
      </c>
      <c r="D602" s="2994"/>
      <c r="E602" s="2996">
        <f t="shared" si="101"/>
        <v>1</v>
      </c>
      <c r="F602" s="2994"/>
      <c r="G602" s="2996">
        <f t="shared" si="102"/>
        <v>1</v>
      </c>
      <c r="H602" s="2994"/>
      <c r="I602" s="2996">
        <f t="shared" si="103"/>
        <v>1</v>
      </c>
      <c r="J602" s="2994"/>
      <c r="K602" s="2996">
        <f t="shared" si="104"/>
        <v>1</v>
      </c>
      <c r="L602" s="2994"/>
      <c r="M602" s="2996">
        <f t="shared" si="105"/>
        <v>1</v>
      </c>
      <c r="N602" s="2994"/>
      <c r="O602" s="2996">
        <f t="shared" si="106"/>
        <v>1</v>
      </c>
      <c r="P602" s="2994"/>
      <c r="Q602" s="2996">
        <f t="shared" si="107"/>
        <v>1</v>
      </c>
      <c r="R602" s="2997">
        <f t="shared" ca="1" si="108"/>
        <v>17260</v>
      </c>
      <c r="S602" s="2962">
        <f t="shared" ca="1" si="109"/>
        <v>87</v>
      </c>
    </row>
    <row r="603" spans="1:19">
      <c r="A603" s="2992" t="str">
        <f>Sheet1!F584</f>
        <v>3-1032</v>
      </c>
      <c r="B603" s="2992">
        <f>Sheet1!G584</f>
        <v>50.63</v>
      </c>
      <c r="C603" s="2996">
        <f t="shared" si="100"/>
        <v>1</v>
      </c>
      <c r="D603" s="2994"/>
      <c r="E603" s="2996">
        <f t="shared" si="101"/>
        <v>1</v>
      </c>
      <c r="F603" s="2994"/>
      <c r="G603" s="2996">
        <f t="shared" si="102"/>
        <v>1</v>
      </c>
      <c r="H603" s="2994"/>
      <c r="I603" s="2996">
        <f t="shared" si="103"/>
        <v>1</v>
      </c>
      <c r="J603" s="2994"/>
      <c r="K603" s="2996">
        <f t="shared" si="104"/>
        <v>1</v>
      </c>
      <c r="L603" s="2994"/>
      <c r="M603" s="2996">
        <f t="shared" si="105"/>
        <v>1</v>
      </c>
      <c r="N603" s="2994"/>
      <c r="O603" s="2996">
        <f t="shared" si="106"/>
        <v>1</v>
      </c>
      <c r="P603" s="2994"/>
      <c r="Q603" s="2996">
        <f t="shared" si="107"/>
        <v>1</v>
      </c>
      <c r="R603" s="2997">
        <f t="shared" ca="1" si="108"/>
        <v>17260</v>
      </c>
      <c r="S603" s="2962">
        <f t="shared" ca="1" si="109"/>
        <v>87</v>
      </c>
    </row>
    <row r="604" spans="1:19">
      <c r="A604" s="2992" t="str">
        <f>Sheet1!F585</f>
        <v>3-1033</v>
      </c>
      <c r="B604" s="2992">
        <f>Sheet1!G585</f>
        <v>50.38</v>
      </c>
      <c r="C604" s="2996">
        <f t="shared" si="100"/>
        <v>1</v>
      </c>
      <c r="D604" s="2994"/>
      <c r="E604" s="2996">
        <f t="shared" si="101"/>
        <v>1</v>
      </c>
      <c r="F604" s="2994"/>
      <c r="G604" s="2996">
        <f t="shared" si="102"/>
        <v>1</v>
      </c>
      <c r="H604" s="2994"/>
      <c r="I604" s="2996">
        <f t="shared" si="103"/>
        <v>1</v>
      </c>
      <c r="J604" s="2994"/>
      <c r="K604" s="2996">
        <f t="shared" si="104"/>
        <v>1</v>
      </c>
      <c r="L604" s="2994"/>
      <c r="M604" s="2996">
        <f t="shared" si="105"/>
        <v>1</v>
      </c>
      <c r="N604" s="2994"/>
      <c r="O604" s="2996">
        <f t="shared" si="106"/>
        <v>1</v>
      </c>
      <c r="P604" s="2994"/>
      <c r="Q604" s="2996">
        <f t="shared" si="107"/>
        <v>1</v>
      </c>
      <c r="R604" s="2997">
        <f t="shared" ca="1" si="108"/>
        <v>17260</v>
      </c>
      <c r="S604" s="2962">
        <f t="shared" ca="1" si="109"/>
        <v>87</v>
      </c>
    </row>
    <row r="605" spans="1:19">
      <c r="A605" s="2992" t="str">
        <f>Sheet1!F586</f>
        <v>3-1034</v>
      </c>
      <c r="B605" s="2992">
        <f>Sheet1!G586</f>
        <v>51.12</v>
      </c>
      <c r="C605" s="2996">
        <f t="shared" si="100"/>
        <v>1</v>
      </c>
      <c r="D605" s="2994"/>
      <c r="E605" s="2996">
        <f t="shared" si="101"/>
        <v>1</v>
      </c>
      <c r="F605" s="2994"/>
      <c r="G605" s="2996">
        <f t="shared" si="102"/>
        <v>1</v>
      </c>
      <c r="H605" s="2994"/>
      <c r="I605" s="2996">
        <f t="shared" si="103"/>
        <v>1</v>
      </c>
      <c r="J605" s="2994"/>
      <c r="K605" s="2996">
        <f t="shared" si="104"/>
        <v>1</v>
      </c>
      <c r="L605" s="2994"/>
      <c r="M605" s="2996">
        <f t="shared" si="105"/>
        <v>1</v>
      </c>
      <c r="N605" s="2994"/>
      <c r="O605" s="2996">
        <f t="shared" si="106"/>
        <v>1</v>
      </c>
      <c r="P605" s="2994"/>
      <c r="Q605" s="2996">
        <f t="shared" si="107"/>
        <v>1</v>
      </c>
      <c r="R605" s="2997">
        <f t="shared" ca="1" si="108"/>
        <v>17260</v>
      </c>
      <c r="S605" s="2962">
        <f t="shared" ca="1" si="109"/>
        <v>88</v>
      </c>
    </row>
    <row r="606" spans="1:19">
      <c r="A606" s="2992" t="str">
        <f>Sheet1!F587</f>
        <v>3-1035</v>
      </c>
      <c r="B606" s="2992">
        <f>Sheet1!G587</f>
        <v>68.760000000000005</v>
      </c>
      <c r="C606" s="2996">
        <f t="shared" si="100"/>
        <v>1</v>
      </c>
      <c r="D606" s="2994"/>
      <c r="E606" s="2996">
        <f t="shared" si="101"/>
        <v>1</v>
      </c>
      <c r="F606" s="2994"/>
      <c r="G606" s="2996">
        <f t="shared" si="102"/>
        <v>1</v>
      </c>
      <c r="H606" s="2994"/>
      <c r="I606" s="2996">
        <f t="shared" si="103"/>
        <v>1</v>
      </c>
      <c r="J606" s="2994"/>
      <c r="K606" s="2996">
        <f t="shared" si="104"/>
        <v>1</v>
      </c>
      <c r="L606" s="2994"/>
      <c r="M606" s="2996">
        <f t="shared" si="105"/>
        <v>1</v>
      </c>
      <c r="N606" s="2994"/>
      <c r="O606" s="2996">
        <f t="shared" si="106"/>
        <v>1</v>
      </c>
      <c r="P606" s="2994"/>
      <c r="Q606" s="2996">
        <f t="shared" si="107"/>
        <v>1</v>
      </c>
      <c r="R606" s="2997">
        <f t="shared" ca="1" si="108"/>
        <v>17260</v>
      </c>
      <c r="S606" s="2962">
        <f t="shared" ca="1" si="109"/>
        <v>119</v>
      </c>
    </row>
    <row r="607" spans="1:19">
      <c r="A607" s="2992" t="str">
        <f>Sheet1!F588</f>
        <v>3-1036</v>
      </c>
      <c r="B607" s="2992">
        <f>Sheet1!G588</f>
        <v>69.319999999999993</v>
      </c>
      <c r="C607" s="2996">
        <f t="shared" si="100"/>
        <v>1</v>
      </c>
      <c r="D607" s="2994"/>
      <c r="E607" s="2996">
        <f t="shared" si="101"/>
        <v>1</v>
      </c>
      <c r="F607" s="2994"/>
      <c r="G607" s="2996">
        <f t="shared" si="102"/>
        <v>1</v>
      </c>
      <c r="H607" s="2994"/>
      <c r="I607" s="2996">
        <f t="shared" si="103"/>
        <v>1</v>
      </c>
      <c r="J607" s="2994"/>
      <c r="K607" s="2996">
        <f t="shared" si="104"/>
        <v>1</v>
      </c>
      <c r="L607" s="2994"/>
      <c r="M607" s="2996">
        <f t="shared" si="105"/>
        <v>1</v>
      </c>
      <c r="N607" s="2994"/>
      <c r="O607" s="2996">
        <f t="shared" si="106"/>
        <v>1</v>
      </c>
      <c r="P607" s="2994"/>
      <c r="Q607" s="2996">
        <f t="shared" si="107"/>
        <v>1</v>
      </c>
      <c r="R607" s="2997">
        <f t="shared" ca="1" si="108"/>
        <v>17260</v>
      </c>
      <c r="S607" s="2962">
        <f t="shared" ca="1" si="109"/>
        <v>120</v>
      </c>
    </row>
    <row r="608" spans="1:19">
      <c r="A608" s="2992" t="str">
        <f>Sheet1!F589</f>
        <v>3-1037</v>
      </c>
      <c r="B608" s="2992">
        <f>Sheet1!G589</f>
        <v>61.41</v>
      </c>
      <c r="C608" s="2996">
        <f t="shared" si="100"/>
        <v>1</v>
      </c>
      <c r="D608" s="2994"/>
      <c r="E608" s="2996">
        <f t="shared" si="101"/>
        <v>1</v>
      </c>
      <c r="F608" s="2994"/>
      <c r="G608" s="2996">
        <f t="shared" si="102"/>
        <v>1</v>
      </c>
      <c r="H608" s="2994"/>
      <c r="I608" s="2996">
        <f t="shared" si="103"/>
        <v>1</v>
      </c>
      <c r="J608" s="2994"/>
      <c r="K608" s="2996">
        <f t="shared" si="104"/>
        <v>1</v>
      </c>
      <c r="L608" s="2994"/>
      <c r="M608" s="2996">
        <f t="shared" si="105"/>
        <v>1</v>
      </c>
      <c r="N608" s="2994"/>
      <c r="O608" s="2996">
        <f t="shared" si="106"/>
        <v>1</v>
      </c>
      <c r="P608" s="2994"/>
      <c r="Q608" s="2996">
        <f t="shared" si="107"/>
        <v>1</v>
      </c>
      <c r="R608" s="2997">
        <f t="shared" ca="1" si="108"/>
        <v>17260</v>
      </c>
      <c r="S608" s="2962">
        <f t="shared" ca="1" si="109"/>
        <v>106</v>
      </c>
    </row>
    <row r="609" spans="1:19">
      <c r="A609" s="2992" t="str">
        <f>Sheet1!F590</f>
        <v>3-1038</v>
      </c>
      <c r="B609" s="2992">
        <f>Sheet1!G590</f>
        <v>61.41</v>
      </c>
      <c r="C609" s="2996">
        <f t="shared" si="100"/>
        <v>1</v>
      </c>
      <c r="D609" s="2994"/>
      <c r="E609" s="2996">
        <f t="shared" si="101"/>
        <v>1</v>
      </c>
      <c r="F609" s="2994"/>
      <c r="G609" s="2996">
        <f t="shared" si="102"/>
        <v>1</v>
      </c>
      <c r="H609" s="2994"/>
      <c r="I609" s="2996">
        <f t="shared" si="103"/>
        <v>1</v>
      </c>
      <c r="J609" s="2994"/>
      <c r="K609" s="2996">
        <f t="shared" si="104"/>
        <v>1</v>
      </c>
      <c r="L609" s="2994"/>
      <c r="M609" s="2996">
        <f t="shared" si="105"/>
        <v>1</v>
      </c>
      <c r="N609" s="2994"/>
      <c r="O609" s="2996">
        <f t="shared" si="106"/>
        <v>1</v>
      </c>
      <c r="P609" s="2994"/>
      <c r="Q609" s="2996">
        <f t="shared" si="107"/>
        <v>1</v>
      </c>
      <c r="R609" s="2997">
        <f t="shared" ca="1" si="108"/>
        <v>17260</v>
      </c>
      <c r="S609" s="2962">
        <f t="shared" ca="1" si="109"/>
        <v>106</v>
      </c>
    </row>
    <row r="610" spans="1:19">
      <c r="A610" s="2992" t="str">
        <f>Sheet1!F591</f>
        <v>3-1039</v>
      </c>
      <c r="B610" s="2992">
        <f>Sheet1!G591</f>
        <v>61.41</v>
      </c>
      <c r="C610" s="2996">
        <f t="shared" si="100"/>
        <v>1</v>
      </c>
      <c r="D610" s="2994"/>
      <c r="E610" s="2996">
        <f t="shared" si="101"/>
        <v>1</v>
      </c>
      <c r="F610" s="2994"/>
      <c r="G610" s="2996">
        <f t="shared" si="102"/>
        <v>1</v>
      </c>
      <c r="H610" s="2994"/>
      <c r="I610" s="2996">
        <f t="shared" si="103"/>
        <v>1</v>
      </c>
      <c r="J610" s="2994"/>
      <c r="K610" s="2996">
        <f t="shared" si="104"/>
        <v>1</v>
      </c>
      <c r="L610" s="2994"/>
      <c r="M610" s="2996">
        <f t="shared" si="105"/>
        <v>1</v>
      </c>
      <c r="N610" s="2994"/>
      <c r="O610" s="2996">
        <f t="shared" si="106"/>
        <v>1</v>
      </c>
      <c r="P610" s="2994"/>
      <c r="Q610" s="2996">
        <f t="shared" si="107"/>
        <v>1</v>
      </c>
      <c r="R610" s="2997">
        <f t="shared" ca="1" si="108"/>
        <v>17260</v>
      </c>
      <c r="S610" s="2962">
        <f t="shared" ca="1" si="109"/>
        <v>106</v>
      </c>
    </row>
    <row r="611" spans="1:19">
      <c r="A611" s="2992" t="str">
        <f>Sheet1!F592</f>
        <v>3-1040</v>
      </c>
      <c r="B611" s="2992">
        <f>Sheet1!G592</f>
        <v>61.41</v>
      </c>
      <c r="C611" s="2996">
        <f t="shared" si="100"/>
        <v>1</v>
      </c>
      <c r="D611" s="2994"/>
      <c r="E611" s="2996">
        <f t="shared" si="101"/>
        <v>1</v>
      </c>
      <c r="F611" s="2994"/>
      <c r="G611" s="2996">
        <f t="shared" si="102"/>
        <v>1</v>
      </c>
      <c r="H611" s="2994"/>
      <c r="I611" s="2996">
        <f t="shared" si="103"/>
        <v>1</v>
      </c>
      <c r="J611" s="2994"/>
      <c r="K611" s="2996">
        <f t="shared" si="104"/>
        <v>1</v>
      </c>
      <c r="L611" s="2994"/>
      <c r="M611" s="2996">
        <f t="shared" si="105"/>
        <v>1</v>
      </c>
      <c r="N611" s="2994"/>
      <c r="O611" s="2996">
        <f t="shared" si="106"/>
        <v>1</v>
      </c>
      <c r="P611" s="2994"/>
      <c r="Q611" s="2996">
        <f t="shared" si="107"/>
        <v>1</v>
      </c>
      <c r="R611" s="2997">
        <f t="shared" ca="1" si="108"/>
        <v>17260</v>
      </c>
      <c r="S611" s="2962">
        <f t="shared" ca="1" si="109"/>
        <v>106</v>
      </c>
    </row>
    <row r="612" spans="1:19">
      <c r="A612" s="2992" t="str">
        <f>Sheet1!F593</f>
        <v>3-1041</v>
      </c>
      <c r="B612" s="2992">
        <f>Sheet1!G593</f>
        <v>61.41</v>
      </c>
      <c r="C612" s="2996">
        <f t="shared" si="100"/>
        <v>1</v>
      </c>
      <c r="D612" s="2994"/>
      <c r="E612" s="2996">
        <f t="shared" si="101"/>
        <v>1</v>
      </c>
      <c r="F612" s="2994"/>
      <c r="G612" s="2996">
        <f t="shared" si="102"/>
        <v>1</v>
      </c>
      <c r="H612" s="2994"/>
      <c r="I612" s="2996">
        <f t="shared" si="103"/>
        <v>1</v>
      </c>
      <c r="J612" s="2994"/>
      <c r="K612" s="2996">
        <f t="shared" si="104"/>
        <v>1</v>
      </c>
      <c r="L612" s="2994"/>
      <c r="M612" s="2996">
        <f t="shared" si="105"/>
        <v>1</v>
      </c>
      <c r="N612" s="2994"/>
      <c r="O612" s="2996">
        <f t="shared" si="106"/>
        <v>1</v>
      </c>
      <c r="P612" s="2994"/>
      <c r="Q612" s="2996">
        <f t="shared" si="107"/>
        <v>1</v>
      </c>
      <c r="R612" s="2997">
        <f t="shared" ca="1" si="108"/>
        <v>17260</v>
      </c>
      <c r="S612" s="2962">
        <f t="shared" ca="1" si="109"/>
        <v>106</v>
      </c>
    </row>
    <row r="613" spans="1:19">
      <c r="A613" s="2992" t="str">
        <f>Sheet1!F594</f>
        <v>3-1042</v>
      </c>
      <c r="B613" s="2992">
        <f>Sheet1!G594</f>
        <v>72.87</v>
      </c>
      <c r="C613" s="2996">
        <f t="shared" si="100"/>
        <v>1</v>
      </c>
      <c r="D613" s="2994"/>
      <c r="E613" s="2996">
        <f t="shared" si="101"/>
        <v>1</v>
      </c>
      <c r="F613" s="2994"/>
      <c r="G613" s="2996">
        <f t="shared" si="102"/>
        <v>1</v>
      </c>
      <c r="H613" s="2994"/>
      <c r="I613" s="2996">
        <f t="shared" si="103"/>
        <v>1</v>
      </c>
      <c r="J613" s="2994"/>
      <c r="K613" s="2996">
        <f t="shared" si="104"/>
        <v>1</v>
      </c>
      <c r="L613" s="2994"/>
      <c r="M613" s="2996">
        <f t="shared" si="105"/>
        <v>1</v>
      </c>
      <c r="N613" s="2994"/>
      <c r="O613" s="2996">
        <f t="shared" si="106"/>
        <v>1</v>
      </c>
      <c r="P613" s="2994"/>
      <c r="Q613" s="2996">
        <f t="shared" si="107"/>
        <v>1</v>
      </c>
      <c r="R613" s="2997">
        <f t="shared" ca="1" si="108"/>
        <v>17260</v>
      </c>
      <c r="S613" s="2962">
        <f t="shared" ca="1" si="109"/>
        <v>126</v>
      </c>
    </row>
    <row r="614" spans="1:19">
      <c r="A614" s="2992" t="str">
        <f>Sheet1!F595</f>
        <v>3-1043</v>
      </c>
      <c r="B614" s="2992">
        <f>Sheet1!G595</f>
        <v>81.069999999999993</v>
      </c>
      <c r="C614" s="2996">
        <f t="shared" si="100"/>
        <v>1</v>
      </c>
      <c r="D614" s="2994"/>
      <c r="E614" s="2996">
        <f t="shared" si="101"/>
        <v>1</v>
      </c>
      <c r="F614" s="2994"/>
      <c r="G614" s="2996">
        <f t="shared" si="102"/>
        <v>1</v>
      </c>
      <c r="H614" s="2994"/>
      <c r="I614" s="2996">
        <f t="shared" si="103"/>
        <v>1</v>
      </c>
      <c r="J614" s="2994"/>
      <c r="K614" s="2996">
        <f t="shared" si="104"/>
        <v>1</v>
      </c>
      <c r="L614" s="2994"/>
      <c r="M614" s="2996">
        <f t="shared" si="105"/>
        <v>1</v>
      </c>
      <c r="N614" s="2994"/>
      <c r="O614" s="2996">
        <f t="shared" si="106"/>
        <v>1</v>
      </c>
      <c r="P614" s="2994"/>
      <c r="Q614" s="2996">
        <f t="shared" si="107"/>
        <v>1</v>
      </c>
      <c r="R614" s="2997">
        <f t="shared" ca="1" si="108"/>
        <v>17260</v>
      </c>
      <c r="S614" s="2962">
        <f t="shared" ca="1" si="109"/>
        <v>140</v>
      </c>
    </row>
    <row r="615" spans="1:19">
      <c r="A615" s="2992" t="str">
        <f>Sheet1!F596</f>
        <v>3-1044</v>
      </c>
      <c r="B615" s="2992">
        <f>Sheet1!G596</f>
        <v>61.41</v>
      </c>
      <c r="C615" s="2996">
        <f t="shared" si="100"/>
        <v>1</v>
      </c>
      <c r="D615" s="2994"/>
      <c r="E615" s="2996">
        <f t="shared" si="101"/>
        <v>1</v>
      </c>
      <c r="F615" s="2994"/>
      <c r="G615" s="2996">
        <f t="shared" si="102"/>
        <v>1</v>
      </c>
      <c r="H615" s="2994"/>
      <c r="I615" s="2996">
        <f t="shared" si="103"/>
        <v>1</v>
      </c>
      <c r="J615" s="2994"/>
      <c r="K615" s="2996">
        <f t="shared" si="104"/>
        <v>1</v>
      </c>
      <c r="L615" s="2994"/>
      <c r="M615" s="2996">
        <f t="shared" si="105"/>
        <v>1</v>
      </c>
      <c r="N615" s="2994"/>
      <c r="O615" s="2996">
        <f t="shared" si="106"/>
        <v>1</v>
      </c>
      <c r="P615" s="2994"/>
      <c r="Q615" s="2996">
        <f t="shared" si="107"/>
        <v>1</v>
      </c>
      <c r="R615" s="2997">
        <f t="shared" ca="1" si="108"/>
        <v>17260</v>
      </c>
      <c r="S615" s="2962">
        <f t="shared" ca="1" si="109"/>
        <v>106</v>
      </c>
    </row>
    <row r="616" spans="1:19">
      <c r="A616" s="2992" t="str">
        <f>Sheet1!F597</f>
        <v>3-1045</v>
      </c>
      <c r="B616" s="2992">
        <f>Sheet1!G597</f>
        <v>54.6</v>
      </c>
      <c r="C616" s="2996">
        <f t="shared" si="100"/>
        <v>1</v>
      </c>
      <c r="D616" s="2994"/>
      <c r="E616" s="2996">
        <f t="shared" si="101"/>
        <v>1</v>
      </c>
      <c r="F616" s="2994"/>
      <c r="G616" s="2996">
        <f t="shared" si="102"/>
        <v>1</v>
      </c>
      <c r="H616" s="2994"/>
      <c r="I616" s="2996">
        <f t="shared" si="103"/>
        <v>1</v>
      </c>
      <c r="J616" s="2994"/>
      <c r="K616" s="2996">
        <f t="shared" si="104"/>
        <v>1</v>
      </c>
      <c r="L616" s="2994"/>
      <c r="M616" s="2996">
        <f t="shared" si="105"/>
        <v>1</v>
      </c>
      <c r="N616" s="2994"/>
      <c r="O616" s="2996">
        <f t="shared" si="106"/>
        <v>1</v>
      </c>
      <c r="P616" s="2994"/>
      <c r="Q616" s="2996">
        <f t="shared" si="107"/>
        <v>1</v>
      </c>
      <c r="R616" s="2997">
        <f t="shared" ca="1" si="108"/>
        <v>17260</v>
      </c>
      <c r="S616" s="2962">
        <f t="shared" ca="1" si="109"/>
        <v>94</v>
      </c>
    </row>
    <row r="617" spans="1:19">
      <c r="A617" s="2992" t="str">
        <f>Sheet1!F598</f>
        <v>3-1046</v>
      </c>
      <c r="B617" s="2992">
        <f>Sheet1!G598</f>
        <v>71.23</v>
      </c>
      <c r="C617" s="2996">
        <f t="shared" si="100"/>
        <v>1</v>
      </c>
      <c r="D617" s="2994"/>
      <c r="E617" s="2996">
        <f t="shared" si="101"/>
        <v>1</v>
      </c>
      <c r="F617" s="2994"/>
      <c r="G617" s="2996">
        <f t="shared" si="102"/>
        <v>1</v>
      </c>
      <c r="H617" s="2994"/>
      <c r="I617" s="2996">
        <f t="shared" si="103"/>
        <v>1</v>
      </c>
      <c r="J617" s="2994"/>
      <c r="K617" s="2996">
        <f t="shared" si="104"/>
        <v>1</v>
      </c>
      <c r="L617" s="2994"/>
      <c r="M617" s="2996">
        <f t="shared" si="105"/>
        <v>1</v>
      </c>
      <c r="N617" s="2994"/>
      <c r="O617" s="2996">
        <f t="shared" si="106"/>
        <v>1</v>
      </c>
      <c r="P617" s="2994"/>
      <c r="Q617" s="2996">
        <f t="shared" si="107"/>
        <v>1</v>
      </c>
      <c r="R617" s="2997">
        <f t="shared" ca="1" si="108"/>
        <v>17260</v>
      </c>
      <c r="S617" s="2962">
        <f t="shared" ca="1" si="109"/>
        <v>123</v>
      </c>
    </row>
    <row r="618" spans="1:19">
      <c r="A618" s="2992" t="str">
        <f>Sheet1!F599</f>
        <v>3-1047</v>
      </c>
      <c r="B618" s="2992">
        <f>Sheet1!G599</f>
        <v>61.41</v>
      </c>
      <c r="C618" s="2996">
        <f t="shared" si="100"/>
        <v>1</v>
      </c>
      <c r="D618" s="2994"/>
      <c r="E618" s="2996">
        <f t="shared" si="101"/>
        <v>1</v>
      </c>
      <c r="F618" s="2994"/>
      <c r="G618" s="2996">
        <f t="shared" si="102"/>
        <v>1</v>
      </c>
      <c r="H618" s="2994"/>
      <c r="I618" s="2996">
        <f t="shared" si="103"/>
        <v>1</v>
      </c>
      <c r="J618" s="2994"/>
      <c r="K618" s="2996">
        <f t="shared" si="104"/>
        <v>1</v>
      </c>
      <c r="L618" s="2994"/>
      <c r="M618" s="2996">
        <f t="shared" si="105"/>
        <v>1</v>
      </c>
      <c r="N618" s="2994"/>
      <c r="O618" s="2996">
        <f t="shared" si="106"/>
        <v>1</v>
      </c>
      <c r="P618" s="2994"/>
      <c r="Q618" s="2996">
        <f t="shared" si="107"/>
        <v>1</v>
      </c>
      <c r="R618" s="2997">
        <f t="shared" ca="1" si="108"/>
        <v>17260</v>
      </c>
      <c r="S618" s="2962">
        <f t="shared" ca="1" si="109"/>
        <v>106</v>
      </c>
    </row>
    <row r="619" spans="1:19">
      <c r="A619" s="2992" t="str">
        <f>Sheet1!F600</f>
        <v>3-1048</v>
      </c>
      <c r="B619" s="2992">
        <f>Sheet1!G600</f>
        <v>61.41</v>
      </c>
      <c r="C619" s="2996">
        <f t="shared" si="100"/>
        <v>1</v>
      </c>
      <c r="D619" s="2994"/>
      <c r="E619" s="2996">
        <f t="shared" si="101"/>
        <v>1</v>
      </c>
      <c r="F619" s="2994"/>
      <c r="G619" s="2996">
        <f t="shared" si="102"/>
        <v>1</v>
      </c>
      <c r="H619" s="2994"/>
      <c r="I619" s="2996">
        <f t="shared" si="103"/>
        <v>1</v>
      </c>
      <c r="J619" s="2994"/>
      <c r="K619" s="2996">
        <f t="shared" si="104"/>
        <v>1</v>
      </c>
      <c r="L619" s="2994"/>
      <c r="M619" s="2996">
        <f t="shared" si="105"/>
        <v>1</v>
      </c>
      <c r="N619" s="2994"/>
      <c r="O619" s="2996">
        <f t="shared" si="106"/>
        <v>1</v>
      </c>
      <c r="P619" s="2994"/>
      <c r="Q619" s="2996">
        <f t="shared" si="107"/>
        <v>1</v>
      </c>
      <c r="R619" s="2997">
        <f t="shared" ca="1" si="108"/>
        <v>17260</v>
      </c>
      <c r="S619" s="2962">
        <f t="shared" ca="1" si="109"/>
        <v>106</v>
      </c>
    </row>
    <row r="620" spans="1:19">
      <c r="A620" s="2992" t="str">
        <f>Sheet1!F601</f>
        <v>3-1049</v>
      </c>
      <c r="B620" s="2992">
        <f>Sheet1!G601</f>
        <v>61.41</v>
      </c>
      <c r="C620" s="2996">
        <f t="shared" si="100"/>
        <v>1</v>
      </c>
      <c r="D620" s="2994"/>
      <c r="E620" s="2996">
        <f t="shared" si="101"/>
        <v>1</v>
      </c>
      <c r="F620" s="2994"/>
      <c r="G620" s="2996">
        <f t="shared" si="102"/>
        <v>1</v>
      </c>
      <c r="H620" s="2994"/>
      <c r="I620" s="2996">
        <f t="shared" si="103"/>
        <v>1</v>
      </c>
      <c r="J620" s="2994"/>
      <c r="K620" s="2996">
        <f t="shared" si="104"/>
        <v>1</v>
      </c>
      <c r="L620" s="2994"/>
      <c r="M620" s="2996">
        <f t="shared" si="105"/>
        <v>1</v>
      </c>
      <c r="N620" s="2994"/>
      <c r="O620" s="2996">
        <f t="shared" si="106"/>
        <v>1</v>
      </c>
      <c r="P620" s="2994"/>
      <c r="Q620" s="2996">
        <f t="shared" si="107"/>
        <v>1</v>
      </c>
      <c r="R620" s="2997">
        <f t="shared" ca="1" si="108"/>
        <v>17260</v>
      </c>
      <c r="S620" s="2962">
        <f t="shared" ca="1" si="109"/>
        <v>106</v>
      </c>
    </row>
    <row r="621" spans="1:19">
      <c r="A621" s="2992" t="str">
        <f>Sheet1!F602</f>
        <v>3-1050</v>
      </c>
      <c r="B621" s="2992">
        <f>Sheet1!G602</f>
        <v>61.88</v>
      </c>
      <c r="C621" s="2996">
        <f t="shared" si="100"/>
        <v>1</v>
      </c>
      <c r="D621" s="2994"/>
      <c r="E621" s="2996">
        <f t="shared" si="101"/>
        <v>1</v>
      </c>
      <c r="F621" s="2994"/>
      <c r="G621" s="2996">
        <f t="shared" si="102"/>
        <v>1</v>
      </c>
      <c r="H621" s="2994"/>
      <c r="I621" s="2996">
        <f t="shared" si="103"/>
        <v>1</v>
      </c>
      <c r="J621" s="2994"/>
      <c r="K621" s="2996">
        <f t="shared" si="104"/>
        <v>1</v>
      </c>
      <c r="L621" s="2994"/>
      <c r="M621" s="2996">
        <f t="shared" si="105"/>
        <v>1</v>
      </c>
      <c r="N621" s="2994"/>
      <c r="O621" s="2996">
        <f t="shared" si="106"/>
        <v>1</v>
      </c>
      <c r="P621" s="2994"/>
      <c r="Q621" s="2996">
        <f t="shared" si="107"/>
        <v>1</v>
      </c>
      <c r="R621" s="2997">
        <f t="shared" ca="1" si="108"/>
        <v>17260</v>
      </c>
      <c r="S621" s="2962">
        <f t="shared" ca="1" si="109"/>
        <v>107</v>
      </c>
    </row>
    <row r="622" spans="1:19">
      <c r="A622" s="2992" t="str">
        <f>Sheet1!F603</f>
        <v>3-1051</v>
      </c>
      <c r="B622" s="2992">
        <f>Sheet1!G603</f>
        <v>58.8</v>
      </c>
      <c r="C622" s="2996">
        <f t="shared" si="100"/>
        <v>1</v>
      </c>
      <c r="D622" s="2994"/>
      <c r="E622" s="2996">
        <f t="shared" si="101"/>
        <v>1</v>
      </c>
      <c r="F622" s="2994"/>
      <c r="G622" s="2996">
        <f t="shared" si="102"/>
        <v>1</v>
      </c>
      <c r="H622" s="2994"/>
      <c r="I622" s="2996">
        <f t="shared" si="103"/>
        <v>1</v>
      </c>
      <c r="J622" s="2994"/>
      <c r="K622" s="2996">
        <f t="shared" si="104"/>
        <v>1</v>
      </c>
      <c r="L622" s="2994"/>
      <c r="M622" s="2996">
        <f t="shared" si="105"/>
        <v>1</v>
      </c>
      <c r="N622" s="2994"/>
      <c r="O622" s="2996">
        <f t="shared" si="106"/>
        <v>1</v>
      </c>
      <c r="P622" s="2994"/>
      <c r="Q622" s="2996">
        <f t="shared" si="107"/>
        <v>1</v>
      </c>
      <c r="R622" s="2997">
        <f t="shared" ca="1" si="108"/>
        <v>17260</v>
      </c>
      <c r="S622" s="2962">
        <f t="shared" ca="1" si="109"/>
        <v>101</v>
      </c>
    </row>
    <row r="623" spans="1:19">
      <c r="A623" s="2992" t="str">
        <f>Sheet1!F604</f>
        <v>3-1052</v>
      </c>
      <c r="B623" s="2992">
        <f>Sheet1!G604</f>
        <v>60.21</v>
      </c>
      <c r="C623" s="2996">
        <f t="shared" si="100"/>
        <v>1</v>
      </c>
      <c r="D623" s="2994"/>
      <c r="E623" s="2996">
        <f t="shared" si="101"/>
        <v>1</v>
      </c>
      <c r="F623" s="2994"/>
      <c r="G623" s="2996">
        <f t="shared" si="102"/>
        <v>1</v>
      </c>
      <c r="H623" s="2994"/>
      <c r="I623" s="2996">
        <f t="shared" si="103"/>
        <v>1</v>
      </c>
      <c r="J623" s="2994"/>
      <c r="K623" s="2996">
        <f t="shared" si="104"/>
        <v>1</v>
      </c>
      <c r="L623" s="2994"/>
      <c r="M623" s="2996">
        <f t="shared" si="105"/>
        <v>1</v>
      </c>
      <c r="N623" s="2994"/>
      <c r="O623" s="2996">
        <f t="shared" si="106"/>
        <v>1</v>
      </c>
      <c r="P623" s="2994"/>
      <c r="Q623" s="2996">
        <f t="shared" si="107"/>
        <v>1</v>
      </c>
      <c r="R623" s="2997">
        <f t="shared" ca="1" si="108"/>
        <v>17260</v>
      </c>
      <c r="S623" s="2962">
        <f t="shared" ca="1" si="109"/>
        <v>104</v>
      </c>
    </row>
    <row r="624" spans="1:19">
      <c r="A624" s="2992" t="str">
        <f>Sheet1!F605</f>
        <v>4-1001</v>
      </c>
      <c r="B624" s="2992">
        <f>Sheet1!G605</f>
        <v>65.760000000000005</v>
      </c>
      <c r="C624" s="2996">
        <f t="shared" si="100"/>
        <v>1</v>
      </c>
      <c r="D624" s="2994"/>
      <c r="E624" s="2996">
        <f t="shared" si="101"/>
        <v>1</v>
      </c>
      <c r="F624" s="2994"/>
      <c r="G624" s="2996">
        <f t="shared" si="102"/>
        <v>1</v>
      </c>
      <c r="H624" s="2994"/>
      <c r="I624" s="2996">
        <f t="shared" si="103"/>
        <v>1</v>
      </c>
      <c r="J624" s="2994"/>
      <c r="K624" s="2996">
        <f t="shared" si="104"/>
        <v>1</v>
      </c>
      <c r="L624" s="2994"/>
      <c r="M624" s="2996">
        <f t="shared" si="105"/>
        <v>1</v>
      </c>
      <c r="N624" s="2994"/>
      <c r="O624" s="2996">
        <f t="shared" si="106"/>
        <v>1</v>
      </c>
      <c r="P624" s="2994"/>
      <c r="Q624" s="2996">
        <f t="shared" si="107"/>
        <v>1</v>
      </c>
      <c r="R624" s="2997">
        <f t="shared" ca="1" si="108"/>
        <v>17260</v>
      </c>
      <c r="S624" s="2962">
        <f t="shared" ca="1" si="109"/>
        <v>114</v>
      </c>
    </row>
    <row r="625" spans="1:19">
      <c r="A625" s="2992" t="str">
        <f>Sheet1!F606</f>
        <v>4-1002</v>
      </c>
      <c r="B625" s="2992">
        <f>Sheet1!G606</f>
        <v>59.41</v>
      </c>
      <c r="C625" s="2996">
        <f t="shared" si="100"/>
        <v>1</v>
      </c>
      <c r="D625" s="2994"/>
      <c r="E625" s="2996">
        <f t="shared" si="101"/>
        <v>1</v>
      </c>
      <c r="F625" s="2994"/>
      <c r="G625" s="2996">
        <f t="shared" si="102"/>
        <v>1</v>
      </c>
      <c r="H625" s="2994"/>
      <c r="I625" s="2996">
        <f t="shared" si="103"/>
        <v>1</v>
      </c>
      <c r="J625" s="2994"/>
      <c r="K625" s="2996">
        <f t="shared" si="104"/>
        <v>1</v>
      </c>
      <c r="L625" s="2994"/>
      <c r="M625" s="2996">
        <f t="shared" si="105"/>
        <v>1</v>
      </c>
      <c r="N625" s="2994"/>
      <c r="O625" s="2996">
        <f t="shared" si="106"/>
        <v>1</v>
      </c>
      <c r="P625" s="2994"/>
      <c r="Q625" s="2996">
        <f t="shared" si="107"/>
        <v>1</v>
      </c>
      <c r="R625" s="2997">
        <f t="shared" ca="1" si="108"/>
        <v>17260</v>
      </c>
      <c r="S625" s="2962">
        <f t="shared" ca="1" si="109"/>
        <v>103</v>
      </c>
    </row>
    <row r="626" spans="1:19">
      <c r="A626" s="2992" t="str">
        <f>Sheet1!F607</f>
        <v>4-1003</v>
      </c>
      <c r="B626" s="2992">
        <f>Sheet1!G607</f>
        <v>60.69</v>
      </c>
      <c r="C626" s="2996">
        <f t="shared" si="100"/>
        <v>1</v>
      </c>
      <c r="D626" s="2994"/>
      <c r="E626" s="2996">
        <f t="shared" si="101"/>
        <v>1</v>
      </c>
      <c r="F626" s="2994"/>
      <c r="G626" s="2996">
        <f t="shared" si="102"/>
        <v>1</v>
      </c>
      <c r="H626" s="2994"/>
      <c r="I626" s="2996">
        <f t="shared" si="103"/>
        <v>1</v>
      </c>
      <c r="J626" s="2994"/>
      <c r="K626" s="2996">
        <f t="shared" si="104"/>
        <v>1</v>
      </c>
      <c r="L626" s="2994"/>
      <c r="M626" s="2996">
        <f t="shared" si="105"/>
        <v>1</v>
      </c>
      <c r="N626" s="2994"/>
      <c r="O626" s="2996">
        <f t="shared" si="106"/>
        <v>1</v>
      </c>
      <c r="P626" s="2994"/>
      <c r="Q626" s="2996">
        <f t="shared" si="107"/>
        <v>1</v>
      </c>
      <c r="R626" s="2997">
        <f t="shared" ca="1" si="108"/>
        <v>17260</v>
      </c>
      <c r="S626" s="2962">
        <f t="shared" ca="1" si="109"/>
        <v>105</v>
      </c>
    </row>
    <row r="627" spans="1:19">
      <c r="A627" s="2992" t="str">
        <f>Sheet1!F608</f>
        <v>4-1004</v>
      </c>
      <c r="B627" s="2992">
        <f>Sheet1!G608</f>
        <v>60.69</v>
      </c>
      <c r="C627" s="2996">
        <f t="shared" si="100"/>
        <v>1</v>
      </c>
      <c r="D627" s="2994"/>
      <c r="E627" s="2996">
        <f t="shared" si="101"/>
        <v>1</v>
      </c>
      <c r="F627" s="2994"/>
      <c r="G627" s="2996">
        <f t="shared" si="102"/>
        <v>1</v>
      </c>
      <c r="H627" s="2994"/>
      <c r="I627" s="2996">
        <f t="shared" si="103"/>
        <v>1</v>
      </c>
      <c r="J627" s="2994"/>
      <c r="K627" s="2996">
        <f t="shared" si="104"/>
        <v>1</v>
      </c>
      <c r="L627" s="2994"/>
      <c r="M627" s="2996">
        <f t="shared" si="105"/>
        <v>1</v>
      </c>
      <c r="N627" s="2994"/>
      <c r="O627" s="2996">
        <f t="shared" si="106"/>
        <v>1</v>
      </c>
      <c r="P627" s="2994"/>
      <c r="Q627" s="2996">
        <f t="shared" si="107"/>
        <v>1</v>
      </c>
      <c r="R627" s="2997">
        <f t="shared" ca="1" si="108"/>
        <v>17260</v>
      </c>
      <c r="S627" s="2962">
        <f t="shared" ca="1" si="109"/>
        <v>105</v>
      </c>
    </row>
    <row r="628" spans="1:19">
      <c r="A628" s="2992" t="str">
        <f>Sheet1!F609</f>
        <v>4-1005</v>
      </c>
      <c r="B628" s="2992">
        <f>Sheet1!G609</f>
        <v>60.69</v>
      </c>
      <c r="C628" s="2996">
        <f t="shared" si="100"/>
        <v>1</v>
      </c>
      <c r="D628" s="2994"/>
      <c r="E628" s="2996">
        <f t="shared" si="101"/>
        <v>1</v>
      </c>
      <c r="F628" s="2994"/>
      <c r="G628" s="2996">
        <f t="shared" si="102"/>
        <v>1</v>
      </c>
      <c r="H628" s="2994"/>
      <c r="I628" s="2996">
        <f t="shared" si="103"/>
        <v>1</v>
      </c>
      <c r="J628" s="2994"/>
      <c r="K628" s="2996">
        <f t="shared" si="104"/>
        <v>1</v>
      </c>
      <c r="L628" s="2994"/>
      <c r="M628" s="2996">
        <f t="shared" si="105"/>
        <v>1</v>
      </c>
      <c r="N628" s="2994"/>
      <c r="O628" s="2996">
        <f t="shared" si="106"/>
        <v>1</v>
      </c>
      <c r="P628" s="2994"/>
      <c r="Q628" s="2996">
        <f t="shared" si="107"/>
        <v>1</v>
      </c>
      <c r="R628" s="2997">
        <f t="shared" ca="1" si="108"/>
        <v>17260</v>
      </c>
      <c r="S628" s="2962">
        <f t="shared" ca="1" si="109"/>
        <v>105</v>
      </c>
    </row>
    <row r="629" spans="1:19">
      <c r="A629" s="2992" t="str">
        <f>Sheet1!F610</f>
        <v>4-1006</v>
      </c>
      <c r="B629" s="2992">
        <f>Sheet1!G610</f>
        <v>60.69</v>
      </c>
      <c r="C629" s="2996">
        <f t="shared" si="100"/>
        <v>1</v>
      </c>
      <c r="D629" s="2994"/>
      <c r="E629" s="2996">
        <f t="shared" si="101"/>
        <v>1</v>
      </c>
      <c r="F629" s="2994"/>
      <c r="G629" s="2996">
        <f t="shared" si="102"/>
        <v>1</v>
      </c>
      <c r="H629" s="2994"/>
      <c r="I629" s="2996">
        <f t="shared" si="103"/>
        <v>1</v>
      </c>
      <c r="J629" s="2994"/>
      <c r="K629" s="2996">
        <f t="shared" si="104"/>
        <v>1</v>
      </c>
      <c r="L629" s="2994"/>
      <c r="M629" s="2996">
        <f t="shared" si="105"/>
        <v>1</v>
      </c>
      <c r="N629" s="2994"/>
      <c r="O629" s="2996">
        <f t="shared" si="106"/>
        <v>1</v>
      </c>
      <c r="P629" s="2994"/>
      <c r="Q629" s="2996">
        <f t="shared" si="107"/>
        <v>1</v>
      </c>
      <c r="R629" s="2997">
        <f t="shared" ca="1" si="108"/>
        <v>17260</v>
      </c>
      <c r="S629" s="2962">
        <f t="shared" ca="1" si="109"/>
        <v>105</v>
      </c>
    </row>
    <row r="630" spans="1:19">
      <c r="A630" s="2992" t="str">
        <f>Sheet1!F611</f>
        <v>4-1007</v>
      </c>
      <c r="B630" s="2992">
        <f>Sheet1!G611</f>
        <v>60.69</v>
      </c>
      <c r="C630" s="2996">
        <f t="shared" si="100"/>
        <v>1</v>
      </c>
      <c r="D630" s="2994"/>
      <c r="E630" s="2996">
        <f t="shared" si="101"/>
        <v>1</v>
      </c>
      <c r="F630" s="2994"/>
      <c r="G630" s="2996">
        <f t="shared" si="102"/>
        <v>1</v>
      </c>
      <c r="H630" s="2994"/>
      <c r="I630" s="2996">
        <f t="shared" si="103"/>
        <v>1</v>
      </c>
      <c r="J630" s="2994"/>
      <c r="K630" s="2996">
        <f t="shared" si="104"/>
        <v>1</v>
      </c>
      <c r="L630" s="2994"/>
      <c r="M630" s="2996">
        <f t="shared" si="105"/>
        <v>1</v>
      </c>
      <c r="N630" s="2994"/>
      <c r="O630" s="2996">
        <f t="shared" si="106"/>
        <v>1</v>
      </c>
      <c r="P630" s="2994"/>
      <c r="Q630" s="2996">
        <f t="shared" si="107"/>
        <v>1</v>
      </c>
      <c r="R630" s="2997">
        <f t="shared" ca="1" si="108"/>
        <v>17260</v>
      </c>
      <c r="S630" s="2962">
        <f t="shared" ca="1" si="109"/>
        <v>105</v>
      </c>
    </row>
    <row r="631" spans="1:19">
      <c r="A631" s="2992" t="str">
        <f>Sheet1!F612</f>
        <v>4-1008</v>
      </c>
      <c r="B631" s="2992">
        <f>Sheet1!G612</f>
        <v>60.69</v>
      </c>
      <c r="C631" s="2996">
        <f t="shared" si="100"/>
        <v>1</v>
      </c>
      <c r="D631" s="2994"/>
      <c r="E631" s="2996">
        <f t="shared" si="101"/>
        <v>1</v>
      </c>
      <c r="F631" s="2994"/>
      <c r="G631" s="2996">
        <f t="shared" si="102"/>
        <v>1</v>
      </c>
      <c r="H631" s="2994"/>
      <c r="I631" s="2996">
        <f t="shared" si="103"/>
        <v>1</v>
      </c>
      <c r="J631" s="2994"/>
      <c r="K631" s="2996">
        <f t="shared" si="104"/>
        <v>1</v>
      </c>
      <c r="L631" s="2994"/>
      <c r="M631" s="2996">
        <f t="shared" si="105"/>
        <v>1</v>
      </c>
      <c r="N631" s="2994"/>
      <c r="O631" s="2996">
        <f t="shared" si="106"/>
        <v>1</v>
      </c>
      <c r="P631" s="2994"/>
      <c r="Q631" s="2996">
        <f t="shared" si="107"/>
        <v>1</v>
      </c>
      <c r="R631" s="2997">
        <f t="shared" ca="1" si="108"/>
        <v>17260</v>
      </c>
      <c r="S631" s="2962">
        <f t="shared" ca="1" si="109"/>
        <v>105</v>
      </c>
    </row>
    <row r="632" spans="1:19">
      <c r="A632" s="2992" t="str">
        <f>Sheet1!F613</f>
        <v>4-1009</v>
      </c>
      <c r="B632" s="2992">
        <f>Sheet1!G613</f>
        <v>60.69</v>
      </c>
      <c r="C632" s="2996">
        <f t="shared" si="100"/>
        <v>1</v>
      </c>
      <c r="D632" s="2994"/>
      <c r="E632" s="2996">
        <f t="shared" si="101"/>
        <v>1</v>
      </c>
      <c r="F632" s="2994"/>
      <c r="G632" s="2996">
        <f t="shared" si="102"/>
        <v>1</v>
      </c>
      <c r="H632" s="2994"/>
      <c r="I632" s="2996">
        <f t="shared" si="103"/>
        <v>1</v>
      </c>
      <c r="J632" s="2994"/>
      <c r="K632" s="2996">
        <f t="shared" si="104"/>
        <v>1</v>
      </c>
      <c r="L632" s="2994"/>
      <c r="M632" s="2996">
        <f t="shared" si="105"/>
        <v>1</v>
      </c>
      <c r="N632" s="2994"/>
      <c r="O632" s="2996">
        <f t="shared" si="106"/>
        <v>1</v>
      </c>
      <c r="P632" s="2994"/>
      <c r="Q632" s="2996">
        <f t="shared" si="107"/>
        <v>1</v>
      </c>
      <c r="R632" s="2997">
        <f t="shared" ca="1" si="108"/>
        <v>17260</v>
      </c>
      <c r="S632" s="2962">
        <f t="shared" ca="1" si="109"/>
        <v>105</v>
      </c>
    </row>
    <row r="633" spans="1:19">
      <c r="A633" s="2992" t="str">
        <f>Sheet1!F614</f>
        <v>4-1010</v>
      </c>
      <c r="B633" s="2992">
        <f>Sheet1!G614</f>
        <v>60.69</v>
      </c>
      <c r="C633" s="2996">
        <f t="shared" si="100"/>
        <v>1</v>
      </c>
      <c r="D633" s="2994"/>
      <c r="E633" s="2996">
        <f t="shared" si="101"/>
        <v>1</v>
      </c>
      <c r="F633" s="2994"/>
      <c r="G633" s="2996">
        <f t="shared" si="102"/>
        <v>1</v>
      </c>
      <c r="H633" s="2994"/>
      <c r="I633" s="2996">
        <f t="shared" si="103"/>
        <v>1</v>
      </c>
      <c r="J633" s="2994"/>
      <c r="K633" s="2996">
        <f t="shared" si="104"/>
        <v>1</v>
      </c>
      <c r="L633" s="2994"/>
      <c r="M633" s="2996">
        <f t="shared" si="105"/>
        <v>1</v>
      </c>
      <c r="N633" s="2994"/>
      <c r="O633" s="2996">
        <f t="shared" si="106"/>
        <v>1</v>
      </c>
      <c r="P633" s="2994"/>
      <c r="Q633" s="2996">
        <f t="shared" si="107"/>
        <v>1</v>
      </c>
      <c r="R633" s="2997">
        <f t="shared" ca="1" si="108"/>
        <v>17260</v>
      </c>
      <c r="S633" s="2962">
        <f t="shared" ca="1" si="109"/>
        <v>105</v>
      </c>
    </row>
    <row r="634" spans="1:19">
      <c r="A634" s="2992" t="str">
        <f>Sheet1!F615</f>
        <v>4-1011</v>
      </c>
      <c r="B634" s="2992">
        <f>Sheet1!G615</f>
        <v>60.69</v>
      </c>
      <c r="C634" s="2996">
        <f t="shared" si="100"/>
        <v>1</v>
      </c>
      <c r="D634" s="2994"/>
      <c r="E634" s="2996">
        <f t="shared" si="101"/>
        <v>1</v>
      </c>
      <c r="F634" s="2994"/>
      <c r="G634" s="2996">
        <f t="shared" si="102"/>
        <v>1</v>
      </c>
      <c r="H634" s="2994"/>
      <c r="I634" s="2996">
        <f t="shared" si="103"/>
        <v>1</v>
      </c>
      <c r="J634" s="2994"/>
      <c r="K634" s="2996">
        <f t="shared" si="104"/>
        <v>1</v>
      </c>
      <c r="L634" s="2994"/>
      <c r="M634" s="2996">
        <f t="shared" si="105"/>
        <v>1</v>
      </c>
      <c r="N634" s="2994"/>
      <c r="O634" s="2996">
        <f t="shared" si="106"/>
        <v>1</v>
      </c>
      <c r="P634" s="2994"/>
      <c r="Q634" s="2996">
        <f t="shared" si="107"/>
        <v>1</v>
      </c>
      <c r="R634" s="2997">
        <f t="shared" ca="1" si="108"/>
        <v>17260</v>
      </c>
      <c r="S634" s="2962">
        <f t="shared" ca="1" si="109"/>
        <v>105</v>
      </c>
    </row>
    <row r="635" spans="1:19">
      <c r="A635" s="2992" t="str">
        <f>Sheet1!F616</f>
        <v>4-1012</v>
      </c>
      <c r="B635" s="2992">
        <f>Sheet1!G616</f>
        <v>54.3</v>
      </c>
      <c r="C635" s="2996">
        <f t="shared" si="100"/>
        <v>1</v>
      </c>
      <c r="D635" s="2994"/>
      <c r="E635" s="2996">
        <f t="shared" si="101"/>
        <v>1</v>
      </c>
      <c r="F635" s="2994"/>
      <c r="G635" s="2996">
        <f t="shared" si="102"/>
        <v>1</v>
      </c>
      <c r="H635" s="2994"/>
      <c r="I635" s="2996">
        <f t="shared" si="103"/>
        <v>1</v>
      </c>
      <c r="J635" s="2994"/>
      <c r="K635" s="2996">
        <f t="shared" si="104"/>
        <v>1</v>
      </c>
      <c r="L635" s="2994"/>
      <c r="M635" s="2996">
        <f t="shared" si="105"/>
        <v>1</v>
      </c>
      <c r="N635" s="2994"/>
      <c r="O635" s="2996">
        <f t="shared" si="106"/>
        <v>1</v>
      </c>
      <c r="P635" s="2994"/>
      <c r="Q635" s="2996">
        <f t="shared" si="107"/>
        <v>1</v>
      </c>
      <c r="R635" s="2997">
        <f t="shared" ca="1" si="108"/>
        <v>17260</v>
      </c>
      <c r="S635" s="2962">
        <f t="shared" ca="1" si="109"/>
        <v>94</v>
      </c>
    </row>
    <row r="636" spans="1:19">
      <c r="A636" s="2992" t="str">
        <f>Sheet1!F617</f>
        <v>4-1013</v>
      </c>
      <c r="B636" s="2992">
        <f>Sheet1!G617</f>
        <v>60.68</v>
      </c>
      <c r="C636" s="2996">
        <f t="shared" si="100"/>
        <v>1</v>
      </c>
      <c r="D636" s="2994"/>
      <c r="E636" s="2996">
        <f t="shared" si="101"/>
        <v>1</v>
      </c>
      <c r="F636" s="2994"/>
      <c r="G636" s="2996">
        <f t="shared" si="102"/>
        <v>1</v>
      </c>
      <c r="H636" s="2994"/>
      <c r="I636" s="2996">
        <f t="shared" si="103"/>
        <v>1</v>
      </c>
      <c r="J636" s="2994"/>
      <c r="K636" s="2996">
        <f t="shared" si="104"/>
        <v>1</v>
      </c>
      <c r="L636" s="2994"/>
      <c r="M636" s="2996">
        <f t="shared" si="105"/>
        <v>1</v>
      </c>
      <c r="N636" s="2994"/>
      <c r="O636" s="2996">
        <f t="shared" si="106"/>
        <v>1</v>
      </c>
      <c r="P636" s="2994"/>
      <c r="Q636" s="2996">
        <f t="shared" si="107"/>
        <v>1</v>
      </c>
      <c r="R636" s="2997">
        <f t="shared" ca="1" si="108"/>
        <v>17260</v>
      </c>
      <c r="S636" s="2962">
        <f t="shared" ca="1" si="109"/>
        <v>105</v>
      </c>
    </row>
    <row r="637" spans="1:19">
      <c r="A637" s="2992" t="str">
        <f>Sheet1!F618</f>
        <v>4-1014</v>
      </c>
      <c r="B637" s="2992">
        <f>Sheet1!G618</f>
        <v>80.459999999999994</v>
      </c>
      <c r="C637" s="2996">
        <f t="shared" si="100"/>
        <v>1</v>
      </c>
      <c r="D637" s="2994"/>
      <c r="E637" s="2996">
        <f t="shared" si="101"/>
        <v>1</v>
      </c>
      <c r="F637" s="2994"/>
      <c r="G637" s="2996">
        <f t="shared" si="102"/>
        <v>1</v>
      </c>
      <c r="H637" s="2994"/>
      <c r="I637" s="2996">
        <f t="shared" si="103"/>
        <v>1</v>
      </c>
      <c r="J637" s="2994"/>
      <c r="K637" s="2996">
        <f t="shared" si="104"/>
        <v>1</v>
      </c>
      <c r="L637" s="2994"/>
      <c r="M637" s="2996">
        <f t="shared" si="105"/>
        <v>1</v>
      </c>
      <c r="N637" s="2994"/>
      <c r="O637" s="2996">
        <f t="shared" si="106"/>
        <v>1</v>
      </c>
      <c r="P637" s="2994"/>
      <c r="Q637" s="2996">
        <f t="shared" si="107"/>
        <v>1</v>
      </c>
      <c r="R637" s="2997">
        <f t="shared" ca="1" si="108"/>
        <v>17260</v>
      </c>
      <c r="S637" s="2962">
        <f t="shared" ca="1" si="109"/>
        <v>139</v>
      </c>
    </row>
    <row r="638" spans="1:19">
      <c r="A638" s="2992" t="str">
        <f>Sheet1!F619</f>
        <v>4-1015</v>
      </c>
      <c r="B638" s="2992">
        <f>Sheet1!G619</f>
        <v>80.45</v>
      </c>
      <c r="C638" s="2996">
        <f t="shared" si="100"/>
        <v>1</v>
      </c>
      <c r="D638" s="2994"/>
      <c r="E638" s="2996">
        <f t="shared" si="101"/>
        <v>1</v>
      </c>
      <c r="F638" s="2994"/>
      <c r="G638" s="2996">
        <f t="shared" si="102"/>
        <v>1</v>
      </c>
      <c r="H638" s="2994"/>
      <c r="I638" s="2996">
        <f t="shared" si="103"/>
        <v>1</v>
      </c>
      <c r="J638" s="2994"/>
      <c r="K638" s="2996">
        <f t="shared" si="104"/>
        <v>1</v>
      </c>
      <c r="L638" s="2994"/>
      <c r="M638" s="2996">
        <f t="shared" si="105"/>
        <v>1</v>
      </c>
      <c r="N638" s="2994"/>
      <c r="O638" s="2996">
        <f t="shared" si="106"/>
        <v>1</v>
      </c>
      <c r="P638" s="2994"/>
      <c r="Q638" s="2996">
        <f t="shared" si="107"/>
        <v>1</v>
      </c>
      <c r="R638" s="2997">
        <f t="shared" ca="1" si="108"/>
        <v>17260</v>
      </c>
      <c r="S638" s="2962">
        <f t="shared" ca="1" si="109"/>
        <v>139</v>
      </c>
    </row>
    <row r="639" spans="1:19">
      <c r="A639" s="2992" t="str">
        <f>Sheet1!F620</f>
        <v>4-1016</v>
      </c>
      <c r="B639" s="2992">
        <f>Sheet1!G620</f>
        <v>60.69</v>
      </c>
      <c r="C639" s="2996">
        <f t="shared" si="100"/>
        <v>1</v>
      </c>
      <c r="D639" s="2994"/>
      <c r="E639" s="2996">
        <f t="shared" si="101"/>
        <v>1</v>
      </c>
      <c r="F639" s="2994"/>
      <c r="G639" s="2996">
        <f t="shared" si="102"/>
        <v>1</v>
      </c>
      <c r="H639" s="2994"/>
      <c r="I639" s="2996">
        <f t="shared" si="103"/>
        <v>1</v>
      </c>
      <c r="J639" s="2994"/>
      <c r="K639" s="2996">
        <f t="shared" si="104"/>
        <v>1</v>
      </c>
      <c r="L639" s="2994"/>
      <c r="M639" s="2996">
        <f t="shared" si="105"/>
        <v>1</v>
      </c>
      <c r="N639" s="2994"/>
      <c r="O639" s="2996">
        <f t="shared" si="106"/>
        <v>1</v>
      </c>
      <c r="P639" s="2994"/>
      <c r="Q639" s="2996">
        <f t="shared" si="107"/>
        <v>1</v>
      </c>
      <c r="R639" s="2997">
        <f t="shared" ca="1" si="108"/>
        <v>17260</v>
      </c>
      <c r="S639" s="2962">
        <f t="shared" ca="1" si="109"/>
        <v>105</v>
      </c>
    </row>
    <row r="640" spans="1:19">
      <c r="A640" s="2992" t="str">
        <f>Sheet1!F621</f>
        <v>4-1017</v>
      </c>
      <c r="B640" s="2992">
        <f>Sheet1!G621</f>
        <v>60.69</v>
      </c>
      <c r="C640" s="2996">
        <f t="shared" si="100"/>
        <v>1</v>
      </c>
      <c r="D640" s="2994"/>
      <c r="E640" s="2996">
        <f t="shared" si="101"/>
        <v>1</v>
      </c>
      <c r="F640" s="2994"/>
      <c r="G640" s="2996">
        <f t="shared" si="102"/>
        <v>1</v>
      </c>
      <c r="H640" s="2994"/>
      <c r="I640" s="2996">
        <f t="shared" si="103"/>
        <v>1</v>
      </c>
      <c r="J640" s="2994"/>
      <c r="K640" s="2996">
        <f t="shared" si="104"/>
        <v>1</v>
      </c>
      <c r="L640" s="2994"/>
      <c r="M640" s="2996">
        <f t="shared" si="105"/>
        <v>1</v>
      </c>
      <c r="N640" s="2994"/>
      <c r="O640" s="2996">
        <f t="shared" si="106"/>
        <v>1</v>
      </c>
      <c r="P640" s="2994"/>
      <c r="Q640" s="2996">
        <f t="shared" si="107"/>
        <v>1</v>
      </c>
      <c r="R640" s="2997">
        <f t="shared" ca="1" si="108"/>
        <v>17260</v>
      </c>
      <c r="S640" s="2962">
        <f t="shared" ca="1" si="109"/>
        <v>105</v>
      </c>
    </row>
    <row r="641" spans="1:19">
      <c r="A641" s="2992" t="str">
        <f>Sheet1!F622</f>
        <v>4-1018</v>
      </c>
      <c r="B641" s="2992">
        <f>Sheet1!G622</f>
        <v>60.68</v>
      </c>
      <c r="C641" s="2996">
        <f t="shared" si="100"/>
        <v>1</v>
      </c>
      <c r="D641" s="2994"/>
      <c r="E641" s="2996">
        <f t="shared" si="101"/>
        <v>1</v>
      </c>
      <c r="F641" s="2994"/>
      <c r="G641" s="2996">
        <f t="shared" si="102"/>
        <v>1</v>
      </c>
      <c r="H641" s="2994"/>
      <c r="I641" s="2996">
        <f t="shared" si="103"/>
        <v>1</v>
      </c>
      <c r="J641" s="2994"/>
      <c r="K641" s="2996">
        <f t="shared" si="104"/>
        <v>1</v>
      </c>
      <c r="L641" s="2994"/>
      <c r="M641" s="2996">
        <f t="shared" si="105"/>
        <v>1</v>
      </c>
      <c r="N641" s="2994"/>
      <c r="O641" s="2996">
        <f t="shared" si="106"/>
        <v>1</v>
      </c>
      <c r="P641" s="2994"/>
      <c r="Q641" s="2996">
        <f t="shared" si="107"/>
        <v>1</v>
      </c>
      <c r="R641" s="2997">
        <f t="shared" ca="1" si="108"/>
        <v>17260</v>
      </c>
      <c r="S641" s="2962">
        <f t="shared" ca="1" si="109"/>
        <v>105</v>
      </c>
    </row>
    <row r="642" spans="1:19">
      <c r="A642" s="2992" t="str">
        <f>Sheet1!F623</f>
        <v>4-1019</v>
      </c>
      <c r="B642" s="2992">
        <f>Sheet1!G623</f>
        <v>60.69</v>
      </c>
      <c r="C642" s="2996">
        <f t="shared" si="100"/>
        <v>1</v>
      </c>
      <c r="D642" s="2994"/>
      <c r="E642" s="2996">
        <f t="shared" si="101"/>
        <v>1</v>
      </c>
      <c r="F642" s="2994"/>
      <c r="G642" s="2996">
        <f t="shared" si="102"/>
        <v>1</v>
      </c>
      <c r="H642" s="2994"/>
      <c r="I642" s="2996">
        <f t="shared" si="103"/>
        <v>1</v>
      </c>
      <c r="J642" s="2994"/>
      <c r="K642" s="2996">
        <f t="shared" si="104"/>
        <v>1</v>
      </c>
      <c r="L642" s="2994"/>
      <c r="M642" s="2996">
        <f t="shared" si="105"/>
        <v>1</v>
      </c>
      <c r="N642" s="2994"/>
      <c r="O642" s="2996">
        <f t="shared" si="106"/>
        <v>1</v>
      </c>
      <c r="P642" s="2994"/>
      <c r="Q642" s="2996">
        <f t="shared" si="107"/>
        <v>1</v>
      </c>
      <c r="R642" s="2997">
        <f t="shared" ca="1" si="108"/>
        <v>17260</v>
      </c>
      <c r="S642" s="2962">
        <f t="shared" ca="1" si="109"/>
        <v>105</v>
      </c>
    </row>
    <row r="643" spans="1:19">
      <c r="A643" s="2992" t="str">
        <f>Sheet1!F624</f>
        <v>4-1020</v>
      </c>
      <c r="B643" s="2992">
        <f>Sheet1!G624</f>
        <v>60.69</v>
      </c>
      <c r="C643" s="2996">
        <f t="shared" si="100"/>
        <v>1</v>
      </c>
      <c r="D643" s="2994"/>
      <c r="E643" s="2996">
        <f t="shared" si="101"/>
        <v>1</v>
      </c>
      <c r="F643" s="2994"/>
      <c r="G643" s="2996">
        <f t="shared" si="102"/>
        <v>1</v>
      </c>
      <c r="H643" s="2994"/>
      <c r="I643" s="2996">
        <f t="shared" si="103"/>
        <v>1</v>
      </c>
      <c r="J643" s="2994"/>
      <c r="K643" s="2996">
        <f t="shared" si="104"/>
        <v>1</v>
      </c>
      <c r="L643" s="2994"/>
      <c r="M643" s="2996">
        <f t="shared" si="105"/>
        <v>1</v>
      </c>
      <c r="N643" s="2994"/>
      <c r="O643" s="2996">
        <f t="shared" si="106"/>
        <v>1</v>
      </c>
      <c r="P643" s="2994"/>
      <c r="Q643" s="2996">
        <f t="shared" si="107"/>
        <v>1</v>
      </c>
      <c r="R643" s="2997">
        <f t="shared" ca="1" si="108"/>
        <v>17260</v>
      </c>
      <c r="S643" s="2962">
        <f t="shared" ca="1" si="109"/>
        <v>105</v>
      </c>
    </row>
    <row r="644" spans="1:19">
      <c r="A644" s="2992" t="str">
        <f>Sheet1!F625</f>
        <v>4-1021</v>
      </c>
      <c r="B644" s="2992">
        <f>Sheet1!G625</f>
        <v>60.69</v>
      </c>
      <c r="C644" s="2996">
        <f t="shared" si="100"/>
        <v>1</v>
      </c>
      <c r="D644" s="2994"/>
      <c r="E644" s="2996">
        <f t="shared" si="101"/>
        <v>1</v>
      </c>
      <c r="F644" s="2994"/>
      <c r="G644" s="2996">
        <f t="shared" si="102"/>
        <v>1</v>
      </c>
      <c r="H644" s="2994"/>
      <c r="I644" s="2996">
        <f t="shared" si="103"/>
        <v>1</v>
      </c>
      <c r="J644" s="2994"/>
      <c r="K644" s="2996">
        <f t="shared" si="104"/>
        <v>1</v>
      </c>
      <c r="L644" s="2994"/>
      <c r="M644" s="2996">
        <f t="shared" si="105"/>
        <v>1</v>
      </c>
      <c r="N644" s="2994"/>
      <c r="O644" s="2996">
        <f t="shared" si="106"/>
        <v>1</v>
      </c>
      <c r="P644" s="2994"/>
      <c r="Q644" s="2996">
        <f t="shared" si="107"/>
        <v>1</v>
      </c>
      <c r="R644" s="2997">
        <f t="shared" ca="1" si="108"/>
        <v>17260</v>
      </c>
      <c r="S644" s="2962">
        <f t="shared" ca="1" si="109"/>
        <v>105</v>
      </c>
    </row>
    <row r="645" spans="1:19">
      <c r="A645" s="2992" t="str">
        <f>Sheet1!F626</f>
        <v>4-1022</v>
      </c>
      <c r="B645" s="2992">
        <f>Sheet1!G626</f>
        <v>60.69</v>
      </c>
      <c r="C645" s="2996">
        <f t="shared" si="100"/>
        <v>1</v>
      </c>
      <c r="D645" s="2994"/>
      <c r="E645" s="2996">
        <f t="shared" si="101"/>
        <v>1</v>
      </c>
      <c r="F645" s="2994"/>
      <c r="G645" s="2996">
        <f t="shared" si="102"/>
        <v>1</v>
      </c>
      <c r="H645" s="2994"/>
      <c r="I645" s="2996">
        <f t="shared" si="103"/>
        <v>1</v>
      </c>
      <c r="J645" s="2994"/>
      <c r="K645" s="2996">
        <f t="shared" si="104"/>
        <v>1</v>
      </c>
      <c r="L645" s="2994"/>
      <c r="M645" s="2996">
        <f t="shared" si="105"/>
        <v>1</v>
      </c>
      <c r="N645" s="2994"/>
      <c r="O645" s="2996">
        <f t="shared" si="106"/>
        <v>1</v>
      </c>
      <c r="P645" s="2994"/>
      <c r="Q645" s="2996">
        <f t="shared" si="107"/>
        <v>1</v>
      </c>
      <c r="R645" s="2997">
        <f t="shared" ca="1" si="108"/>
        <v>17260</v>
      </c>
      <c r="S645" s="2962">
        <f t="shared" ca="1" si="109"/>
        <v>105</v>
      </c>
    </row>
    <row r="646" spans="1:19">
      <c r="A646" s="2992" t="str">
        <f>Sheet1!F627</f>
        <v>4-1023</v>
      </c>
      <c r="B646" s="2992">
        <f>Sheet1!G627</f>
        <v>60.69</v>
      </c>
      <c r="C646" s="2996">
        <f t="shared" si="100"/>
        <v>1</v>
      </c>
      <c r="D646" s="2994"/>
      <c r="E646" s="2996">
        <f t="shared" si="101"/>
        <v>1</v>
      </c>
      <c r="F646" s="2994"/>
      <c r="G646" s="2996">
        <f t="shared" si="102"/>
        <v>1</v>
      </c>
      <c r="H646" s="2994"/>
      <c r="I646" s="2996">
        <f t="shared" si="103"/>
        <v>1</v>
      </c>
      <c r="J646" s="2994"/>
      <c r="K646" s="2996">
        <f t="shared" si="104"/>
        <v>1</v>
      </c>
      <c r="L646" s="2994"/>
      <c r="M646" s="2996">
        <f t="shared" si="105"/>
        <v>1</v>
      </c>
      <c r="N646" s="2994"/>
      <c r="O646" s="2996">
        <f t="shared" si="106"/>
        <v>1</v>
      </c>
      <c r="P646" s="2994"/>
      <c r="Q646" s="2996">
        <f t="shared" si="107"/>
        <v>1</v>
      </c>
      <c r="R646" s="2997">
        <f t="shared" ca="1" si="108"/>
        <v>17260</v>
      </c>
      <c r="S646" s="2962">
        <f t="shared" ca="1" si="109"/>
        <v>105</v>
      </c>
    </row>
    <row r="647" spans="1:19">
      <c r="A647" s="2992" t="str">
        <f>Sheet1!F628</f>
        <v>4-1024</v>
      </c>
      <c r="B647" s="2992">
        <f>Sheet1!G628</f>
        <v>60.69</v>
      </c>
      <c r="C647" s="2996">
        <f t="shared" si="100"/>
        <v>1</v>
      </c>
      <c r="D647" s="2994"/>
      <c r="E647" s="2996">
        <f t="shared" si="101"/>
        <v>1</v>
      </c>
      <c r="F647" s="2994"/>
      <c r="G647" s="2996">
        <f t="shared" si="102"/>
        <v>1</v>
      </c>
      <c r="H647" s="2994"/>
      <c r="I647" s="2996">
        <f t="shared" si="103"/>
        <v>1</v>
      </c>
      <c r="J647" s="2994"/>
      <c r="K647" s="2996">
        <f t="shared" si="104"/>
        <v>1</v>
      </c>
      <c r="L647" s="2994"/>
      <c r="M647" s="2996">
        <f t="shared" si="105"/>
        <v>1</v>
      </c>
      <c r="N647" s="2994"/>
      <c r="O647" s="2996">
        <f t="shared" si="106"/>
        <v>1</v>
      </c>
      <c r="P647" s="2994"/>
      <c r="Q647" s="2996">
        <f t="shared" si="107"/>
        <v>1</v>
      </c>
      <c r="R647" s="2997">
        <f t="shared" ca="1" si="108"/>
        <v>17260</v>
      </c>
      <c r="S647" s="2962">
        <f t="shared" ca="1" si="109"/>
        <v>105</v>
      </c>
    </row>
    <row r="648" spans="1:19">
      <c r="A648" s="2992" t="str">
        <f>Sheet1!F629</f>
        <v>4-1025</v>
      </c>
      <c r="B648" s="2992">
        <f>Sheet1!G629</f>
        <v>60.69</v>
      </c>
      <c r="C648" s="2996">
        <f t="shared" si="100"/>
        <v>1</v>
      </c>
      <c r="D648" s="2994"/>
      <c r="E648" s="2996">
        <f t="shared" si="101"/>
        <v>1</v>
      </c>
      <c r="F648" s="2994"/>
      <c r="G648" s="2996">
        <f t="shared" si="102"/>
        <v>1</v>
      </c>
      <c r="H648" s="2994"/>
      <c r="I648" s="2996">
        <f t="shared" si="103"/>
        <v>1</v>
      </c>
      <c r="J648" s="2994"/>
      <c r="K648" s="2996">
        <f t="shared" si="104"/>
        <v>1</v>
      </c>
      <c r="L648" s="2994"/>
      <c r="M648" s="2996">
        <f t="shared" si="105"/>
        <v>1</v>
      </c>
      <c r="N648" s="2994"/>
      <c r="O648" s="2996">
        <f t="shared" si="106"/>
        <v>1</v>
      </c>
      <c r="P648" s="2994"/>
      <c r="Q648" s="2996">
        <f t="shared" si="107"/>
        <v>1</v>
      </c>
      <c r="R648" s="2997">
        <f t="shared" ca="1" si="108"/>
        <v>17260</v>
      </c>
      <c r="S648" s="2962">
        <f t="shared" ca="1" si="109"/>
        <v>105</v>
      </c>
    </row>
    <row r="649" spans="1:19">
      <c r="A649" s="2992" t="str">
        <f>Sheet1!F630</f>
        <v>4-1026</v>
      </c>
      <c r="B649" s="2992">
        <f>Sheet1!G630</f>
        <v>60.69</v>
      </c>
      <c r="C649" s="2996">
        <f t="shared" si="100"/>
        <v>1</v>
      </c>
      <c r="D649" s="2994"/>
      <c r="E649" s="2996">
        <f t="shared" si="101"/>
        <v>1</v>
      </c>
      <c r="F649" s="2994"/>
      <c r="G649" s="2996">
        <f t="shared" si="102"/>
        <v>1</v>
      </c>
      <c r="H649" s="2994"/>
      <c r="I649" s="2996">
        <f t="shared" si="103"/>
        <v>1</v>
      </c>
      <c r="J649" s="2994"/>
      <c r="K649" s="2996">
        <f t="shared" si="104"/>
        <v>1</v>
      </c>
      <c r="L649" s="2994"/>
      <c r="M649" s="2996">
        <f t="shared" si="105"/>
        <v>1</v>
      </c>
      <c r="N649" s="2994"/>
      <c r="O649" s="2996">
        <f t="shared" si="106"/>
        <v>1</v>
      </c>
      <c r="P649" s="2994"/>
      <c r="Q649" s="2996">
        <f t="shared" si="107"/>
        <v>1</v>
      </c>
      <c r="R649" s="2997">
        <f t="shared" ca="1" si="108"/>
        <v>17260</v>
      </c>
      <c r="S649" s="2962">
        <f t="shared" ca="1" si="109"/>
        <v>105</v>
      </c>
    </row>
    <row r="650" spans="1:19">
      <c r="A650" s="2992" t="str">
        <f>Sheet1!F631</f>
        <v>4-1027</v>
      </c>
      <c r="B650" s="2992">
        <f>Sheet1!G631</f>
        <v>104.53</v>
      </c>
      <c r="C650" s="2996">
        <f t="shared" si="100"/>
        <v>0.99</v>
      </c>
      <c r="D650" s="2994"/>
      <c r="E650" s="2996">
        <f t="shared" si="101"/>
        <v>1</v>
      </c>
      <c r="F650" s="2994"/>
      <c r="G650" s="2996">
        <f t="shared" si="102"/>
        <v>1</v>
      </c>
      <c r="H650" s="2994"/>
      <c r="I650" s="2996">
        <f t="shared" si="103"/>
        <v>1</v>
      </c>
      <c r="J650" s="2994"/>
      <c r="K650" s="2996">
        <f t="shared" si="104"/>
        <v>1</v>
      </c>
      <c r="L650" s="2994"/>
      <c r="M650" s="2996">
        <f t="shared" si="105"/>
        <v>1</v>
      </c>
      <c r="N650" s="2994"/>
      <c r="O650" s="2996">
        <f t="shared" si="106"/>
        <v>1</v>
      </c>
      <c r="P650" s="2994"/>
      <c r="Q650" s="2996">
        <f t="shared" si="107"/>
        <v>1</v>
      </c>
      <c r="R650" s="2997">
        <f t="shared" ca="1" si="108"/>
        <v>17087</v>
      </c>
      <c r="S650" s="2962">
        <f t="shared" ca="1" si="109"/>
        <v>179</v>
      </c>
    </row>
    <row r="651" spans="1:19">
      <c r="A651" s="2992" t="str">
        <f>Sheet1!F632</f>
        <v>4-1028</v>
      </c>
      <c r="B651" s="2992">
        <f>Sheet1!G632</f>
        <v>55.78</v>
      </c>
      <c r="C651" s="2996">
        <f t="shared" si="100"/>
        <v>1</v>
      </c>
      <c r="D651" s="2994"/>
      <c r="E651" s="2996">
        <f t="shared" si="101"/>
        <v>1</v>
      </c>
      <c r="F651" s="2994"/>
      <c r="G651" s="2996">
        <f t="shared" si="102"/>
        <v>1</v>
      </c>
      <c r="H651" s="2994"/>
      <c r="I651" s="2996">
        <f t="shared" si="103"/>
        <v>1</v>
      </c>
      <c r="J651" s="2994"/>
      <c r="K651" s="2996">
        <f t="shared" si="104"/>
        <v>1</v>
      </c>
      <c r="L651" s="2994"/>
      <c r="M651" s="2996">
        <f t="shared" si="105"/>
        <v>1</v>
      </c>
      <c r="N651" s="2994"/>
      <c r="O651" s="2996">
        <f t="shared" si="106"/>
        <v>1</v>
      </c>
      <c r="P651" s="2994"/>
      <c r="Q651" s="2996">
        <f t="shared" si="107"/>
        <v>1</v>
      </c>
      <c r="R651" s="2997">
        <f t="shared" ca="1" si="108"/>
        <v>17260</v>
      </c>
      <c r="S651" s="2962">
        <f t="shared" ca="1" si="109"/>
        <v>96</v>
      </c>
    </row>
    <row r="652" spans="1:19">
      <c r="A652" s="2992" t="str">
        <f>Sheet1!F633</f>
        <v>4-1029</v>
      </c>
      <c r="B652" s="2992">
        <f>Sheet1!G633</f>
        <v>48.86</v>
      </c>
      <c r="C652" s="2996">
        <f t="shared" si="100"/>
        <v>1</v>
      </c>
      <c r="D652" s="2994"/>
      <c r="E652" s="2996">
        <f t="shared" si="101"/>
        <v>1</v>
      </c>
      <c r="F652" s="2994"/>
      <c r="G652" s="2996">
        <f t="shared" si="102"/>
        <v>1</v>
      </c>
      <c r="H652" s="2994"/>
      <c r="I652" s="2996">
        <f t="shared" si="103"/>
        <v>1</v>
      </c>
      <c r="J652" s="2994"/>
      <c r="K652" s="2996">
        <f t="shared" si="104"/>
        <v>1</v>
      </c>
      <c r="L652" s="2994"/>
      <c r="M652" s="2996">
        <f t="shared" si="105"/>
        <v>1</v>
      </c>
      <c r="N652" s="2994"/>
      <c r="O652" s="2996">
        <f t="shared" si="106"/>
        <v>1</v>
      </c>
      <c r="P652" s="2994"/>
      <c r="Q652" s="2996">
        <f t="shared" si="107"/>
        <v>1</v>
      </c>
      <c r="R652" s="2997">
        <f t="shared" ca="1" si="108"/>
        <v>17260</v>
      </c>
      <c r="S652" s="2962">
        <f t="shared" ca="1" si="109"/>
        <v>84</v>
      </c>
    </row>
    <row r="653" spans="1:19">
      <c r="A653" s="2992" t="str">
        <f>Sheet1!F634</f>
        <v>4-1030</v>
      </c>
      <c r="B653" s="2992">
        <f>Sheet1!G634</f>
        <v>48.86</v>
      </c>
      <c r="C653" s="2996">
        <f t="shared" ref="C653:C716" si="110">IF(B653="",1,(LOOKUP(B653,$3:$3,$4:$4)-LOOKUP($B$24,$3:$3,$4:$4)+100)/100)</f>
        <v>1</v>
      </c>
      <c r="D653" s="2994"/>
      <c r="E653" s="2996">
        <f t="shared" ref="E653:E716" si="111">(SUMIF($5:$5,D653,$6:$6)-SUMIF($5:$5,$D$24,$6:$6)+100)/100</f>
        <v>1</v>
      </c>
      <c r="F653" s="2994"/>
      <c r="G653" s="2996">
        <f t="shared" ref="G653:G716" si="112">(SUMIF($7:$7,F653,$8:$8)-SUMIF($7:$7,$F$24,$8:$8)+100)/100</f>
        <v>1</v>
      </c>
      <c r="H653" s="2994"/>
      <c r="I653" s="2996">
        <f t="shared" ref="I653:I716" si="113">(SUMIF($9:$9,H653,$10:$10)-SUMIF($9:$9,$H$24,$10:$10)+100)/100</f>
        <v>1</v>
      </c>
      <c r="J653" s="2994"/>
      <c r="K653" s="2996">
        <f t="shared" ref="K653:K716" si="114">(SUMIF($11:$11,J653,$12:$12)-SUMIF($11:$11,$J$24,$12:$12)+100)/100</f>
        <v>1</v>
      </c>
      <c r="L653" s="2994"/>
      <c r="M653" s="2996">
        <f t="shared" ref="M653:M716" si="115">(SUMIF($13:$13,L653,$14:$14)-SUMIF($13:$13,$L$24,$14:$14)+100)/100</f>
        <v>1</v>
      </c>
      <c r="N653" s="2994"/>
      <c r="O653" s="2996">
        <f t="shared" ref="O653:O716" si="116">(SUMIF($15:$15,N653,$16:$16)-SUMIF($15:$15,$N$24,$16:$16)+100)/100</f>
        <v>1</v>
      </c>
      <c r="P653" s="2994"/>
      <c r="Q653" s="2996">
        <f t="shared" ref="Q653:Q716" si="117">(SUMIF($17:$17,P653,$18:$18)-SUMIF($17:$17,$P$24,$18:$18)+100)/100</f>
        <v>1</v>
      </c>
      <c r="R653" s="2997">
        <f t="shared" ref="R653:R716" ca="1" si="118">IF(B653="",0,ROUND($R$24*C653*E653*G653*I653*K653*M653*O653*Q653,0))</f>
        <v>17260</v>
      </c>
      <c r="S653" s="2962">
        <f t="shared" ref="S653:S716" ca="1" si="119">ROUND(R653*B653/10000,0)</f>
        <v>84</v>
      </c>
    </row>
    <row r="654" spans="1:19">
      <c r="A654" s="2992" t="str">
        <f>Sheet1!F635</f>
        <v>4-1031</v>
      </c>
      <c r="B654" s="2992">
        <f>Sheet1!G635</f>
        <v>48.86</v>
      </c>
      <c r="C654" s="2996">
        <f t="shared" si="110"/>
        <v>1</v>
      </c>
      <c r="D654" s="2994"/>
      <c r="E654" s="2996">
        <f t="shared" si="111"/>
        <v>1</v>
      </c>
      <c r="F654" s="2994"/>
      <c r="G654" s="2996">
        <f t="shared" si="112"/>
        <v>1</v>
      </c>
      <c r="H654" s="2994"/>
      <c r="I654" s="2996">
        <f t="shared" si="113"/>
        <v>1</v>
      </c>
      <c r="J654" s="2994"/>
      <c r="K654" s="2996">
        <f t="shared" si="114"/>
        <v>1</v>
      </c>
      <c r="L654" s="2994"/>
      <c r="M654" s="2996">
        <f t="shared" si="115"/>
        <v>1</v>
      </c>
      <c r="N654" s="2994"/>
      <c r="O654" s="2996">
        <f t="shared" si="116"/>
        <v>1</v>
      </c>
      <c r="P654" s="2994"/>
      <c r="Q654" s="2996">
        <f t="shared" si="117"/>
        <v>1</v>
      </c>
      <c r="R654" s="2997">
        <f t="shared" ca="1" si="118"/>
        <v>17260</v>
      </c>
      <c r="S654" s="2962">
        <f t="shared" ca="1" si="119"/>
        <v>84</v>
      </c>
    </row>
    <row r="655" spans="1:19">
      <c r="A655" s="2992" t="str">
        <f>Sheet1!F636</f>
        <v>4-1032</v>
      </c>
      <c r="B655" s="2992">
        <f>Sheet1!G636</f>
        <v>54.5</v>
      </c>
      <c r="C655" s="2996">
        <f t="shared" si="110"/>
        <v>1</v>
      </c>
      <c r="D655" s="2994"/>
      <c r="E655" s="2996">
        <f t="shared" si="111"/>
        <v>1</v>
      </c>
      <c r="F655" s="2994"/>
      <c r="G655" s="2996">
        <f t="shared" si="112"/>
        <v>1</v>
      </c>
      <c r="H655" s="2994"/>
      <c r="I655" s="2996">
        <f t="shared" si="113"/>
        <v>1</v>
      </c>
      <c r="J655" s="2994"/>
      <c r="K655" s="2996">
        <f t="shared" si="114"/>
        <v>1</v>
      </c>
      <c r="L655" s="2994"/>
      <c r="M655" s="2996">
        <f t="shared" si="115"/>
        <v>1</v>
      </c>
      <c r="N655" s="2994"/>
      <c r="O655" s="2996">
        <f t="shared" si="116"/>
        <v>1</v>
      </c>
      <c r="P655" s="2994"/>
      <c r="Q655" s="2996">
        <f t="shared" si="117"/>
        <v>1</v>
      </c>
      <c r="R655" s="2997">
        <f t="shared" ca="1" si="118"/>
        <v>17260</v>
      </c>
      <c r="S655" s="2962">
        <f t="shared" ca="1" si="119"/>
        <v>94</v>
      </c>
    </row>
    <row r="656" spans="1:19">
      <c r="A656" s="2992" t="str">
        <f>Sheet1!F637</f>
        <v>4-1033</v>
      </c>
      <c r="B656" s="2992">
        <f>Sheet1!G637</f>
        <v>64.58</v>
      </c>
      <c r="C656" s="2996">
        <f t="shared" si="110"/>
        <v>1</v>
      </c>
      <c r="D656" s="2994"/>
      <c r="E656" s="2996">
        <f t="shared" si="111"/>
        <v>1</v>
      </c>
      <c r="F656" s="2994"/>
      <c r="G656" s="2996">
        <f t="shared" si="112"/>
        <v>1</v>
      </c>
      <c r="H656" s="2994"/>
      <c r="I656" s="2996">
        <f t="shared" si="113"/>
        <v>1</v>
      </c>
      <c r="J656" s="2994"/>
      <c r="K656" s="2996">
        <f t="shared" si="114"/>
        <v>1</v>
      </c>
      <c r="L656" s="2994"/>
      <c r="M656" s="2996">
        <f t="shared" si="115"/>
        <v>1</v>
      </c>
      <c r="N656" s="2994"/>
      <c r="O656" s="2996">
        <f t="shared" si="116"/>
        <v>1</v>
      </c>
      <c r="P656" s="2994"/>
      <c r="Q656" s="2996">
        <f t="shared" si="117"/>
        <v>1</v>
      </c>
      <c r="R656" s="2997">
        <f t="shared" ca="1" si="118"/>
        <v>17260</v>
      </c>
      <c r="S656" s="2962">
        <f t="shared" ca="1" si="119"/>
        <v>111</v>
      </c>
    </row>
    <row r="657" spans="1:19">
      <c r="A657" s="2992" t="str">
        <f>Sheet1!F638</f>
        <v>4-1034</v>
      </c>
      <c r="B657" s="2992">
        <f>Sheet1!G638</f>
        <v>45.32</v>
      </c>
      <c r="C657" s="2996">
        <f t="shared" si="110"/>
        <v>1</v>
      </c>
      <c r="D657" s="2994"/>
      <c r="E657" s="2996">
        <f t="shared" si="111"/>
        <v>1</v>
      </c>
      <c r="F657" s="2994"/>
      <c r="G657" s="2996">
        <f t="shared" si="112"/>
        <v>1</v>
      </c>
      <c r="H657" s="2994"/>
      <c r="I657" s="2996">
        <f t="shared" si="113"/>
        <v>1</v>
      </c>
      <c r="J657" s="2994"/>
      <c r="K657" s="2996">
        <f t="shared" si="114"/>
        <v>1</v>
      </c>
      <c r="L657" s="2994"/>
      <c r="M657" s="2996">
        <f t="shared" si="115"/>
        <v>1</v>
      </c>
      <c r="N657" s="2994"/>
      <c r="O657" s="2996">
        <f t="shared" si="116"/>
        <v>1</v>
      </c>
      <c r="P657" s="2994"/>
      <c r="Q657" s="2996">
        <f t="shared" si="117"/>
        <v>1</v>
      </c>
      <c r="R657" s="2997">
        <f t="shared" ca="1" si="118"/>
        <v>17260</v>
      </c>
      <c r="S657" s="2962">
        <f t="shared" ca="1" si="119"/>
        <v>78</v>
      </c>
    </row>
    <row r="658" spans="1:19">
      <c r="A658" s="2992" t="str">
        <f>Sheet1!F639</f>
        <v>4-1035</v>
      </c>
      <c r="B658" s="2992">
        <f>Sheet1!G639</f>
        <v>45.2</v>
      </c>
      <c r="C658" s="2996">
        <f t="shared" si="110"/>
        <v>1</v>
      </c>
      <c r="D658" s="2994"/>
      <c r="E658" s="2996">
        <f t="shared" si="111"/>
        <v>1</v>
      </c>
      <c r="F658" s="2994"/>
      <c r="G658" s="2996">
        <f t="shared" si="112"/>
        <v>1</v>
      </c>
      <c r="H658" s="2994"/>
      <c r="I658" s="2996">
        <f t="shared" si="113"/>
        <v>1</v>
      </c>
      <c r="J658" s="2994"/>
      <c r="K658" s="2996">
        <f t="shared" si="114"/>
        <v>1</v>
      </c>
      <c r="L658" s="2994"/>
      <c r="M658" s="2996">
        <f t="shared" si="115"/>
        <v>1</v>
      </c>
      <c r="N658" s="2994"/>
      <c r="O658" s="2996">
        <f t="shared" si="116"/>
        <v>1</v>
      </c>
      <c r="P658" s="2994"/>
      <c r="Q658" s="2996">
        <f t="shared" si="117"/>
        <v>1</v>
      </c>
      <c r="R658" s="2997">
        <f t="shared" ca="1" si="118"/>
        <v>17260</v>
      </c>
      <c r="S658" s="2962">
        <f t="shared" ca="1" si="119"/>
        <v>78</v>
      </c>
    </row>
    <row r="659" spans="1:19">
      <c r="A659" s="2992" t="str">
        <f>Sheet1!F640</f>
        <v>4-1036</v>
      </c>
      <c r="B659" s="2992">
        <f>Sheet1!G640</f>
        <v>45.32</v>
      </c>
      <c r="C659" s="2996">
        <f t="shared" si="110"/>
        <v>1</v>
      </c>
      <c r="D659" s="2994"/>
      <c r="E659" s="2996">
        <f t="shared" si="111"/>
        <v>1</v>
      </c>
      <c r="F659" s="2994"/>
      <c r="G659" s="2996">
        <f t="shared" si="112"/>
        <v>1</v>
      </c>
      <c r="H659" s="2994"/>
      <c r="I659" s="2996">
        <f t="shared" si="113"/>
        <v>1</v>
      </c>
      <c r="J659" s="2994"/>
      <c r="K659" s="2996">
        <f t="shared" si="114"/>
        <v>1</v>
      </c>
      <c r="L659" s="2994"/>
      <c r="M659" s="2996">
        <f t="shared" si="115"/>
        <v>1</v>
      </c>
      <c r="N659" s="2994"/>
      <c r="O659" s="2996">
        <f t="shared" si="116"/>
        <v>1</v>
      </c>
      <c r="P659" s="2994"/>
      <c r="Q659" s="2996">
        <f t="shared" si="117"/>
        <v>1</v>
      </c>
      <c r="R659" s="2997">
        <f t="shared" ca="1" si="118"/>
        <v>17260</v>
      </c>
      <c r="S659" s="2962">
        <f t="shared" ca="1" si="119"/>
        <v>78</v>
      </c>
    </row>
    <row r="660" spans="1:19">
      <c r="A660" s="2992" t="str">
        <f>Sheet1!F641</f>
        <v>4-1037</v>
      </c>
      <c r="B660" s="2992">
        <f>Sheet1!G641</f>
        <v>45.32</v>
      </c>
      <c r="C660" s="2996">
        <f t="shared" si="110"/>
        <v>1</v>
      </c>
      <c r="D660" s="2994"/>
      <c r="E660" s="2996">
        <f t="shared" si="111"/>
        <v>1</v>
      </c>
      <c r="F660" s="2994"/>
      <c r="G660" s="2996">
        <f t="shared" si="112"/>
        <v>1</v>
      </c>
      <c r="H660" s="2994"/>
      <c r="I660" s="2996">
        <f t="shared" si="113"/>
        <v>1</v>
      </c>
      <c r="J660" s="2994"/>
      <c r="K660" s="2996">
        <f t="shared" si="114"/>
        <v>1</v>
      </c>
      <c r="L660" s="2994"/>
      <c r="M660" s="2996">
        <f t="shared" si="115"/>
        <v>1</v>
      </c>
      <c r="N660" s="2994"/>
      <c r="O660" s="2996">
        <f t="shared" si="116"/>
        <v>1</v>
      </c>
      <c r="P660" s="2994"/>
      <c r="Q660" s="2996">
        <f t="shared" si="117"/>
        <v>1</v>
      </c>
      <c r="R660" s="2997">
        <f t="shared" ca="1" si="118"/>
        <v>17260</v>
      </c>
      <c r="S660" s="2962">
        <f t="shared" ca="1" si="119"/>
        <v>78</v>
      </c>
    </row>
    <row r="661" spans="1:19">
      <c r="A661" s="2992" t="str">
        <f>Sheet1!F642</f>
        <v>4-1038</v>
      </c>
      <c r="B661" s="2992">
        <f>Sheet1!G642</f>
        <v>48.86</v>
      </c>
      <c r="C661" s="2996">
        <f t="shared" si="110"/>
        <v>1</v>
      </c>
      <c r="D661" s="2994"/>
      <c r="E661" s="2996">
        <f t="shared" si="111"/>
        <v>1</v>
      </c>
      <c r="F661" s="2994"/>
      <c r="G661" s="2996">
        <f t="shared" si="112"/>
        <v>1</v>
      </c>
      <c r="H661" s="2994"/>
      <c r="I661" s="2996">
        <f t="shared" si="113"/>
        <v>1</v>
      </c>
      <c r="J661" s="2994"/>
      <c r="K661" s="2996">
        <f t="shared" si="114"/>
        <v>1</v>
      </c>
      <c r="L661" s="2994"/>
      <c r="M661" s="2996">
        <f t="shared" si="115"/>
        <v>1</v>
      </c>
      <c r="N661" s="2994"/>
      <c r="O661" s="2996">
        <f t="shared" si="116"/>
        <v>1</v>
      </c>
      <c r="P661" s="2994"/>
      <c r="Q661" s="2996">
        <f t="shared" si="117"/>
        <v>1</v>
      </c>
      <c r="R661" s="2997">
        <f t="shared" ca="1" si="118"/>
        <v>17260</v>
      </c>
      <c r="S661" s="2962">
        <f t="shared" ca="1" si="119"/>
        <v>84</v>
      </c>
    </row>
    <row r="662" spans="1:19">
      <c r="A662" s="2992" t="str">
        <f>Sheet1!F643</f>
        <v>4-1039</v>
      </c>
      <c r="B662" s="2992">
        <f>Sheet1!G643</f>
        <v>44.51</v>
      </c>
      <c r="C662" s="2996">
        <f t="shared" si="110"/>
        <v>1</v>
      </c>
      <c r="D662" s="2994"/>
      <c r="E662" s="2996">
        <f t="shared" si="111"/>
        <v>1</v>
      </c>
      <c r="F662" s="2994"/>
      <c r="G662" s="2996">
        <f t="shared" si="112"/>
        <v>1</v>
      </c>
      <c r="H662" s="2994"/>
      <c r="I662" s="2996">
        <f t="shared" si="113"/>
        <v>1</v>
      </c>
      <c r="J662" s="2994"/>
      <c r="K662" s="2996">
        <f t="shared" si="114"/>
        <v>1</v>
      </c>
      <c r="L662" s="2994"/>
      <c r="M662" s="2996">
        <f t="shared" si="115"/>
        <v>1</v>
      </c>
      <c r="N662" s="2994"/>
      <c r="O662" s="2996">
        <f t="shared" si="116"/>
        <v>1</v>
      </c>
      <c r="P662" s="2994"/>
      <c r="Q662" s="2996">
        <f t="shared" si="117"/>
        <v>1</v>
      </c>
      <c r="R662" s="2997">
        <f t="shared" ca="1" si="118"/>
        <v>17260</v>
      </c>
      <c r="S662" s="2962">
        <f t="shared" ca="1" si="119"/>
        <v>77</v>
      </c>
    </row>
    <row r="663" spans="1:19">
      <c r="A663" s="2992" t="str">
        <f>Sheet1!F644</f>
        <v>4-1040</v>
      </c>
      <c r="B663" s="2992">
        <f>Sheet1!G644</f>
        <v>54.67</v>
      </c>
      <c r="C663" s="2996">
        <f t="shared" si="110"/>
        <v>1</v>
      </c>
      <c r="D663" s="2994"/>
      <c r="E663" s="2996">
        <f t="shared" si="111"/>
        <v>1</v>
      </c>
      <c r="F663" s="2994"/>
      <c r="G663" s="2996">
        <f t="shared" si="112"/>
        <v>1</v>
      </c>
      <c r="H663" s="2994"/>
      <c r="I663" s="2996">
        <f t="shared" si="113"/>
        <v>1</v>
      </c>
      <c r="J663" s="2994"/>
      <c r="K663" s="2996">
        <f t="shared" si="114"/>
        <v>1</v>
      </c>
      <c r="L663" s="2994"/>
      <c r="M663" s="2996">
        <f t="shared" si="115"/>
        <v>1</v>
      </c>
      <c r="N663" s="2994"/>
      <c r="O663" s="2996">
        <f t="shared" si="116"/>
        <v>1</v>
      </c>
      <c r="P663" s="2994"/>
      <c r="Q663" s="2996">
        <f t="shared" si="117"/>
        <v>1</v>
      </c>
      <c r="R663" s="2997">
        <f t="shared" ca="1" si="118"/>
        <v>17260</v>
      </c>
      <c r="S663" s="2962">
        <f t="shared" ca="1" si="119"/>
        <v>94</v>
      </c>
    </row>
    <row r="664" spans="1:19">
      <c r="A664" s="2992" t="str">
        <f>Sheet1!F645</f>
        <v>4-1041</v>
      </c>
      <c r="B664" s="2992">
        <f>Sheet1!G645</f>
        <v>48.86</v>
      </c>
      <c r="C664" s="2996">
        <f t="shared" si="110"/>
        <v>1</v>
      </c>
      <c r="D664" s="2994"/>
      <c r="E664" s="2996">
        <f t="shared" si="111"/>
        <v>1</v>
      </c>
      <c r="F664" s="2994"/>
      <c r="G664" s="2996">
        <f t="shared" si="112"/>
        <v>1</v>
      </c>
      <c r="H664" s="2994"/>
      <c r="I664" s="2996">
        <f t="shared" si="113"/>
        <v>1</v>
      </c>
      <c r="J664" s="2994"/>
      <c r="K664" s="2996">
        <f t="shared" si="114"/>
        <v>1</v>
      </c>
      <c r="L664" s="2994"/>
      <c r="M664" s="2996">
        <f t="shared" si="115"/>
        <v>1</v>
      </c>
      <c r="N664" s="2994"/>
      <c r="O664" s="2996">
        <f t="shared" si="116"/>
        <v>1</v>
      </c>
      <c r="P664" s="2994"/>
      <c r="Q664" s="2996">
        <f t="shared" si="117"/>
        <v>1</v>
      </c>
      <c r="R664" s="2997">
        <f t="shared" ca="1" si="118"/>
        <v>17260</v>
      </c>
      <c r="S664" s="2962">
        <f t="shared" ca="1" si="119"/>
        <v>84</v>
      </c>
    </row>
    <row r="665" spans="1:19">
      <c r="A665" s="2992" t="str">
        <f>Sheet1!F646</f>
        <v>4-1042</v>
      </c>
      <c r="B665" s="2992">
        <f>Sheet1!G646</f>
        <v>48.86</v>
      </c>
      <c r="C665" s="2996">
        <f t="shared" si="110"/>
        <v>1</v>
      </c>
      <c r="D665" s="2994"/>
      <c r="E665" s="2996">
        <f t="shared" si="111"/>
        <v>1</v>
      </c>
      <c r="F665" s="2994"/>
      <c r="G665" s="2996">
        <f t="shared" si="112"/>
        <v>1</v>
      </c>
      <c r="H665" s="2994"/>
      <c r="I665" s="2996">
        <f t="shared" si="113"/>
        <v>1</v>
      </c>
      <c r="J665" s="2994"/>
      <c r="K665" s="2996">
        <f t="shared" si="114"/>
        <v>1</v>
      </c>
      <c r="L665" s="2994"/>
      <c r="M665" s="2996">
        <f t="shared" si="115"/>
        <v>1</v>
      </c>
      <c r="N665" s="2994"/>
      <c r="O665" s="2996">
        <f t="shared" si="116"/>
        <v>1</v>
      </c>
      <c r="P665" s="2994"/>
      <c r="Q665" s="2996">
        <f t="shared" si="117"/>
        <v>1</v>
      </c>
      <c r="R665" s="2997">
        <f t="shared" ca="1" si="118"/>
        <v>17260</v>
      </c>
      <c r="S665" s="2962">
        <f t="shared" ca="1" si="119"/>
        <v>84</v>
      </c>
    </row>
    <row r="666" spans="1:19">
      <c r="A666" s="2992" t="str">
        <f>Sheet1!F647</f>
        <v>4-1043</v>
      </c>
      <c r="B666" s="2992">
        <f>Sheet1!G647</f>
        <v>48.86</v>
      </c>
      <c r="C666" s="2996">
        <f t="shared" si="110"/>
        <v>1</v>
      </c>
      <c r="D666" s="2994"/>
      <c r="E666" s="2996">
        <f t="shared" si="111"/>
        <v>1</v>
      </c>
      <c r="F666" s="2994"/>
      <c r="G666" s="2996">
        <f t="shared" si="112"/>
        <v>1</v>
      </c>
      <c r="H666" s="2994"/>
      <c r="I666" s="2996">
        <f t="shared" si="113"/>
        <v>1</v>
      </c>
      <c r="J666" s="2994"/>
      <c r="K666" s="2996">
        <f t="shared" si="114"/>
        <v>1</v>
      </c>
      <c r="L666" s="2994"/>
      <c r="M666" s="2996">
        <f t="shared" si="115"/>
        <v>1</v>
      </c>
      <c r="N666" s="2994"/>
      <c r="O666" s="2996">
        <f t="shared" si="116"/>
        <v>1</v>
      </c>
      <c r="P666" s="2994"/>
      <c r="Q666" s="2996">
        <f t="shared" si="117"/>
        <v>1</v>
      </c>
      <c r="R666" s="2997">
        <f t="shared" ca="1" si="118"/>
        <v>17260</v>
      </c>
      <c r="S666" s="2962">
        <f t="shared" ca="1" si="119"/>
        <v>84</v>
      </c>
    </row>
    <row r="667" spans="1:19">
      <c r="A667" s="2992" t="str">
        <f>Sheet1!F648</f>
        <v>4-1044</v>
      </c>
      <c r="B667" s="2992">
        <f>Sheet1!G648</f>
        <v>54.87</v>
      </c>
      <c r="C667" s="2996">
        <f t="shared" si="110"/>
        <v>1</v>
      </c>
      <c r="D667" s="2994"/>
      <c r="E667" s="2996">
        <f t="shared" si="111"/>
        <v>1</v>
      </c>
      <c r="F667" s="2994"/>
      <c r="G667" s="2996">
        <f t="shared" si="112"/>
        <v>1</v>
      </c>
      <c r="H667" s="2994"/>
      <c r="I667" s="2996">
        <f t="shared" si="113"/>
        <v>1</v>
      </c>
      <c r="J667" s="2994"/>
      <c r="K667" s="2996">
        <f t="shared" si="114"/>
        <v>1</v>
      </c>
      <c r="L667" s="2994"/>
      <c r="M667" s="2996">
        <f t="shared" si="115"/>
        <v>1</v>
      </c>
      <c r="N667" s="2994"/>
      <c r="O667" s="2996">
        <f t="shared" si="116"/>
        <v>1</v>
      </c>
      <c r="P667" s="2994"/>
      <c r="Q667" s="2996">
        <f t="shared" si="117"/>
        <v>1</v>
      </c>
      <c r="R667" s="2997">
        <f t="shared" ca="1" si="118"/>
        <v>17260</v>
      </c>
      <c r="S667" s="2962">
        <f t="shared" ca="1" si="119"/>
        <v>95</v>
      </c>
    </row>
    <row r="668" spans="1:19">
      <c r="A668" s="2992" t="str">
        <f>Sheet1!F649</f>
        <v>4-1045</v>
      </c>
      <c r="B668" s="2992">
        <f>Sheet1!G649</f>
        <v>88.13</v>
      </c>
      <c r="C668" s="2996">
        <f t="shared" si="110"/>
        <v>1</v>
      </c>
      <c r="D668" s="2994"/>
      <c r="E668" s="2996">
        <f t="shared" si="111"/>
        <v>1</v>
      </c>
      <c r="F668" s="2994"/>
      <c r="G668" s="2996">
        <f t="shared" si="112"/>
        <v>1</v>
      </c>
      <c r="H668" s="2994"/>
      <c r="I668" s="2996">
        <f t="shared" si="113"/>
        <v>1</v>
      </c>
      <c r="J668" s="2994"/>
      <c r="K668" s="2996">
        <f t="shared" si="114"/>
        <v>1</v>
      </c>
      <c r="L668" s="2994"/>
      <c r="M668" s="2996">
        <f t="shared" si="115"/>
        <v>1</v>
      </c>
      <c r="N668" s="2994"/>
      <c r="O668" s="2996">
        <f t="shared" si="116"/>
        <v>1</v>
      </c>
      <c r="P668" s="2994"/>
      <c r="Q668" s="2996">
        <f t="shared" si="117"/>
        <v>1</v>
      </c>
      <c r="R668" s="2997">
        <f t="shared" ca="1" si="118"/>
        <v>17260</v>
      </c>
      <c r="S668" s="2962">
        <f t="shared" ca="1" si="119"/>
        <v>152</v>
      </c>
    </row>
    <row r="669" spans="1:19">
      <c r="A669" s="2992" t="str">
        <f>Sheet1!F650</f>
        <v>1-1101</v>
      </c>
      <c r="B669" s="2992">
        <f>Sheet1!G650</f>
        <v>186.33</v>
      </c>
      <c r="C669" s="2996">
        <f t="shared" si="110"/>
        <v>0.99</v>
      </c>
      <c r="D669" s="2994"/>
      <c r="E669" s="2996">
        <f t="shared" si="111"/>
        <v>1</v>
      </c>
      <c r="F669" s="2994"/>
      <c r="G669" s="2996">
        <f t="shared" si="112"/>
        <v>1</v>
      </c>
      <c r="H669" s="2994"/>
      <c r="I669" s="2996">
        <f t="shared" si="113"/>
        <v>1</v>
      </c>
      <c r="J669" s="2994"/>
      <c r="K669" s="2996">
        <f t="shared" si="114"/>
        <v>1</v>
      </c>
      <c r="L669" s="2994"/>
      <c r="M669" s="2996">
        <f t="shared" si="115"/>
        <v>1</v>
      </c>
      <c r="N669" s="2994"/>
      <c r="O669" s="2996">
        <f t="shared" si="116"/>
        <v>1</v>
      </c>
      <c r="P669" s="2994"/>
      <c r="Q669" s="2996">
        <f t="shared" si="117"/>
        <v>1</v>
      </c>
      <c r="R669" s="2997">
        <f t="shared" ca="1" si="118"/>
        <v>17087</v>
      </c>
      <c r="S669" s="2962">
        <f t="shared" ca="1" si="119"/>
        <v>318</v>
      </c>
    </row>
    <row r="670" spans="1:19">
      <c r="A670" s="2992" t="str">
        <f>Sheet1!F651</f>
        <v>1-1102</v>
      </c>
      <c r="B670" s="2992">
        <f>Sheet1!G651</f>
        <v>188.39</v>
      </c>
      <c r="C670" s="2996">
        <f t="shared" si="110"/>
        <v>0.99</v>
      </c>
      <c r="D670" s="2994"/>
      <c r="E670" s="2996">
        <f t="shared" si="111"/>
        <v>1</v>
      </c>
      <c r="F670" s="2994"/>
      <c r="G670" s="2996">
        <f t="shared" si="112"/>
        <v>1</v>
      </c>
      <c r="H670" s="2994"/>
      <c r="I670" s="2996">
        <f t="shared" si="113"/>
        <v>1</v>
      </c>
      <c r="J670" s="2994"/>
      <c r="K670" s="2996">
        <f t="shared" si="114"/>
        <v>1</v>
      </c>
      <c r="L670" s="2994"/>
      <c r="M670" s="2996">
        <f t="shared" si="115"/>
        <v>1</v>
      </c>
      <c r="N670" s="2994"/>
      <c r="O670" s="2996">
        <f t="shared" si="116"/>
        <v>1</v>
      </c>
      <c r="P670" s="2994"/>
      <c r="Q670" s="2996">
        <f t="shared" si="117"/>
        <v>1</v>
      </c>
      <c r="R670" s="2997">
        <f t="shared" ca="1" si="118"/>
        <v>17087</v>
      </c>
      <c r="S670" s="2962">
        <f t="shared" ca="1" si="119"/>
        <v>322</v>
      </c>
    </row>
    <row r="671" spans="1:19">
      <c r="A671" s="2992" t="str">
        <f>Sheet1!F652</f>
        <v>1-1103</v>
      </c>
      <c r="B671" s="2992">
        <f>Sheet1!G652</f>
        <v>188.39</v>
      </c>
      <c r="C671" s="2996">
        <f t="shared" si="110"/>
        <v>0.99</v>
      </c>
      <c r="D671" s="2994"/>
      <c r="E671" s="2996">
        <f t="shared" si="111"/>
        <v>1</v>
      </c>
      <c r="F671" s="2994"/>
      <c r="G671" s="2996">
        <f t="shared" si="112"/>
        <v>1</v>
      </c>
      <c r="H671" s="2994"/>
      <c r="I671" s="2996">
        <f t="shared" si="113"/>
        <v>1</v>
      </c>
      <c r="J671" s="2994"/>
      <c r="K671" s="2996">
        <f t="shared" si="114"/>
        <v>1</v>
      </c>
      <c r="L671" s="2994"/>
      <c r="M671" s="2996">
        <f t="shared" si="115"/>
        <v>1</v>
      </c>
      <c r="N671" s="2994"/>
      <c r="O671" s="2996">
        <f t="shared" si="116"/>
        <v>1</v>
      </c>
      <c r="P671" s="2994"/>
      <c r="Q671" s="2996">
        <f t="shared" si="117"/>
        <v>1</v>
      </c>
      <c r="R671" s="2997">
        <f t="shared" ca="1" si="118"/>
        <v>17087</v>
      </c>
      <c r="S671" s="2962">
        <f t="shared" ca="1" si="119"/>
        <v>322</v>
      </c>
    </row>
    <row r="672" spans="1:19">
      <c r="A672" s="2992" t="str">
        <f>Sheet1!F653</f>
        <v>1-1104</v>
      </c>
      <c r="B672" s="2992">
        <f>Sheet1!G653</f>
        <v>188.39</v>
      </c>
      <c r="C672" s="2996">
        <f t="shared" si="110"/>
        <v>0.99</v>
      </c>
      <c r="D672" s="2994"/>
      <c r="E672" s="2996">
        <f t="shared" si="111"/>
        <v>1</v>
      </c>
      <c r="F672" s="2994"/>
      <c r="G672" s="2996">
        <f t="shared" si="112"/>
        <v>1</v>
      </c>
      <c r="H672" s="2994"/>
      <c r="I672" s="2996">
        <f t="shared" si="113"/>
        <v>1</v>
      </c>
      <c r="J672" s="2994"/>
      <c r="K672" s="2996">
        <f t="shared" si="114"/>
        <v>1</v>
      </c>
      <c r="L672" s="2994"/>
      <c r="M672" s="2996">
        <f t="shared" si="115"/>
        <v>1</v>
      </c>
      <c r="N672" s="2994"/>
      <c r="O672" s="2996">
        <f t="shared" si="116"/>
        <v>1</v>
      </c>
      <c r="P672" s="2994"/>
      <c r="Q672" s="2996">
        <f t="shared" si="117"/>
        <v>1</v>
      </c>
      <c r="R672" s="2997">
        <f t="shared" ca="1" si="118"/>
        <v>17087</v>
      </c>
      <c r="S672" s="2962">
        <f t="shared" ca="1" si="119"/>
        <v>322</v>
      </c>
    </row>
    <row r="673" spans="1:19">
      <c r="A673" s="2992" t="str">
        <f>Sheet1!F654</f>
        <v>1-1105</v>
      </c>
      <c r="B673" s="2992">
        <f>Sheet1!G654</f>
        <v>188.39</v>
      </c>
      <c r="C673" s="2996">
        <f t="shared" si="110"/>
        <v>0.99</v>
      </c>
      <c r="D673" s="2994"/>
      <c r="E673" s="2996">
        <f t="shared" si="111"/>
        <v>1</v>
      </c>
      <c r="F673" s="2994"/>
      <c r="G673" s="2996">
        <f t="shared" si="112"/>
        <v>1</v>
      </c>
      <c r="H673" s="2994"/>
      <c r="I673" s="2996">
        <f t="shared" si="113"/>
        <v>1</v>
      </c>
      <c r="J673" s="2994"/>
      <c r="K673" s="2996">
        <f t="shared" si="114"/>
        <v>1</v>
      </c>
      <c r="L673" s="2994"/>
      <c r="M673" s="2996">
        <f t="shared" si="115"/>
        <v>1</v>
      </c>
      <c r="N673" s="2994"/>
      <c r="O673" s="2996">
        <f t="shared" si="116"/>
        <v>1</v>
      </c>
      <c r="P673" s="2994"/>
      <c r="Q673" s="2996">
        <f t="shared" si="117"/>
        <v>1</v>
      </c>
      <c r="R673" s="2997">
        <f t="shared" ca="1" si="118"/>
        <v>17087</v>
      </c>
      <c r="S673" s="2962">
        <f t="shared" ca="1" si="119"/>
        <v>322</v>
      </c>
    </row>
    <row r="674" spans="1:19">
      <c r="A674" s="2992" t="str">
        <f>Sheet1!F655</f>
        <v>1-1106</v>
      </c>
      <c r="B674" s="2992">
        <f>Sheet1!G655</f>
        <v>188.39</v>
      </c>
      <c r="C674" s="2996">
        <f t="shared" si="110"/>
        <v>0.99</v>
      </c>
      <c r="D674" s="2994"/>
      <c r="E674" s="2996">
        <f t="shared" si="111"/>
        <v>1</v>
      </c>
      <c r="F674" s="2994"/>
      <c r="G674" s="2996">
        <f t="shared" si="112"/>
        <v>1</v>
      </c>
      <c r="H674" s="2994"/>
      <c r="I674" s="2996">
        <f t="shared" si="113"/>
        <v>1</v>
      </c>
      <c r="J674" s="2994"/>
      <c r="K674" s="2996">
        <f t="shared" si="114"/>
        <v>1</v>
      </c>
      <c r="L674" s="2994"/>
      <c r="M674" s="2996">
        <f t="shared" si="115"/>
        <v>1</v>
      </c>
      <c r="N674" s="2994"/>
      <c r="O674" s="2996">
        <f t="shared" si="116"/>
        <v>1</v>
      </c>
      <c r="P674" s="2994"/>
      <c r="Q674" s="2996">
        <f t="shared" si="117"/>
        <v>1</v>
      </c>
      <c r="R674" s="2997">
        <f t="shared" ca="1" si="118"/>
        <v>17087</v>
      </c>
      <c r="S674" s="2962">
        <f t="shared" ca="1" si="119"/>
        <v>322</v>
      </c>
    </row>
    <row r="675" spans="1:19">
      <c r="A675" s="2992" t="str">
        <f>Sheet1!F656</f>
        <v>1-1107</v>
      </c>
      <c r="B675" s="2992">
        <f>Sheet1!G656</f>
        <v>187.53</v>
      </c>
      <c r="C675" s="2996">
        <f t="shared" si="110"/>
        <v>0.99</v>
      </c>
      <c r="D675" s="2994"/>
      <c r="E675" s="2996">
        <f t="shared" si="111"/>
        <v>1</v>
      </c>
      <c r="F675" s="2994"/>
      <c r="G675" s="2996">
        <f t="shared" si="112"/>
        <v>1</v>
      </c>
      <c r="H675" s="2994"/>
      <c r="I675" s="2996">
        <f t="shared" si="113"/>
        <v>1</v>
      </c>
      <c r="J675" s="2994"/>
      <c r="K675" s="2996">
        <f t="shared" si="114"/>
        <v>1</v>
      </c>
      <c r="L675" s="2994"/>
      <c r="M675" s="2996">
        <f t="shared" si="115"/>
        <v>1</v>
      </c>
      <c r="N675" s="2994"/>
      <c r="O675" s="2996">
        <f t="shared" si="116"/>
        <v>1</v>
      </c>
      <c r="P675" s="2994"/>
      <c r="Q675" s="2996">
        <f t="shared" si="117"/>
        <v>1</v>
      </c>
      <c r="R675" s="2997">
        <f t="shared" ca="1" si="118"/>
        <v>17087</v>
      </c>
      <c r="S675" s="2962">
        <f t="shared" ca="1" si="119"/>
        <v>320</v>
      </c>
    </row>
    <row r="676" spans="1:19">
      <c r="A676" s="2992" t="str">
        <f>Sheet1!F657</f>
        <v>1-1108</v>
      </c>
      <c r="B676" s="2992">
        <f>Sheet1!G657</f>
        <v>210.19</v>
      </c>
      <c r="C676" s="2996">
        <f t="shared" si="110"/>
        <v>0.98</v>
      </c>
      <c r="D676" s="2994"/>
      <c r="E676" s="2996">
        <f t="shared" si="111"/>
        <v>1</v>
      </c>
      <c r="F676" s="2994"/>
      <c r="G676" s="2996">
        <f t="shared" si="112"/>
        <v>1</v>
      </c>
      <c r="H676" s="2994"/>
      <c r="I676" s="2996">
        <f t="shared" si="113"/>
        <v>1</v>
      </c>
      <c r="J676" s="2994"/>
      <c r="K676" s="2996">
        <f t="shared" si="114"/>
        <v>1</v>
      </c>
      <c r="L676" s="2994"/>
      <c r="M676" s="2996">
        <f t="shared" si="115"/>
        <v>1</v>
      </c>
      <c r="N676" s="2994"/>
      <c r="O676" s="2996">
        <f t="shared" si="116"/>
        <v>1</v>
      </c>
      <c r="P676" s="2994"/>
      <c r="Q676" s="2996">
        <f t="shared" si="117"/>
        <v>1</v>
      </c>
      <c r="R676" s="2997">
        <f t="shared" ca="1" si="118"/>
        <v>16915</v>
      </c>
      <c r="S676" s="2962">
        <f t="shared" ca="1" si="119"/>
        <v>356</v>
      </c>
    </row>
    <row r="677" spans="1:19">
      <c r="A677" s="2992" t="str">
        <f>Sheet1!F658</f>
        <v>1-1109</v>
      </c>
      <c r="B677" s="2992">
        <f>Sheet1!G658</f>
        <v>169.2</v>
      </c>
      <c r="C677" s="2996">
        <f t="shared" si="110"/>
        <v>0.99</v>
      </c>
      <c r="D677" s="2994"/>
      <c r="E677" s="2996">
        <f t="shared" si="111"/>
        <v>1</v>
      </c>
      <c r="F677" s="2994"/>
      <c r="G677" s="2996">
        <f t="shared" si="112"/>
        <v>1</v>
      </c>
      <c r="H677" s="2994"/>
      <c r="I677" s="2996">
        <f t="shared" si="113"/>
        <v>1</v>
      </c>
      <c r="J677" s="2994"/>
      <c r="K677" s="2996">
        <f t="shared" si="114"/>
        <v>1</v>
      </c>
      <c r="L677" s="2994"/>
      <c r="M677" s="2996">
        <f t="shared" si="115"/>
        <v>1</v>
      </c>
      <c r="N677" s="2994"/>
      <c r="O677" s="2996">
        <f t="shared" si="116"/>
        <v>1</v>
      </c>
      <c r="P677" s="2994"/>
      <c r="Q677" s="2996">
        <f t="shared" si="117"/>
        <v>1</v>
      </c>
      <c r="R677" s="2997">
        <f t="shared" ca="1" si="118"/>
        <v>17087</v>
      </c>
      <c r="S677" s="2962">
        <f t="shared" ca="1" si="119"/>
        <v>289</v>
      </c>
    </row>
    <row r="678" spans="1:19">
      <c r="A678" s="2992" t="str">
        <f>Sheet1!F659</f>
        <v>1-1110</v>
      </c>
      <c r="B678" s="2992">
        <f>Sheet1!G659</f>
        <v>178.35</v>
      </c>
      <c r="C678" s="2996">
        <f t="shared" si="110"/>
        <v>0.99</v>
      </c>
      <c r="D678" s="2994"/>
      <c r="E678" s="2996">
        <f t="shared" si="111"/>
        <v>1</v>
      </c>
      <c r="F678" s="2994"/>
      <c r="G678" s="2996">
        <f t="shared" si="112"/>
        <v>1</v>
      </c>
      <c r="H678" s="2994"/>
      <c r="I678" s="2996">
        <f t="shared" si="113"/>
        <v>1</v>
      </c>
      <c r="J678" s="2994"/>
      <c r="K678" s="2996">
        <f t="shared" si="114"/>
        <v>1</v>
      </c>
      <c r="L678" s="2994"/>
      <c r="M678" s="2996">
        <f t="shared" si="115"/>
        <v>1</v>
      </c>
      <c r="N678" s="2994"/>
      <c r="O678" s="2996">
        <f t="shared" si="116"/>
        <v>1</v>
      </c>
      <c r="P678" s="2994"/>
      <c r="Q678" s="2996">
        <f t="shared" si="117"/>
        <v>1</v>
      </c>
      <c r="R678" s="2997">
        <f t="shared" ca="1" si="118"/>
        <v>17087</v>
      </c>
      <c r="S678" s="2962">
        <f t="shared" ca="1" si="119"/>
        <v>305</v>
      </c>
    </row>
    <row r="679" spans="1:19">
      <c r="A679" s="2992" t="str">
        <f>Sheet1!F660</f>
        <v>1-1111</v>
      </c>
      <c r="B679" s="2992">
        <f>Sheet1!G660</f>
        <v>208.92</v>
      </c>
      <c r="C679" s="2996">
        <f t="shared" si="110"/>
        <v>0.98</v>
      </c>
      <c r="D679" s="2994"/>
      <c r="E679" s="2996">
        <f t="shared" si="111"/>
        <v>1</v>
      </c>
      <c r="F679" s="2994"/>
      <c r="G679" s="2996">
        <f t="shared" si="112"/>
        <v>1</v>
      </c>
      <c r="H679" s="2994"/>
      <c r="I679" s="2996">
        <f t="shared" si="113"/>
        <v>1</v>
      </c>
      <c r="J679" s="2994"/>
      <c r="K679" s="2996">
        <f t="shared" si="114"/>
        <v>1</v>
      </c>
      <c r="L679" s="2994"/>
      <c r="M679" s="2996">
        <f t="shared" si="115"/>
        <v>1</v>
      </c>
      <c r="N679" s="2994"/>
      <c r="O679" s="2996">
        <f t="shared" si="116"/>
        <v>1</v>
      </c>
      <c r="P679" s="2994"/>
      <c r="Q679" s="2996">
        <f t="shared" si="117"/>
        <v>1</v>
      </c>
      <c r="R679" s="2997">
        <f t="shared" ca="1" si="118"/>
        <v>16915</v>
      </c>
      <c r="S679" s="2962">
        <f t="shared" ca="1" si="119"/>
        <v>353</v>
      </c>
    </row>
    <row r="680" spans="1:19">
      <c r="A680" s="2992" t="str">
        <f>Sheet1!F661</f>
        <v>1-1112</v>
      </c>
      <c r="B680" s="2992">
        <f>Sheet1!G661</f>
        <v>188.35</v>
      </c>
      <c r="C680" s="2996">
        <f t="shared" si="110"/>
        <v>0.99</v>
      </c>
      <c r="D680" s="2994"/>
      <c r="E680" s="2996">
        <f t="shared" si="111"/>
        <v>1</v>
      </c>
      <c r="F680" s="2994"/>
      <c r="G680" s="2996">
        <f t="shared" si="112"/>
        <v>1</v>
      </c>
      <c r="H680" s="2994"/>
      <c r="I680" s="2996">
        <f t="shared" si="113"/>
        <v>1</v>
      </c>
      <c r="J680" s="2994"/>
      <c r="K680" s="2996">
        <f t="shared" si="114"/>
        <v>1</v>
      </c>
      <c r="L680" s="2994"/>
      <c r="M680" s="2996">
        <f t="shared" si="115"/>
        <v>1</v>
      </c>
      <c r="N680" s="2994"/>
      <c r="O680" s="2996">
        <f t="shared" si="116"/>
        <v>1</v>
      </c>
      <c r="P680" s="2994"/>
      <c r="Q680" s="2996">
        <f t="shared" si="117"/>
        <v>1</v>
      </c>
      <c r="R680" s="2997">
        <f t="shared" ca="1" si="118"/>
        <v>17087</v>
      </c>
      <c r="S680" s="2962">
        <f t="shared" ca="1" si="119"/>
        <v>322</v>
      </c>
    </row>
    <row r="681" spans="1:19">
      <c r="A681" s="2992" t="str">
        <f>Sheet1!F662</f>
        <v>1-1113</v>
      </c>
      <c r="B681" s="2992">
        <f>Sheet1!G662</f>
        <v>188.39</v>
      </c>
      <c r="C681" s="2996">
        <f t="shared" si="110"/>
        <v>0.99</v>
      </c>
      <c r="D681" s="2994"/>
      <c r="E681" s="2996">
        <f t="shared" si="111"/>
        <v>1</v>
      </c>
      <c r="F681" s="2994"/>
      <c r="G681" s="2996">
        <f t="shared" si="112"/>
        <v>1</v>
      </c>
      <c r="H681" s="2994"/>
      <c r="I681" s="2996">
        <f t="shared" si="113"/>
        <v>1</v>
      </c>
      <c r="J681" s="2994"/>
      <c r="K681" s="2996">
        <f t="shared" si="114"/>
        <v>1</v>
      </c>
      <c r="L681" s="2994"/>
      <c r="M681" s="2996">
        <f t="shared" si="115"/>
        <v>1</v>
      </c>
      <c r="N681" s="2994"/>
      <c r="O681" s="2996">
        <f t="shared" si="116"/>
        <v>1</v>
      </c>
      <c r="P681" s="2994"/>
      <c r="Q681" s="2996">
        <f t="shared" si="117"/>
        <v>1</v>
      </c>
      <c r="R681" s="2997">
        <f t="shared" ca="1" si="118"/>
        <v>17087</v>
      </c>
      <c r="S681" s="2962">
        <f t="shared" ca="1" si="119"/>
        <v>322</v>
      </c>
    </row>
    <row r="682" spans="1:19">
      <c r="A682" s="2992" t="str">
        <f>Sheet1!F663</f>
        <v>1-1114</v>
      </c>
      <c r="B682" s="2992">
        <f>Sheet1!G663</f>
        <v>188.39</v>
      </c>
      <c r="C682" s="2996">
        <f t="shared" si="110"/>
        <v>0.99</v>
      </c>
      <c r="D682" s="2994"/>
      <c r="E682" s="2996">
        <f t="shared" si="111"/>
        <v>1</v>
      </c>
      <c r="F682" s="2994"/>
      <c r="G682" s="2996">
        <f t="shared" si="112"/>
        <v>1</v>
      </c>
      <c r="H682" s="2994"/>
      <c r="I682" s="2996">
        <f t="shared" si="113"/>
        <v>1</v>
      </c>
      <c r="J682" s="2994"/>
      <c r="K682" s="2996">
        <f t="shared" si="114"/>
        <v>1</v>
      </c>
      <c r="L682" s="2994"/>
      <c r="M682" s="2996">
        <f t="shared" si="115"/>
        <v>1</v>
      </c>
      <c r="N682" s="2994"/>
      <c r="O682" s="2996">
        <f t="shared" si="116"/>
        <v>1</v>
      </c>
      <c r="P682" s="2994"/>
      <c r="Q682" s="2996">
        <f t="shared" si="117"/>
        <v>1</v>
      </c>
      <c r="R682" s="2997">
        <f t="shared" ca="1" si="118"/>
        <v>17087</v>
      </c>
      <c r="S682" s="2962">
        <f t="shared" ca="1" si="119"/>
        <v>322</v>
      </c>
    </row>
    <row r="683" spans="1:19">
      <c r="A683" s="2992" t="str">
        <f>Sheet1!F664</f>
        <v>1-1115</v>
      </c>
      <c r="B683" s="2992">
        <f>Sheet1!G664</f>
        <v>188.39</v>
      </c>
      <c r="C683" s="2996">
        <f t="shared" si="110"/>
        <v>0.99</v>
      </c>
      <c r="D683" s="2994"/>
      <c r="E683" s="2996">
        <f t="shared" si="111"/>
        <v>1</v>
      </c>
      <c r="F683" s="2994"/>
      <c r="G683" s="2996">
        <f t="shared" si="112"/>
        <v>1</v>
      </c>
      <c r="H683" s="2994"/>
      <c r="I683" s="2996">
        <f t="shared" si="113"/>
        <v>1</v>
      </c>
      <c r="J683" s="2994"/>
      <c r="K683" s="2996">
        <f t="shared" si="114"/>
        <v>1</v>
      </c>
      <c r="L683" s="2994"/>
      <c r="M683" s="2996">
        <f t="shared" si="115"/>
        <v>1</v>
      </c>
      <c r="N683" s="2994"/>
      <c r="O683" s="2996">
        <f t="shared" si="116"/>
        <v>1</v>
      </c>
      <c r="P683" s="2994"/>
      <c r="Q683" s="2996">
        <f t="shared" si="117"/>
        <v>1</v>
      </c>
      <c r="R683" s="2997">
        <f t="shared" ca="1" si="118"/>
        <v>17087</v>
      </c>
      <c r="S683" s="2962">
        <f t="shared" ca="1" si="119"/>
        <v>322</v>
      </c>
    </row>
    <row r="684" spans="1:19">
      <c r="A684" s="2992" t="str">
        <f>Sheet1!F665</f>
        <v>1-1116</v>
      </c>
      <c r="B684" s="2992">
        <f>Sheet1!G665</f>
        <v>188.39</v>
      </c>
      <c r="C684" s="2996">
        <f t="shared" si="110"/>
        <v>0.99</v>
      </c>
      <c r="D684" s="2994"/>
      <c r="E684" s="2996">
        <f t="shared" si="111"/>
        <v>1</v>
      </c>
      <c r="F684" s="2994"/>
      <c r="G684" s="2996">
        <f t="shared" si="112"/>
        <v>1</v>
      </c>
      <c r="H684" s="2994"/>
      <c r="I684" s="2996">
        <f t="shared" si="113"/>
        <v>1</v>
      </c>
      <c r="J684" s="2994"/>
      <c r="K684" s="2996">
        <f t="shared" si="114"/>
        <v>1</v>
      </c>
      <c r="L684" s="2994"/>
      <c r="M684" s="2996">
        <f t="shared" si="115"/>
        <v>1</v>
      </c>
      <c r="N684" s="2994"/>
      <c r="O684" s="2996">
        <f t="shared" si="116"/>
        <v>1</v>
      </c>
      <c r="P684" s="2994"/>
      <c r="Q684" s="2996">
        <f t="shared" si="117"/>
        <v>1</v>
      </c>
      <c r="R684" s="2997">
        <f t="shared" ca="1" si="118"/>
        <v>17087</v>
      </c>
      <c r="S684" s="2962">
        <f t="shared" ca="1" si="119"/>
        <v>322</v>
      </c>
    </row>
    <row r="685" spans="1:19">
      <c r="A685" s="2992" t="str">
        <f>Sheet1!F666</f>
        <v>1-1117</v>
      </c>
      <c r="B685" s="2992">
        <f>Sheet1!G666</f>
        <v>188.39</v>
      </c>
      <c r="C685" s="2996">
        <f t="shared" si="110"/>
        <v>0.99</v>
      </c>
      <c r="D685" s="2994"/>
      <c r="E685" s="2996">
        <f t="shared" si="111"/>
        <v>1</v>
      </c>
      <c r="F685" s="2994"/>
      <c r="G685" s="2996">
        <f t="shared" si="112"/>
        <v>1</v>
      </c>
      <c r="H685" s="2994"/>
      <c r="I685" s="2996">
        <f t="shared" si="113"/>
        <v>1</v>
      </c>
      <c r="J685" s="2994"/>
      <c r="K685" s="2996">
        <f t="shared" si="114"/>
        <v>1</v>
      </c>
      <c r="L685" s="2994"/>
      <c r="M685" s="2996">
        <f t="shared" si="115"/>
        <v>1</v>
      </c>
      <c r="N685" s="2994"/>
      <c r="O685" s="2996">
        <f t="shared" si="116"/>
        <v>1</v>
      </c>
      <c r="P685" s="2994"/>
      <c r="Q685" s="2996">
        <f t="shared" si="117"/>
        <v>1</v>
      </c>
      <c r="R685" s="2997">
        <f t="shared" ca="1" si="118"/>
        <v>17087</v>
      </c>
      <c r="S685" s="2962">
        <f t="shared" ca="1" si="119"/>
        <v>322</v>
      </c>
    </row>
    <row r="686" spans="1:19">
      <c r="A686" s="2992" t="str">
        <f>Sheet1!F667</f>
        <v>1-1118</v>
      </c>
      <c r="B686" s="2992">
        <f>Sheet1!G667</f>
        <v>279.91000000000003</v>
      </c>
      <c r="C686" s="2996">
        <f t="shared" si="110"/>
        <v>0.98</v>
      </c>
      <c r="D686" s="2994"/>
      <c r="E686" s="2996">
        <f t="shared" si="111"/>
        <v>1</v>
      </c>
      <c r="F686" s="2994"/>
      <c r="G686" s="2996">
        <f t="shared" si="112"/>
        <v>1</v>
      </c>
      <c r="H686" s="2994"/>
      <c r="I686" s="2996">
        <f t="shared" si="113"/>
        <v>1</v>
      </c>
      <c r="J686" s="2994"/>
      <c r="K686" s="2996">
        <f t="shared" si="114"/>
        <v>1</v>
      </c>
      <c r="L686" s="2994"/>
      <c r="M686" s="2996">
        <f t="shared" si="115"/>
        <v>1</v>
      </c>
      <c r="N686" s="2994"/>
      <c r="O686" s="2996">
        <f t="shared" si="116"/>
        <v>1</v>
      </c>
      <c r="P686" s="2994"/>
      <c r="Q686" s="2996">
        <f t="shared" si="117"/>
        <v>1</v>
      </c>
      <c r="R686" s="2997">
        <f t="shared" ca="1" si="118"/>
        <v>16915</v>
      </c>
      <c r="S686" s="2962">
        <f t="shared" ca="1" si="119"/>
        <v>473</v>
      </c>
    </row>
    <row r="687" spans="1:19">
      <c r="A687" s="2992" t="str">
        <f>Sheet1!F668</f>
        <v>1-1119</v>
      </c>
      <c r="B687" s="2992">
        <f>Sheet1!G668</f>
        <v>175.75</v>
      </c>
      <c r="C687" s="2996">
        <f t="shared" si="110"/>
        <v>0.99</v>
      </c>
      <c r="D687" s="2994"/>
      <c r="E687" s="2996">
        <f t="shared" si="111"/>
        <v>1</v>
      </c>
      <c r="F687" s="2994"/>
      <c r="G687" s="2996">
        <f t="shared" si="112"/>
        <v>1</v>
      </c>
      <c r="H687" s="2994"/>
      <c r="I687" s="2996">
        <f t="shared" si="113"/>
        <v>1</v>
      </c>
      <c r="J687" s="2994"/>
      <c r="K687" s="2996">
        <f t="shared" si="114"/>
        <v>1</v>
      </c>
      <c r="L687" s="2994"/>
      <c r="M687" s="2996">
        <f t="shared" si="115"/>
        <v>1</v>
      </c>
      <c r="N687" s="2994"/>
      <c r="O687" s="2996">
        <f t="shared" si="116"/>
        <v>1</v>
      </c>
      <c r="P687" s="2994"/>
      <c r="Q687" s="2996">
        <f t="shared" si="117"/>
        <v>1</v>
      </c>
      <c r="R687" s="2997">
        <f t="shared" ca="1" si="118"/>
        <v>17087</v>
      </c>
      <c r="S687" s="2962">
        <f t="shared" ca="1" si="119"/>
        <v>300</v>
      </c>
    </row>
    <row r="688" spans="1:19">
      <c r="A688" s="2992" t="str">
        <f>Sheet1!F669</f>
        <v>1-1120</v>
      </c>
      <c r="B688" s="2992">
        <f>Sheet1!G669</f>
        <v>188.32</v>
      </c>
      <c r="C688" s="2996">
        <f t="shared" si="110"/>
        <v>0.99</v>
      </c>
      <c r="D688" s="2994"/>
      <c r="E688" s="2996">
        <f t="shared" si="111"/>
        <v>1</v>
      </c>
      <c r="F688" s="2994"/>
      <c r="G688" s="2996">
        <f t="shared" si="112"/>
        <v>1</v>
      </c>
      <c r="H688" s="2994"/>
      <c r="I688" s="2996">
        <f t="shared" si="113"/>
        <v>1</v>
      </c>
      <c r="J688" s="2994"/>
      <c r="K688" s="2996">
        <f t="shared" si="114"/>
        <v>1</v>
      </c>
      <c r="L688" s="2994"/>
      <c r="M688" s="2996">
        <f t="shared" si="115"/>
        <v>1</v>
      </c>
      <c r="N688" s="2994"/>
      <c r="O688" s="2996">
        <f t="shared" si="116"/>
        <v>1</v>
      </c>
      <c r="P688" s="2994"/>
      <c r="Q688" s="2996">
        <f t="shared" si="117"/>
        <v>1</v>
      </c>
      <c r="R688" s="2997">
        <f t="shared" ca="1" si="118"/>
        <v>17087</v>
      </c>
      <c r="S688" s="2962">
        <f t="shared" ca="1" si="119"/>
        <v>322</v>
      </c>
    </row>
    <row r="689" spans="1:19">
      <c r="A689" s="2992" t="str">
        <f>Sheet1!F670</f>
        <v>2-1101</v>
      </c>
      <c r="B689" s="2992">
        <f>Sheet1!G670</f>
        <v>210.22</v>
      </c>
      <c r="C689" s="2996">
        <f t="shared" si="110"/>
        <v>0.98</v>
      </c>
      <c r="D689" s="2994"/>
      <c r="E689" s="2996">
        <f t="shared" si="111"/>
        <v>1</v>
      </c>
      <c r="F689" s="2994"/>
      <c r="G689" s="2996">
        <f t="shared" si="112"/>
        <v>1</v>
      </c>
      <c r="H689" s="2994"/>
      <c r="I689" s="2996">
        <f t="shared" si="113"/>
        <v>1</v>
      </c>
      <c r="J689" s="2994"/>
      <c r="K689" s="2996">
        <f t="shared" si="114"/>
        <v>1</v>
      </c>
      <c r="L689" s="2994"/>
      <c r="M689" s="2996">
        <f t="shared" si="115"/>
        <v>1</v>
      </c>
      <c r="N689" s="2994"/>
      <c r="O689" s="2996">
        <f t="shared" si="116"/>
        <v>1</v>
      </c>
      <c r="P689" s="2994"/>
      <c r="Q689" s="2996">
        <f t="shared" si="117"/>
        <v>1</v>
      </c>
      <c r="R689" s="2997">
        <f t="shared" ca="1" si="118"/>
        <v>16915</v>
      </c>
      <c r="S689" s="2962">
        <f t="shared" ca="1" si="119"/>
        <v>356</v>
      </c>
    </row>
    <row r="690" spans="1:19">
      <c r="A690" s="2992" t="str">
        <f>Sheet1!F671</f>
        <v>2-1102</v>
      </c>
      <c r="B690" s="2992">
        <f>Sheet1!G671</f>
        <v>187.56</v>
      </c>
      <c r="C690" s="2996">
        <f t="shared" si="110"/>
        <v>0.99</v>
      </c>
      <c r="D690" s="2994"/>
      <c r="E690" s="2996">
        <f t="shared" si="111"/>
        <v>1</v>
      </c>
      <c r="F690" s="2994"/>
      <c r="G690" s="2996">
        <f t="shared" si="112"/>
        <v>1</v>
      </c>
      <c r="H690" s="2994"/>
      <c r="I690" s="2996">
        <f t="shared" si="113"/>
        <v>1</v>
      </c>
      <c r="J690" s="2994"/>
      <c r="K690" s="2996">
        <f t="shared" si="114"/>
        <v>1</v>
      </c>
      <c r="L690" s="2994"/>
      <c r="M690" s="2996">
        <f t="shared" si="115"/>
        <v>1</v>
      </c>
      <c r="N690" s="2994"/>
      <c r="O690" s="2996">
        <f t="shared" si="116"/>
        <v>1</v>
      </c>
      <c r="P690" s="2994"/>
      <c r="Q690" s="2996">
        <f t="shared" si="117"/>
        <v>1</v>
      </c>
      <c r="R690" s="2997">
        <f t="shared" ca="1" si="118"/>
        <v>17087</v>
      </c>
      <c r="S690" s="2962">
        <f t="shared" ca="1" si="119"/>
        <v>320</v>
      </c>
    </row>
    <row r="691" spans="1:19">
      <c r="A691" s="2992" t="str">
        <f>Sheet1!F672</f>
        <v>2-1103</v>
      </c>
      <c r="B691" s="2992">
        <f>Sheet1!G672</f>
        <v>188.42</v>
      </c>
      <c r="C691" s="2996">
        <f t="shared" si="110"/>
        <v>0.99</v>
      </c>
      <c r="D691" s="2994"/>
      <c r="E691" s="2996">
        <f t="shared" si="111"/>
        <v>1</v>
      </c>
      <c r="F691" s="2994"/>
      <c r="G691" s="2996">
        <f t="shared" si="112"/>
        <v>1</v>
      </c>
      <c r="H691" s="2994"/>
      <c r="I691" s="2996">
        <f t="shared" si="113"/>
        <v>1</v>
      </c>
      <c r="J691" s="2994"/>
      <c r="K691" s="2996">
        <f t="shared" si="114"/>
        <v>1</v>
      </c>
      <c r="L691" s="2994"/>
      <c r="M691" s="2996">
        <f t="shared" si="115"/>
        <v>1</v>
      </c>
      <c r="N691" s="2994"/>
      <c r="O691" s="2996">
        <f t="shared" si="116"/>
        <v>1</v>
      </c>
      <c r="P691" s="2994"/>
      <c r="Q691" s="2996">
        <f t="shared" si="117"/>
        <v>1</v>
      </c>
      <c r="R691" s="2997">
        <f t="shared" ca="1" si="118"/>
        <v>17087</v>
      </c>
      <c r="S691" s="2962">
        <f t="shared" ca="1" si="119"/>
        <v>322</v>
      </c>
    </row>
    <row r="692" spans="1:19">
      <c r="A692" s="2992" t="str">
        <f>Sheet1!F673</f>
        <v>2-1104</v>
      </c>
      <c r="B692" s="2992">
        <f>Sheet1!G673</f>
        <v>188.42</v>
      </c>
      <c r="C692" s="2996">
        <f t="shared" si="110"/>
        <v>0.99</v>
      </c>
      <c r="D692" s="2994"/>
      <c r="E692" s="2996">
        <f t="shared" si="111"/>
        <v>1</v>
      </c>
      <c r="F692" s="2994"/>
      <c r="G692" s="2996">
        <f t="shared" si="112"/>
        <v>1</v>
      </c>
      <c r="H692" s="2994"/>
      <c r="I692" s="2996">
        <f t="shared" si="113"/>
        <v>1</v>
      </c>
      <c r="J692" s="2994"/>
      <c r="K692" s="2996">
        <f t="shared" si="114"/>
        <v>1</v>
      </c>
      <c r="L692" s="2994"/>
      <c r="M692" s="2996">
        <f t="shared" si="115"/>
        <v>1</v>
      </c>
      <c r="N692" s="2994"/>
      <c r="O692" s="2996">
        <f t="shared" si="116"/>
        <v>1</v>
      </c>
      <c r="P692" s="2994"/>
      <c r="Q692" s="2996">
        <f t="shared" si="117"/>
        <v>1</v>
      </c>
      <c r="R692" s="2997">
        <f t="shared" ca="1" si="118"/>
        <v>17087</v>
      </c>
      <c r="S692" s="2962">
        <f t="shared" ca="1" si="119"/>
        <v>322</v>
      </c>
    </row>
    <row r="693" spans="1:19">
      <c r="A693" s="2992" t="str">
        <f>Sheet1!F674</f>
        <v>2-1105</v>
      </c>
      <c r="B693" s="2992">
        <f>Sheet1!G674</f>
        <v>188.42</v>
      </c>
      <c r="C693" s="2996">
        <f t="shared" si="110"/>
        <v>0.99</v>
      </c>
      <c r="D693" s="2994"/>
      <c r="E693" s="2996">
        <f t="shared" si="111"/>
        <v>1</v>
      </c>
      <c r="F693" s="2994"/>
      <c r="G693" s="2996">
        <f t="shared" si="112"/>
        <v>1</v>
      </c>
      <c r="H693" s="2994"/>
      <c r="I693" s="2996">
        <f t="shared" si="113"/>
        <v>1</v>
      </c>
      <c r="J693" s="2994"/>
      <c r="K693" s="2996">
        <f t="shared" si="114"/>
        <v>1</v>
      </c>
      <c r="L693" s="2994"/>
      <c r="M693" s="2996">
        <f t="shared" si="115"/>
        <v>1</v>
      </c>
      <c r="N693" s="2994"/>
      <c r="O693" s="2996">
        <f t="shared" si="116"/>
        <v>1</v>
      </c>
      <c r="P693" s="2994"/>
      <c r="Q693" s="2996">
        <f t="shared" si="117"/>
        <v>1</v>
      </c>
      <c r="R693" s="2997">
        <f t="shared" ca="1" si="118"/>
        <v>17087</v>
      </c>
      <c r="S693" s="2962">
        <f t="shared" ca="1" si="119"/>
        <v>322</v>
      </c>
    </row>
    <row r="694" spans="1:19">
      <c r="A694" s="2992" t="str">
        <f>Sheet1!F675</f>
        <v>2-1106</v>
      </c>
      <c r="B694" s="2992">
        <f>Sheet1!G675</f>
        <v>188.42</v>
      </c>
      <c r="C694" s="2996">
        <f t="shared" si="110"/>
        <v>0.99</v>
      </c>
      <c r="D694" s="2994"/>
      <c r="E694" s="2996">
        <f t="shared" si="111"/>
        <v>1</v>
      </c>
      <c r="F694" s="2994"/>
      <c r="G694" s="2996">
        <f t="shared" si="112"/>
        <v>1</v>
      </c>
      <c r="H694" s="2994"/>
      <c r="I694" s="2996">
        <f t="shared" si="113"/>
        <v>1</v>
      </c>
      <c r="J694" s="2994"/>
      <c r="K694" s="2996">
        <f t="shared" si="114"/>
        <v>1</v>
      </c>
      <c r="L694" s="2994"/>
      <c r="M694" s="2996">
        <f t="shared" si="115"/>
        <v>1</v>
      </c>
      <c r="N694" s="2994"/>
      <c r="O694" s="2996">
        <f t="shared" si="116"/>
        <v>1</v>
      </c>
      <c r="P694" s="2994"/>
      <c r="Q694" s="2996">
        <f t="shared" si="117"/>
        <v>1</v>
      </c>
      <c r="R694" s="2997">
        <f t="shared" ca="1" si="118"/>
        <v>17087</v>
      </c>
      <c r="S694" s="2962">
        <f t="shared" ca="1" si="119"/>
        <v>322</v>
      </c>
    </row>
    <row r="695" spans="1:19">
      <c r="A695" s="2992" t="str">
        <f>Sheet1!F676</f>
        <v>2-1107</v>
      </c>
      <c r="B695" s="2992">
        <f>Sheet1!G676</f>
        <v>188.42</v>
      </c>
      <c r="C695" s="2996">
        <f t="shared" si="110"/>
        <v>0.99</v>
      </c>
      <c r="D695" s="2994"/>
      <c r="E695" s="2996">
        <f t="shared" si="111"/>
        <v>1</v>
      </c>
      <c r="F695" s="2994"/>
      <c r="G695" s="2996">
        <f t="shared" si="112"/>
        <v>1</v>
      </c>
      <c r="H695" s="2994"/>
      <c r="I695" s="2996">
        <f t="shared" si="113"/>
        <v>1</v>
      </c>
      <c r="J695" s="2994"/>
      <c r="K695" s="2996">
        <f t="shared" si="114"/>
        <v>1</v>
      </c>
      <c r="L695" s="2994"/>
      <c r="M695" s="2996">
        <f t="shared" si="115"/>
        <v>1</v>
      </c>
      <c r="N695" s="2994"/>
      <c r="O695" s="2996">
        <f t="shared" si="116"/>
        <v>1</v>
      </c>
      <c r="P695" s="2994"/>
      <c r="Q695" s="2996">
        <f t="shared" si="117"/>
        <v>1</v>
      </c>
      <c r="R695" s="2997">
        <f t="shared" ca="1" si="118"/>
        <v>17087</v>
      </c>
      <c r="S695" s="2962">
        <f t="shared" ca="1" si="119"/>
        <v>322</v>
      </c>
    </row>
    <row r="696" spans="1:19">
      <c r="A696" s="2992" t="str">
        <f>Sheet1!F677</f>
        <v>2-1108</v>
      </c>
      <c r="B696" s="2992">
        <f>Sheet1!G677</f>
        <v>186.36</v>
      </c>
      <c r="C696" s="2996">
        <f t="shared" si="110"/>
        <v>0.99</v>
      </c>
      <c r="D696" s="2994"/>
      <c r="E696" s="2996">
        <f t="shared" si="111"/>
        <v>1</v>
      </c>
      <c r="F696" s="2994"/>
      <c r="G696" s="2996">
        <f t="shared" si="112"/>
        <v>1</v>
      </c>
      <c r="H696" s="2994"/>
      <c r="I696" s="2996">
        <f t="shared" si="113"/>
        <v>1</v>
      </c>
      <c r="J696" s="2994"/>
      <c r="K696" s="2996">
        <f t="shared" si="114"/>
        <v>1</v>
      </c>
      <c r="L696" s="2994"/>
      <c r="M696" s="2996">
        <f t="shared" si="115"/>
        <v>1</v>
      </c>
      <c r="N696" s="2994"/>
      <c r="O696" s="2996">
        <f t="shared" si="116"/>
        <v>1</v>
      </c>
      <c r="P696" s="2994"/>
      <c r="Q696" s="2996">
        <f t="shared" si="117"/>
        <v>1</v>
      </c>
      <c r="R696" s="2997">
        <f t="shared" ca="1" si="118"/>
        <v>17087</v>
      </c>
      <c r="S696" s="2962">
        <f t="shared" ca="1" si="119"/>
        <v>318</v>
      </c>
    </row>
    <row r="697" spans="1:19">
      <c r="A697" s="2992" t="str">
        <f>Sheet1!F678</f>
        <v>2-1109</v>
      </c>
      <c r="B697" s="2992">
        <f>Sheet1!G678</f>
        <v>188.36</v>
      </c>
      <c r="C697" s="2996">
        <f t="shared" si="110"/>
        <v>0.99</v>
      </c>
      <c r="D697" s="2994"/>
      <c r="E697" s="2996">
        <f t="shared" si="111"/>
        <v>1</v>
      </c>
      <c r="F697" s="2994"/>
      <c r="G697" s="2996">
        <f t="shared" si="112"/>
        <v>1</v>
      </c>
      <c r="H697" s="2994"/>
      <c r="I697" s="2996">
        <f t="shared" si="113"/>
        <v>1</v>
      </c>
      <c r="J697" s="2994"/>
      <c r="K697" s="2996">
        <f t="shared" si="114"/>
        <v>1</v>
      </c>
      <c r="L697" s="2994"/>
      <c r="M697" s="2996">
        <f t="shared" si="115"/>
        <v>1</v>
      </c>
      <c r="N697" s="2994"/>
      <c r="O697" s="2996">
        <f t="shared" si="116"/>
        <v>1</v>
      </c>
      <c r="P697" s="2994"/>
      <c r="Q697" s="2996">
        <f t="shared" si="117"/>
        <v>1</v>
      </c>
      <c r="R697" s="2997">
        <f t="shared" ca="1" si="118"/>
        <v>17087</v>
      </c>
      <c r="S697" s="2962">
        <f t="shared" ca="1" si="119"/>
        <v>322</v>
      </c>
    </row>
    <row r="698" spans="1:19">
      <c r="A698" s="2992" t="str">
        <f>Sheet1!F679</f>
        <v>2-1110</v>
      </c>
      <c r="B698" s="2992">
        <f>Sheet1!G679</f>
        <v>175.78</v>
      </c>
      <c r="C698" s="2996">
        <f t="shared" si="110"/>
        <v>0.99</v>
      </c>
      <c r="D698" s="2994"/>
      <c r="E698" s="2996">
        <f t="shared" si="111"/>
        <v>1</v>
      </c>
      <c r="F698" s="2994"/>
      <c r="G698" s="2996">
        <f t="shared" si="112"/>
        <v>1</v>
      </c>
      <c r="H698" s="2994"/>
      <c r="I698" s="2996">
        <f t="shared" si="113"/>
        <v>1</v>
      </c>
      <c r="J698" s="2994"/>
      <c r="K698" s="2996">
        <f t="shared" si="114"/>
        <v>1</v>
      </c>
      <c r="L698" s="2994"/>
      <c r="M698" s="2996">
        <f t="shared" si="115"/>
        <v>1</v>
      </c>
      <c r="N698" s="2994"/>
      <c r="O698" s="2996">
        <f t="shared" si="116"/>
        <v>1</v>
      </c>
      <c r="P698" s="2994"/>
      <c r="Q698" s="2996">
        <f t="shared" si="117"/>
        <v>1</v>
      </c>
      <c r="R698" s="2997">
        <f t="shared" ca="1" si="118"/>
        <v>17087</v>
      </c>
      <c r="S698" s="2962">
        <f t="shared" ca="1" si="119"/>
        <v>300</v>
      </c>
    </row>
    <row r="699" spans="1:19">
      <c r="A699" s="2992" t="str">
        <f>Sheet1!F680</f>
        <v>2-1111</v>
      </c>
      <c r="B699" s="2992">
        <f>Sheet1!G680</f>
        <v>279.95999999999998</v>
      </c>
      <c r="C699" s="2996">
        <f t="shared" si="110"/>
        <v>0.98</v>
      </c>
      <c r="D699" s="2994"/>
      <c r="E699" s="2996">
        <f t="shared" si="111"/>
        <v>1</v>
      </c>
      <c r="F699" s="2994"/>
      <c r="G699" s="2996">
        <f t="shared" si="112"/>
        <v>1</v>
      </c>
      <c r="H699" s="2994"/>
      <c r="I699" s="2996">
        <f t="shared" si="113"/>
        <v>1</v>
      </c>
      <c r="J699" s="2994"/>
      <c r="K699" s="2996">
        <f t="shared" si="114"/>
        <v>1</v>
      </c>
      <c r="L699" s="2994"/>
      <c r="M699" s="2996">
        <f t="shared" si="115"/>
        <v>1</v>
      </c>
      <c r="N699" s="2994"/>
      <c r="O699" s="2996">
        <f t="shared" si="116"/>
        <v>1</v>
      </c>
      <c r="P699" s="2994"/>
      <c r="Q699" s="2996">
        <f t="shared" si="117"/>
        <v>1</v>
      </c>
      <c r="R699" s="2997">
        <f t="shared" ca="1" si="118"/>
        <v>16915</v>
      </c>
      <c r="S699" s="2962">
        <f t="shared" ca="1" si="119"/>
        <v>474</v>
      </c>
    </row>
    <row r="700" spans="1:19">
      <c r="A700" s="2992" t="str">
        <f>Sheet1!F681</f>
        <v>2-1112</v>
      </c>
      <c r="B700" s="2992">
        <f>Sheet1!G681</f>
        <v>188.43</v>
      </c>
      <c r="C700" s="2996">
        <f t="shared" si="110"/>
        <v>0.99</v>
      </c>
      <c r="D700" s="2994"/>
      <c r="E700" s="2996">
        <f t="shared" si="111"/>
        <v>1</v>
      </c>
      <c r="F700" s="2994"/>
      <c r="G700" s="2996">
        <f t="shared" si="112"/>
        <v>1</v>
      </c>
      <c r="H700" s="2994"/>
      <c r="I700" s="2996">
        <f t="shared" si="113"/>
        <v>1</v>
      </c>
      <c r="J700" s="2994"/>
      <c r="K700" s="2996">
        <f t="shared" si="114"/>
        <v>1</v>
      </c>
      <c r="L700" s="2994"/>
      <c r="M700" s="2996">
        <f t="shared" si="115"/>
        <v>1</v>
      </c>
      <c r="N700" s="2994"/>
      <c r="O700" s="2996">
        <f t="shared" si="116"/>
        <v>1</v>
      </c>
      <c r="P700" s="2994"/>
      <c r="Q700" s="2996">
        <f t="shared" si="117"/>
        <v>1</v>
      </c>
      <c r="R700" s="2997">
        <f t="shared" ca="1" si="118"/>
        <v>17087</v>
      </c>
      <c r="S700" s="2962">
        <f t="shared" ca="1" si="119"/>
        <v>322</v>
      </c>
    </row>
    <row r="701" spans="1:19">
      <c r="A701" s="2992" t="str">
        <f>Sheet1!F682</f>
        <v>2-1113</v>
      </c>
      <c r="B701" s="2992">
        <f>Sheet1!G682</f>
        <v>188.43</v>
      </c>
      <c r="C701" s="2996">
        <f t="shared" si="110"/>
        <v>0.99</v>
      </c>
      <c r="D701" s="2994"/>
      <c r="E701" s="2996">
        <f t="shared" si="111"/>
        <v>1</v>
      </c>
      <c r="F701" s="2994"/>
      <c r="G701" s="2996">
        <f t="shared" si="112"/>
        <v>1</v>
      </c>
      <c r="H701" s="2994"/>
      <c r="I701" s="2996">
        <f t="shared" si="113"/>
        <v>1</v>
      </c>
      <c r="J701" s="2994"/>
      <c r="K701" s="2996">
        <f t="shared" si="114"/>
        <v>1</v>
      </c>
      <c r="L701" s="2994"/>
      <c r="M701" s="2996">
        <f t="shared" si="115"/>
        <v>1</v>
      </c>
      <c r="N701" s="2994"/>
      <c r="O701" s="2996">
        <f t="shared" si="116"/>
        <v>1</v>
      </c>
      <c r="P701" s="2994"/>
      <c r="Q701" s="2996">
        <f t="shared" si="117"/>
        <v>1</v>
      </c>
      <c r="R701" s="2997">
        <f t="shared" ca="1" si="118"/>
        <v>17087</v>
      </c>
      <c r="S701" s="2962">
        <f t="shared" ca="1" si="119"/>
        <v>322</v>
      </c>
    </row>
    <row r="702" spans="1:19">
      <c r="A702" s="2992" t="str">
        <f>Sheet1!F683</f>
        <v>2-1114</v>
      </c>
      <c r="B702" s="2992">
        <f>Sheet1!G683</f>
        <v>188.43</v>
      </c>
      <c r="C702" s="2996">
        <f t="shared" si="110"/>
        <v>0.99</v>
      </c>
      <c r="D702" s="2994"/>
      <c r="E702" s="2996">
        <f t="shared" si="111"/>
        <v>1</v>
      </c>
      <c r="F702" s="2994"/>
      <c r="G702" s="2996">
        <f t="shared" si="112"/>
        <v>1</v>
      </c>
      <c r="H702" s="2994"/>
      <c r="I702" s="2996">
        <f t="shared" si="113"/>
        <v>1</v>
      </c>
      <c r="J702" s="2994"/>
      <c r="K702" s="2996">
        <f t="shared" si="114"/>
        <v>1</v>
      </c>
      <c r="L702" s="2994"/>
      <c r="M702" s="2996">
        <f t="shared" si="115"/>
        <v>1</v>
      </c>
      <c r="N702" s="2994"/>
      <c r="O702" s="2996">
        <f t="shared" si="116"/>
        <v>1</v>
      </c>
      <c r="P702" s="2994"/>
      <c r="Q702" s="2996">
        <f t="shared" si="117"/>
        <v>1</v>
      </c>
      <c r="R702" s="2997">
        <f t="shared" ca="1" si="118"/>
        <v>17087</v>
      </c>
      <c r="S702" s="2962">
        <f t="shared" ca="1" si="119"/>
        <v>322</v>
      </c>
    </row>
    <row r="703" spans="1:19">
      <c r="A703" s="2992" t="str">
        <f>Sheet1!F684</f>
        <v>2-1115</v>
      </c>
      <c r="B703" s="2992">
        <f>Sheet1!G684</f>
        <v>188.43</v>
      </c>
      <c r="C703" s="2996">
        <f t="shared" si="110"/>
        <v>0.99</v>
      </c>
      <c r="D703" s="2994"/>
      <c r="E703" s="2996">
        <f t="shared" si="111"/>
        <v>1</v>
      </c>
      <c r="F703" s="2994"/>
      <c r="G703" s="2996">
        <f t="shared" si="112"/>
        <v>1</v>
      </c>
      <c r="H703" s="2994"/>
      <c r="I703" s="2996">
        <f t="shared" si="113"/>
        <v>1</v>
      </c>
      <c r="J703" s="2994"/>
      <c r="K703" s="2996">
        <f t="shared" si="114"/>
        <v>1</v>
      </c>
      <c r="L703" s="2994"/>
      <c r="M703" s="2996">
        <f t="shared" si="115"/>
        <v>1</v>
      </c>
      <c r="N703" s="2994"/>
      <c r="O703" s="2996">
        <f t="shared" si="116"/>
        <v>1</v>
      </c>
      <c r="P703" s="2994"/>
      <c r="Q703" s="2996">
        <f t="shared" si="117"/>
        <v>1</v>
      </c>
      <c r="R703" s="2997">
        <f t="shared" ca="1" si="118"/>
        <v>17087</v>
      </c>
      <c r="S703" s="2962">
        <f t="shared" ca="1" si="119"/>
        <v>322</v>
      </c>
    </row>
    <row r="704" spans="1:19">
      <c r="A704" s="2992" t="str">
        <f>Sheet1!F685</f>
        <v>2-1116</v>
      </c>
      <c r="B704" s="2992">
        <f>Sheet1!G685</f>
        <v>188.43</v>
      </c>
      <c r="C704" s="2996">
        <f t="shared" si="110"/>
        <v>0.99</v>
      </c>
      <c r="D704" s="2994"/>
      <c r="E704" s="2996">
        <f t="shared" si="111"/>
        <v>1</v>
      </c>
      <c r="F704" s="2994"/>
      <c r="G704" s="2996">
        <f t="shared" si="112"/>
        <v>1</v>
      </c>
      <c r="H704" s="2994"/>
      <c r="I704" s="2996">
        <f t="shared" si="113"/>
        <v>1</v>
      </c>
      <c r="J704" s="2994"/>
      <c r="K704" s="2996">
        <f t="shared" si="114"/>
        <v>1</v>
      </c>
      <c r="L704" s="2994"/>
      <c r="M704" s="2996">
        <f t="shared" si="115"/>
        <v>1</v>
      </c>
      <c r="N704" s="2994"/>
      <c r="O704" s="2996">
        <f t="shared" si="116"/>
        <v>1</v>
      </c>
      <c r="P704" s="2994"/>
      <c r="Q704" s="2996">
        <f t="shared" si="117"/>
        <v>1</v>
      </c>
      <c r="R704" s="2997">
        <f t="shared" ca="1" si="118"/>
        <v>17087</v>
      </c>
      <c r="S704" s="2962">
        <f t="shared" ca="1" si="119"/>
        <v>322</v>
      </c>
    </row>
    <row r="705" spans="1:19">
      <c r="A705" s="2992" t="str">
        <f>Sheet1!F686</f>
        <v>2-1117</v>
      </c>
      <c r="B705" s="2992">
        <f>Sheet1!G686</f>
        <v>188.38</v>
      </c>
      <c r="C705" s="2996">
        <f t="shared" si="110"/>
        <v>0.99</v>
      </c>
      <c r="D705" s="2994"/>
      <c r="E705" s="2996">
        <f t="shared" si="111"/>
        <v>1</v>
      </c>
      <c r="F705" s="2994"/>
      <c r="G705" s="2996">
        <f t="shared" si="112"/>
        <v>1</v>
      </c>
      <c r="H705" s="2994"/>
      <c r="I705" s="2996">
        <f t="shared" si="113"/>
        <v>1</v>
      </c>
      <c r="J705" s="2994"/>
      <c r="K705" s="2996">
        <f t="shared" si="114"/>
        <v>1</v>
      </c>
      <c r="L705" s="2994"/>
      <c r="M705" s="2996">
        <f t="shared" si="115"/>
        <v>1</v>
      </c>
      <c r="N705" s="2994"/>
      <c r="O705" s="2996">
        <f t="shared" si="116"/>
        <v>1</v>
      </c>
      <c r="P705" s="2994"/>
      <c r="Q705" s="2996">
        <f t="shared" si="117"/>
        <v>1</v>
      </c>
      <c r="R705" s="2997">
        <f t="shared" ca="1" si="118"/>
        <v>17087</v>
      </c>
      <c r="S705" s="2962">
        <f t="shared" ca="1" si="119"/>
        <v>322</v>
      </c>
    </row>
    <row r="706" spans="1:19">
      <c r="A706" s="2992" t="str">
        <f>Sheet1!F687</f>
        <v>2-1118</v>
      </c>
      <c r="B706" s="2992">
        <f>Sheet1!G687</f>
        <v>208.95</v>
      </c>
      <c r="C706" s="2996">
        <f t="shared" si="110"/>
        <v>0.98</v>
      </c>
      <c r="D706" s="2994"/>
      <c r="E706" s="2996">
        <f t="shared" si="111"/>
        <v>1</v>
      </c>
      <c r="F706" s="2994"/>
      <c r="G706" s="2996">
        <f t="shared" si="112"/>
        <v>1</v>
      </c>
      <c r="H706" s="2994"/>
      <c r="I706" s="2996">
        <f t="shared" si="113"/>
        <v>1</v>
      </c>
      <c r="J706" s="2994"/>
      <c r="K706" s="2996">
        <f t="shared" si="114"/>
        <v>1</v>
      </c>
      <c r="L706" s="2994"/>
      <c r="M706" s="2996">
        <f t="shared" si="115"/>
        <v>1</v>
      </c>
      <c r="N706" s="2994"/>
      <c r="O706" s="2996">
        <f t="shared" si="116"/>
        <v>1</v>
      </c>
      <c r="P706" s="2994"/>
      <c r="Q706" s="2996">
        <f t="shared" si="117"/>
        <v>1</v>
      </c>
      <c r="R706" s="2997">
        <f t="shared" ca="1" si="118"/>
        <v>16915</v>
      </c>
      <c r="S706" s="2962">
        <f t="shared" ca="1" si="119"/>
        <v>353</v>
      </c>
    </row>
    <row r="707" spans="1:19">
      <c r="A707" s="2992" t="str">
        <f>Sheet1!F688</f>
        <v>2-1119</v>
      </c>
      <c r="B707" s="2992">
        <f>Sheet1!G688</f>
        <v>189.85</v>
      </c>
      <c r="C707" s="2996">
        <f t="shared" si="110"/>
        <v>0.99</v>
      </c>
      <c r="D707" s="2994"/>
      <c r="E707" s="2996">
        <f t="shared" si="111"/>
        <v>1</v>
      </c>
      <c r="F707" s="2994"/>
      <c r="G707" s="2996">
        <f t="shared" si="112"/>
        <v>1</v>
      </c>
      <c r="H707" s="2994"/>
      <c r="I707" s="2996">
        <f t="shared" si="113"/>
        <v>1</v>
      </c>
      <c r="J707" s="2994"/>
      <c r="K707" s="2996">
        <f t="shared" si="114"/>
        <v>1</v>
      </c>
      <c r="L707" s="2994"/>
      <c r="M707" s="2996">
        <f t="shared" si="115"/>
        <v>1</v>
      </c>
      <c r="N707" s="2994"/>
      <c r="O707" s="2996">
        <f t="shared" si="116"/>
        <v>1</v>
      </c>
      <c r="P707" s="2994"/>
      <c r="Q707" s="2996">
        <f t="shared" si="117"/>
        <v>1</v>
      </c>
      <c r="R707" s="2997">
        <f t="shared" ca="1" si="118"/>
        <v>17087</v>
      </c>
      <c r="S707" s="2962">
        <f t="shared" ca="1" si="119"/>
        <v>324</v>
      </c>
    </row>
    <row r="708" spans="1:19">
      <c r="A708" s="2992" t="str">
        <f>Sheet1!F689</f>
        <v>2-1120</v>
      </c>
      <c r="B708" s="2992">
        <f>Sheet1!G689</f>
        <v>169.23</v>
      </c>
      <c r="C708" s="2996">
        <f t="shared" si="110"/>
        <v>0.99</v>
      </c>
      <c r="D708" s="2994"/>
      <c r="E708" s="2996">
        <f t="shared" si="111"/>
        <v>1</v>
      </c>
      <c r="F708" s="2994"/>
      <c r="G708" s="2996">
        <f t="shared" si="112"/>
        <v>1</v>
      </c>
      <c r="H708" s="2994"/>
      <c r="I708" s="2996">
        <f t="shared" si="113"/>
        <v>1</v>
      </c>
      <c r="J708" s="2994"/>
      <c r="K708" s="2996">
        <f t="shared" si="114"/>
        <v>1</v>
      </c>
      <c r="L708" s="2994"/>
      <c r="M708" s="2996">
        <f t="shared" si="115"/>
        <v>1</v>
      </c>
      <c r="N708" s="2994"/>
      <c r="O708" s="2996">
        <f t="shared" si="116"/>
        <v>1</v>
      </c>
      <c r="P708" s="2994"/>
      <c r="Q708" s="2996">
        <f t="shared" si="117"/>
        <v>1</v>
      </c>
      <c r="R708" s="2997">
        <f t="shared" ca="1" si="118"/>
        <v>17087</v>
      </c>
      <c r="S708" s="2962">
        <f t="shared" ca="1" si="119"/>
        <v>289</v>
      </c>
    </row>
    <row r="709" spans="1:19">
      <c r="A709" s="2992" t="str">
        <f>Sheet1!F690</f>
        <v>3-1101</v>
      </c>
      <c r="B709" s="2992">
        <f>Sheet1!G690</f>
        <v>55.7</v>
      </c>
      <c r="C709" s="2996">
        <f t="shared" si="110"/>
        <v>1</v>
      </c>
      <c r="D709" s="2994"/>
      <c r="E709" s="2996">
        <f t="shared" si="111"/>
        <v>1</v>
      </c>
      <c r="F709" s="2994"/>
      <c r="G709" s="2996">
        <f t="shared" si="112"/>
        <v>1</v>
      </c>
      <c r="H709" s="2994"/>
      <c r="I709" s="2996">
        <f t="shared" si="113"/>
        <v>1</v>
      </c>
      <c r="J709" s="2994"/>
      <c r="K709" s="2996">
        <f t="shared" si="114"/>
        <v>1</v>
      </c>
      <c r="L709" s="2994"/>
      <c r="M709" s="2996">
        <f t="shared" si="115"/>
        <v>1</v>
      </c>
      <c r="N709" s="2994"/>
      <c r="O709" s="2996">
        <f t="shared" si="116"/>
        <v>1</v>
      </c>
      <c r="P709" s="2994"/>
      <c r="Q709" s="2996">
        <f t="shared" si="117"/>
        <v>1</v>
      </c>
      <c r="R709" s="2997">
        <f t="shared" ca="1" si="118"/>
        <v>17260</v>
      </c>
      <c r="S709" s="2962">
        <f t="shared" ca="1" si="119"/>
        <v>96</v>
      </c>
    </row>
    <row r="710" spans="1:19">
      <c r="A710" s="2992" t="str">
        <f>Sheet1!F691</f>
        <v>3-1102</v>
      </c>
      <c r="B710" s="2992">
        <f>Sheet1!G691</f>
        <v>49.53</v>
      </c>
      <c r="C710" s="2996">
        <f t="shared" si="110"/>
        <v>1</v>
      </c>
      <c r="D710" s="2994"/>
      <c r="E710" s="2996">
        <f t="shared" si="111"/>
        <v>1</v>
      </c>
      <c r="F710" s="2994"/>
      <c r="G710" s="2996">
        <f t="shared" si="112"/>
        <v>1</v>
      </c>
      <c r="H710" s="2994"/>
      <c r="I710" s="2996">
        <f t="shared" si="113"/>
        <v>1</v>
      </c>
      <c r="J710" s="2994"/>
      <c r="K710" s="2996">
        <f t="shared" si="114"/>
        <v>1</v>
      </c>
      <c r="L710" s="2994"/>
      <c r="M710" s="2996">
        <f t="shared" si="115"/>
        <v>1</v>
      </c>
      <c r="N710" s="2994"/>
      <c r="O710" s="2996">
        <f t="shared" si="116"/>
        <v>1</v>
      </c>
      <c r="P710" s="2994"/>
      <c r="Q710" s="2996">
        <f t="shared" si="117"/>
        <v>1</v>
      </c>
      <c r="R710" s="2997">
        <f t="shared" ca="1" si="118"/>
        <v>17260</v>
      </c>
      <c r="S710" s="2962">
        <f t="shared" ca="1" si="119"/>
        <v>85</v>
      </c>
    </row>
    <row r="711" spans="1:19">
      <c r="A711" s="2992" t="str">
        <f>Sheet1!F692</f>
        <v>3-1103</v>
      </c>
      <c r="B711" s="2992">
        <f>Sheet1!G692</f>
        <v>50.63</v>
      </c>
      <c r="C711" s="2996">
        <f t="shared" si="110"/>
        <v>1</v>
      </c>
      <c r="D711" s="2994"/>
      <c r="E711" s="2996">
        <f t="shared" si="111"/>
        <v>1</v>
      </c>
      <c r="F711" s="2994"/>
      <c r="G711" s="2996">
        <f t="shared" si="112"/>
        <v>1</v>
      </c>
      <c r="H711" s="2994"/>
      <c r="I711" s="2996">
        <f t="shared" si="113"/>
        <v>1</v>
      </c>
      <c r="J711" s="2994"/>
      <c r="K711" s="2996">
        <f t="shared" si="114"/>
        <v>1</v>
      </c>
      <c r="L711" s="2994"/>
      <c r="M711" s="2996">
        <f t="shared" si="115"/>
        <v>1</v>
      </c>
      <c r="N711" s="2994"/>
      <c r="O711" s="2996">
        <f t="shared" si="116"/>
        <v>1</v>
      </c>
      <c r="P711" s="2994"/>
      <c r="Q711" s="2996">
        <f t="shared" si="117"/>
        <v>1</v>
      </c>
      <c r="R711" s="2997">
        <f t="shared" ca="1" si="118"/>
        <v>17260</v>
      </c>
      <c r="S711" s="2962">
        <f t="shared" ca="1" si="119"/>
        <v>87</v>
      </c>
    </row>
    <row r="712" spans="1:19">
      <c r="A712" s="2992" t="str">
        <f>Sheet1!F693</f>
        <v>3-1104</v>
      </c>
      <c r="B712" s="2992">
        <f>Sheet1!G693</f>
        <v>50.63</v>
      </c>
      <c r="C712" s="2996">
        <f t="shared" si="110"/>
        <v>1</v>
      </c>
      <c r="D712" s="2994"/>
      <c r="E712" s="2996">
        <f t="shared" si="111"/>
        <v>1</v>
      </c>
      <c r="F712" s="2994"/>
      <c r="G712" s="2996">
        <f t="shared" si="112"/>
        <v>1</v>
      </c>
      <c r="H712" s="2994"/>
      <c r="I712" s="2996">
        <f t="shared" si="113"/>
        <v>1</v>
      </c>
      <c r="J712" s="2994"/>
      <c r="K712" s="2996">
        <f t="shared" si="114"/>
        <v>1</v>
      </c>
      <c r="L712" s="2994"/>
      <c r="M712" s="2996">
        <f t="shared" si="115"/>
        <v>1</v>
      </c>
      <c r="N712" s="2994"/>
      <c r="O712" s="2996">
        <f t="shared" si="116"/>
        <v>1</v>
      </c>
      <c r="P712" s="2994"/>
      <c r="Q712" s="2996">
        <f t="shared" si="117"/>
        <v>1</v>
      </c>
      <c r="R712" s="2997">
        <f t="shared" ca="1" si="118"/>
        <v>17260</v>
      </c>
      <c r="S712" s="2962">
        <f t="shared" ca="1" si="119"/>
        <v>87</v>
      </c>
    </row>
    <row r="713" spans="1:19">
      <c r="A713" s="2992" t="str">
        <f>Sheet1!F694</f>
        <v>3-1105</v>
      </c>
      <c r="B713" s="2992">
        <f>Sheet1!G694</f>
        <v>50.63</v>
      </c>
      <c r="C713" s="2996">
        <f t="shared" si="110"/>
        <v>1</v>
      </c>
      <c r="D713" s="2994"/>
      <c r="E713" s="2996">
        <f t="shared" si="111"/>
        <v>1</v>
      </c>
      <c r="F713" s="2994"/>
      <c r="G713" s="2996">
        <f t="shared" si="112"/>
        <v>1</v>
      </c>
      <c r="H713" s="2994"/>
      <c r="I713" s="2996">
        <f t="shared" si="113"/>
        <v>1</v>
      </c>
      <c r="J713" s="2994"/>
      <c r="K713" s="2996">
        <f t="shared" si="114"/>
        <v>1</v>
      </c>
      <c r="L713" s="2994"/>
      <c r="M713" s="2996">
        <f t="shared" si="115"/>
        <v>1</v>
      </c>
      <c r="N713" s="2994"/>
      <c r="O713" s="2996">
        <f t="shared" si="116"/>
        <v>1</v>
      </c>
      <c r="P713" s="2994"/>
      <c r="Q713" s="2996">
        <f t="shared" si="117"/>
        <v>1</v>
      </c>
      <c r="R713" s="2997">
        <f t="shared" ca="1" si="118"/>
        <v>17260</v>
      </c>
      <c r="S713" s="2962">
        <f t="shared" ca="1" si="119"/>
        <v>87</v>
      </c>
    </row>
    <row r="714" spans="1:19">
      <c r="A714" s="2992" t="str">
        <f>Sheet1!F695</f>
        <v>3-1106</v>
      </c>
      <c r="B714" s="2992">
        <f>Sheet1!G695</f>
        <v>50.63</v>
      </c>
      <c r="C714" s="2996">
        <f t="shared" si="110"/>
        <v>1</v>
      </c>
      <c r="D714" s="2994"/>
      <c r="E714" s="2996">
        <f t="shared" si="111"/>
        <v>1</v>
      </c>
      <c r="F714" s="2994"/>
      <c r="G714" s="2996">
        <f t="shared" si="112"/>
        <v>1</v>
      </c>
      <c r="H714" s="2994"/>
      <c r="I714" s="2996">
        <f t="shared" si="113"/>
        <v>1</v>
      </c>
      <c r="J714" s="2994"/>
      <c r="K714" s="2996">
        <f t="shared" si="114"/>
        <v>1</v>
      </c>
      <c r="L714" s="2994"/>
      <c r="M714" s="2996">
        <f t="shared" si="115"/>
        <v>1</v>
      </c>
      <c r="N714" s="2994"/>
      <c r="O714" s="2996">
        <f t="shared" si="116"/>
        <v>1</v>
      </c>
      <c r="P714" s="2994"/>
      <c r="Q714" s="2996">
        <f t="shared" si="117"/>
        <v>1</v>
      </c>
      <c r="R714" s="2997">
        <f t="shared" ca="1" si="118"/>
        <v>17260</v>
      </c>
      <c r="S714" s="2962">
        <f t="shared" ca="1" si="119"/>
        <v>87</v>
      </c>
    </row>
    <row r="715" spans="1:19">
      <c r="A715" s="2992" t="str">
        <f>Sheet1!F696</f>
        <v>3-1107</v>
      </c>
      <c r="B715" s="2992">
        <f>Sheet1!G696</f>
        <v>50.63</v>
      </c>
      <c r="C715" s="2996">
        <f t="shared" si="110"/>
        <v>1</v>
      </c>
      <c r="D715" s="2994"/>
      <c r="E715" s="2996">
        <f t="shared" si="111"/>
        <v>1</v>
      </c>
      <c r="F715" s="2994"/>
      <c r="G715" s="2996">
        <f t="shared" si="112"/>
        <v>1</v>
      </c>
      <c r="H715" s="2994"/>
      <c r="I715" s="2996">
        <f t="shared" si="113"/>
        <v>1</v>
      </c>
      <c r="J715" s="2994"/>
      <c r="K715" s="2996">
        <f t="shared" si="114"/>
        <v>1</v>
      </c>
      <c r="L715" s="2994"/>
      <c r="M715" s="2996">
        <f t="shared" si="115"/>
        <v>1</v>
      </c>
      <c r="N715" s="2994"/>
      <c r="O715" s="2996">
        <f t="shared" si="116"/>
        <v>1</v>
      </c>
      <c r="P715" s="2994"/>
      <c r="Q715" s="2996">
        <f t="shared" si="117"/>
        <v>1</v>
      </c>
      <c r="R715" s="2997">
        <f t="shared" ca="1" si="118"/>
        <v>17260</v>
      </c>
      <c r="S715" s="2962">
        <f t="shared" ca="1" si="119"/>
        <v>87</v>
      </c>
    </row>
    <row r="716" spans="1:19">
      <c r="A716" s="2992" t="str">
        <f>Sheet1!F697</f>
        <v>3-1108</v>
      </c>
      <c r="B716" s="2992">
        <f>Sheet1!G697</f>
        <v>50.63</v>
      </c>
      <c r="C716" s="2996">
        <f t="shared" si="110"/>
        <v>1</v>
      </c>
      <c r="D716" s="2994"/>
      <c r="E716" s="2996">
        <f t="shared" si="111"/>
        <v>1</v>
      </c>
      <c r="F716" s="2994"/>
      <c r="G716" s="2996">
        <f t="shared" si="112"/>
        <v>1</v>
      </c>
      <c r="H716" s="2994"/>
      <c r="I716" s="2996">
        <f t="shared" si="113"/>
        <v>1</v>
      </c>
      <c r="J716" s="2994"/>
      <c r="K716" s="2996">
        <f t="shared" si="114"/>
        <v>1</v>
      </c>
      <c r="L716" s="2994"/>
      <c r="M716" s="2996">
        <f t="shared" si="115"/>
        <v>1</v>
      </c>
      <c r="N716" s="2994"/>
      <c r="O716" s="2996">
        <f t="shared" si="116"/>
        <v>1</v>
      </c>
      <c r="P716" s="2994"/>
      <c r="Q716" s="2996">
        <f t="shared" si="117"/>
        <v>1</v>
      </c>
      <c r="R716" s="2997">
        <f t="shared" ca="1" si="118"/>
        <v>17260</v>
      </c>
      <c r="S716" s="2962">
        <f t="shared" ca="1" si="119"/>
        <v>87</v>
      </c>
    </row>
    <row r="717" spans="1:19">
      <c r="A717" s="2992" t="str">
        <f>Sheet1!F698</f>
        <v>3-1109</v>
      </c>
      <c r="B717" s="2992">
        <f>Sheet1!G698</f>
        <v>50.63</v>
      </c>
      <c r="C717" s="2996">
        <f t="shared" ref="C717:C780" si="120">IF(B717="",1,(LOOKUP(B717,$3:$3,$4:$4)-LOOKUP($B$24,$3:$3,$4:$4)+100)/100)</f>
        <v>1</v>
      </c>
      <c r="D717" s="2994"/>
      <c r="E717" s="2996">
        <f t="shared" ref="E717:E780" si="121">(SUMIF($5:$5,D717,$6:$6)-SUMIF($5:$5,$D$24,$6:$6)+100)/100</f>
        <v>1</v>
      </c>
      <c r="F717" s="2994"/>
      <c r="G717" s="2996">
        <f t="shared" ref="G717:G780" si="122">(SUMIF($7:$7,F717,$8:$8)-SUMIF($7:$7,$F$24,$8:$8)+100)/100</f>
        <v>1</v>
      </c>
      <c r="H717" s="2994"/>
      <c r="I717" s="2996">
        <f t="shared" ref="I717:I780" si="123">(SUMIF($9:$9,H717,$10:$10)-SUMIF($9:$9,$H$24,$10:$10)+100)/100</f>
        <v>1</v>
      </c>
      <c r="J717" s="2994"/>
      <c r="K717" s="2996">
        <f t="shared" ref="K717:K780" si="124">(SUMIF($11:$11,J717,$12:$12)-SUMIF($11:$11,$J$24,$12:$12)+100)/100</f>
        <v>1</v>
      </c>
      <c r="L717" s="2994"/>
      <c r="M717" s="2996">
        <f t="shared" ref="M717:M780" si="125">(SUMIF($13:$13,L717,$14:$14)-SUMIF($13:$13,$L$24,$14:$14)+100)/100</f>
        <v>1</v>
      </c>
      <c r="N717" s="2994"/>
      <c r="O717" s="2996">
        <f t="shared" ref="O717:O780" si="126">(SUMIF($15:$15,N717,$16:$16)-SUMIF($15:$15,$N$24,$16:$16)+100)/100</f>
        <v>1</v>
      </c>
      <c r="P717" s="2994"/>
      <c r="Q717" s="2996">
        <f t="shared" ref="Q717:Q780" si="127">(SUMIF($17:$17,P717,$18:$18)-SUMIF($17:$17,$P$24,$18:$18)+100)/100</f>
        <v>1</v>
      </c>
      <c r="R717" s="2997">
        <f t="shared" ref="R717:R780" ca="1" si="128">IF(B717="",0,ROUND($R$24*C717*E717*G717*I717*K717*M717*O717*Q717,0))</f>
        <v>17260</v>
      </c>
      <c r="S717" s="2962">
        <f t="shared" ref="S717:S780" ca="1" si="129">ROUND(R717*B717/10000,0)</f>
        <v>87</v>
      </c>
    </row>
    <row r="718" spans="1:19">
      <c r="A718" s="2992" t="str">
        <f>Sheet1!F699</f>
        <v>3-1110</v>
      </c>
      <c r="B718" s="2992">
        <f>Sheet1!G699</f>
        <v>50.63</v>
      </c>
      <c r="C718" s="2996">
        <f t="shared" si="120"/>
        <v>1</v>
      </c>
      <c r="D718" s="2994"/>
      <c r="E718" s="2996">
        <f t="shared" si="121"/>
        <v>1</v>
      </c>
      <c r="F718" s="2994"/>
      <c r="G718" s="2996">
        <f t="shared" si="122"/>
        <v>1</v>
      </c>
      <c r="H718" s="2994"/>
      <c r="I718" s="2996">
        <f t="shared" si="123"/>
        <v>1</v>
      </c>
      <c r="J718" s="2994"/>
      <c r="K718" s="2996">
        <f t="shared" si="124"/>
        <v>1</v>
      </c>
      <c r="L718" s="2994"/>
      <c r="M718" s="2996">
        <f t="shared" si="125"/>
        <v>1</v>
      </c>
      <c r="N718" s="2994"/>
      <c r="O718" s="2996">
        <f t="shared" si="126"/>
        <v>1</v>
      </c>
      <c r="P718" s="2994"/>
      <c r="Q718" s="2996">
        <f t="shared" si="127"/>
        <v>1</v>
      </c>
      <c r="R718" s="2997">
        <f t="shared" ca="1" si="128"/>
        <v>17260</v>
      </c>
      <c r="S718" s="2962">
        <f t="shared" ca="1" si="129"/>
        <v>87</v>
      </c>
    </row>
    <row r="719" spans="1:19">
      <c r="A719" s="2992" t="str">
        <f>Sheet1!F700</f>
        <v>3-1111</v>
      </c>
      <c r="B719" s="2992">
        <f>Sheet1!G700</f>
        <v>50.63</v>
      </c>
      <c r="C719" s="2996">
        <f t="shared" si="120"/>
        <v>1</v>
      </c>
      <c r="D719" s="2994"/>
      <c r="E719" s="2996">
        <f t="shared" si="121"/>
        <v>1</v>
      </c>
      <c r="F719" s="2994"/>
      <c r="G719" s="2996">
        <f t="shared" si="122"/>
        <v>1</v>
      </c>
      <c r="H719" s="2994"/>
      <c r="I719" s="2996">
        <f t="shared" si="123"/>
        <v>1</v>
      </c>
      <c r="J719" s="2994"/>
      <c r="K719" s="2996">
        <f t="shared" si="124"/>
        <v>1</v>
      </c>
      <c r="L719" s="2994"/>
      <c r="M719" s="2996">
        <f t="shared" si="125"/>
        <v>1</v>
      </c>
      <c r="N719" s="2994"/>
      <c r="O719" s="2996">
        <f t="shared" si="126"/>
        <v>1</v>
      </c>
      <c r="P719" s="2994"/>
      <c r="Q719" s="2996">
        <f t="shared" si="127"/>
        <v>1</v>
      </c>
      <c r="R719" s="2997">
        <f t="shared" ca="1" si="128"/>
        <v>17260</v>
      </c>
      <c r="S719" s="2962">
        <f t="shared" ca="1" si="129"/>
        <v>87</v>
      </c>
    </row>
    <row r="720" spans="1:19">
      <c r="A720" s="2992" t="str">
        <f>Sheet1!F701</f>
        <v>3-1112</v>
      </c>
      <c r="B720" s="2992">
        <f>Sheet1!G701</f>
        <v>50.63</v>
      </c>
      <c r="C720" s="2996">
        <f t="shared" si="120"/>
        <v>1</v>
      </c>
      <c r="D720" s="2994"/>
      <c r="E720" s="2996">
        <f t="shared" si="121"/>
        <v>1</v>
      </c>
      <c r="F720" s="2994"/>
      <c r="G720" s="2996">
        <f t="shared" si="122"/>
        <v>1</v>
      </c>
      <c r="H720" s="2994"/>
      <c r="I720" s="2996">
        <f t="shared" si="123"/>
        <v>1</v>
      </c>
      <c r="J720" s="2994"/>
      <c r="K720" s="2996">
        <f t="shared" si="124"/>
        <v>1</v>
      </c>
      <c r="L720" s="2994"/>
      <c r="M720" s="2996">
        <f t="shared" si="125"/>
        <v>1</v>
      </c>
      <c r="N720" s="2994"/>
      <c r="O720" s="2996">
        <f t="shared" si="126"/>
        <v>1</v>
      </c>
      <c r="P720" s="2994"/>
      <c r="Q720" s="2996">
        <f t="shared" si="127"/>
        <v>1</v>
      </c>
      <c r="R720" s="2997">
        <f t="shared" ca="1" si="128"/>
        <v>17260</v>
      </c>
      <c r="S720" s="2962">
        <f t="shared" ca="1" si="129"/>
        <v>87</v>
      </c>
    </row>
    <row r="721" spans="1:19">
      <c r="A721" s="2992" t="str">
        <f>Sheet1!F702</f>
        <v>3-1113</v>
      </c>
      <c r="B721" s="2992">
        <f>Sheet1!G702</f>
        <v>49.61</v>
      </c>
      <c r="C721" s="2996">
        <f t="shared" si="120"/>
        <v>1</v>
      </c>
      <c r="D721" s="2994"/>
      <c r="E721" s="2996">
        <f t="shared" si="121"/>
        <v>1</v>
      </c>
      <c r="F721" s="2994"/>
      <c r="G721" s="2996">
        <f t="shared" si="122"/>
        <v>1</v>
      </c>
      <c r="H721" s="2994"/>
      <c r="I721" s="2996">
        <f t="shared" si="123"/>
        <v>1</v>
      </c>
      <c r="J721" s="2994"/>
      <c r="K721" s="2996">
        <f t="shared" si="124"/>
        <v>1</v>
      </c>
      <c r="L721" s="2994"/>
      <c r="M721" s="2996">
        <f t="shared" si="125"/>
        <v>1</v>
      </c>
      <c r="N721" s="2994"/>
      <c r="O721" s="2996">
        <f t="shared" si="126"/>
        <v>1</v>
      </c>
      <c r="P721" s="2994"/>
      <c r="Q721" s="2996">
        <f t="shared" si="127"/>
        <v>1</v>
      </c>
      <c r="R721" s="2997">
        <f t="shared" ca="1" si="128"/>
        <v>17260</v>
      </c>
      <c r="S721" s="2962">
        <f t="shared" ca="1" si="129"/>
        <v>86</v>
      </c>
    </row>
    <row r="722" spans="1:19">
      <c r="A722" s="2992" t="str">
        <f>Sheet1!F703</f>
        <v>3-1114</v>
      </c>
      <c r="B722" s="2992">
        <f>Sheet1!G703</f>
        <v>46.31</v>
      </c>
      <c r="C722" s="2996">
        <f t="shared" si="120"/>
        <v>1</v>
      </c>
      <c r="D722" s="2994"/>
      <c r="E722" s="2996">
        <f t="shared" si="121"/>
        <v>1</v>
      </c>
      <c r="F722" s="2994"/>
      <c r="G722" s="2996">
        <f t="shared" si="122"/>
        <v>1</v>
      </c>
      <c r="H722" s="2994"/>
      <c r="I722" s="2996">
        <f t="shared" si="123"/>
        <v>1</v>
      </c>
      <c r="J722" s="2994"/>
      <c r="K722" s="2996">
        <f t="shared" si="124"/>
        <v>1</v>
      </c>
      <c r="L722" s="2994"/>
      <c r="M722" s="2996">
        <f t="shared" si="125"/>
        <v>1</v>
      </c>
      <c r="N722" s="2994"/>
      <c r="O722" s="2996">
        <f t="shared" si="126"/>
        <v>1</v>
      </c>
      <c r="P722" s="2994"/>
      <c r="Q722" s="2996">
        <f t="shared" si="127"/>
        <v>1</v>
      </c>
      <c r="R722" s="2997">
        <f t="shared" ca="1" si="128"/>
        <v>17260</v>
      </c>
      <c r="S722" s="2962">
        <f t="shared" ca="1" si="129"/>
        <v>80</v>
      </c>
    </row>
    <row r="723" spans="1:19">
      <c r="A723" s="2992" t="str">
        <f>Sheet1!F704</f>
        <v>3-1115</v>
      </c>
      <c r="B723" s="2992">
        <f>Sheet1!G704</f>
        <v>50.63</v>
      </c>
      <c r="C723" s="2996">
        <f t="shared" si="120"/>
        <v>1</v>
      </c>
      <c r="D723" s="2994"/>
      <c r="E723" s="2996">
        <f t="shared" si="121"/>
        <v>1</v>
      </c>
      <c r="F723" s="2994"/>
      <c r="G723" s="2996">
        <f t="shared" si="122"/>
        <v>1</v>
      </c>
      <c r="H723" s="2994"/>
      <c r="I723" s="2996">
        <f t="shared" si="123"/>
        <v>1</v>
      </c>
      <c r="J723" s="2994"/>
      <c r="K723" s="2996">
        <f t="shared" si="124"/>
        <v>1</v>
      </c>
      <c r="L723" s="2994"/>
      <c r="M723" s="2996">
        <f t="shared" si="125"/>
        <v>1</v>
      </c>
      <c r="N723" s="2994"/>
      <c r="O723" s="2996">
        <f t="shared" si="126"/>
        <v>1</v>
      </c>
      <c r="P723" s="2994"/>
      <c r="Q723" s="2996">
        <f t="shared" si="127"/>
        <v>1</v>
      </c>
      <c r="R723" s="2997">
        <f t="shared" ca="1" si="128"/>
        <v>17260</v>
      </c>
      <c r="S723" s="2962">
        <f t="shared" ca="1" si="129"/>
        <v>87</v>
      </c>
    </row>
    <row r="724" spans="1:19">
      <c r="A724" s="2992" t="str">
        <f>Sheet1!F705</f>
        <v>3-1116</v>
      </c>
      <c r="B724" s="2992">
        <f>Sheet1!G705</f>
        <v>50.63</v>
      </c>
      <c r="C724" s="2996">
        <f t="shared" si="120"/>
        <v>1</v>
      </c>
      <c r="D724" s="2994"/>
      <c r="E724" s="2996">
        <f t="shared" si="121"/>
        <v>1</v>
      </c>
      <c r="F724" s="2994"/>
      <c r="G724" s="2996">
        <f t="shared" si="122"/>
        <v>1</v>
      </c>
      <c r="H724" s="2994"/>
      <c r="I724" s="2996">
        <f t="shared" si="123"/>
        <v>1</v>
      </c>
      <c r="J724" s="2994"/>
      <c r="K724" s="2996">
        <f t="shared" si="124"/>
        <v>1</v>
      </c>
      <c r="L724" s="2994"/>
      <c r="M724" s="2996">
        <f t="shared" si="125"/>
        <v>1</v>
      </c>
      <c r="N724" s="2994"/>
      <c r="O724" s="2996">
        <f t="shared" si="126"/>
        <v>1</v>
      </c>
      <c r="P724" s="2994"/>
      <c r="Q724" s="2996">
        <f t="shared" si="127"/>
        <v>1</v>
      </c>
      <c r="R724" s="2997">
        <f t="shared" ca="1" si="128"/>
        <v>17260</v>
      </c>
      <c r="S724" s="2962">
        <f t="shared" ca="1" si="129"/>
        <v>87</v>
      </c>
    </row>
    <row r="725" spans="1:19">
      <c r="A725" s="2992" t="str">
        <f>Sheet1!F706</f>
        <v>3-1117</v>
      </c>
      <c r="B725" s="2992">
        <f>Sheet1!G706</f>
        <v>62.54</v>
      </c>
      <c r="C725" s="2996">
        <f t="shared" si="120"/>
        <v>1</v>
      </c>
      <c r="D725" s="2994"/>
      <c r="E725" s="2996">
        <f t="shared" si="121"/>
        <v>1</v>
      </c>
      <c r="F725" s="2994"/>
      <c r="G725" s="2996">
        <f t="shared" si="122"/>
        <v>1</v>
      </c>
      <c r="H725" s="2994"/>
      <c r="I725" s="2996">
        <f t="shared" si="123"/>
        <v>1</v>
      </c>
      <c r="J725" s="2994"/>
      <c r="K725" s="2996">
        <f t="shared" si="124"/>
        <v>1</v>
      </c>
      <c r="L725" s="2994"/>
      <c r="M725" s="2996">
        <f t="shared" si="125"/>
        <v>1</v>
      </c>
      <c r="N725" s="2994"/>
      <c r="O725" s="2996">
        <f t="shared" si="126"/>
        <v>1</v>
      </c>
      <c r="P725" s="2994"/>
      <c r="Q725" s="2996">
        <f t="shared" si="127"/>
        <v>1</v>
      </c>
      <c r="R725" s="2997">
        <f t="shared" ca="1" si="128"/>
        <v>17260</v>
      </c>
      <c r="S725" s="2962">
        <f t="shared" ca="1" si="129"/>
        <v>108</v>
      </c>
    </row>
    <row r="726" spans="1:19">
      <c r="A726" s="2992" t="str">
        <f>Sheet1!F707</f>
        <v>3-1118</v>
      </c>
      <c r="B726" s="2992">
        <f>Sheet1!G707</f>
        <v>62.56</v>
      </c>
      <c r="C726" s="2996">
        <f t="shared" si="120"/>
        <v>1</v>
      </c>
      <c r="D726" s="2994"/>
      <c r="E726" s="2996">
        <f t="shared" si="121"/>
        <v>1</v>
      </c>
      <c r="F726" s="2994"/>
      <c r="G726" s="2996">
        <f t="shared" si="122"/>
        <v>1</v>
      </c>
      <c r="H726" s="2994"/>
      <c r="I726" s="2996">
        <f t="shared" si="123"/>
        <v>1</v>
      </c>
      <c r="J726" s="2994"/>
      <c r="K726" s="2996">
        <f t="shared" si="124"/>
        <v>1</v>
      </c>
      <c r="L726" s="2994"/>
      <c r="M726" s="2996">
        <f t="shared" si="125"/>
        <v>1</v>
      </c>
      <c r="N726" s="2994"/>
      <c r="O726" s="2996">
        <f t="shared" si="126"/>
        <v>1</v>
      </c>
      <c r="P726" s="2994"/>
      <c r="Q726" s="2996">
        <f t="shared" si="127"/>
        <v>1</v>
      </c>
      <c r="R726" s="2997">
        <f t="shared" ca="1" si="128"/>
        <v>17260</v>
      </c>
      <c r="S726" s="2962">
        <f t="shared" ca="1" si="129"/>
        <v>108</v>
      </c>
    </row>
    <row r="727" spans="1:19">
      <c r="A727" s="2992" t="str">
        <f>Sheet1!F708</f>
        <v>3-1119</v>
      </c>
      <c r="B727" s="2992">
        <f>Sheet1!G708</f>
        <v>62.56</v>
      </c>
      <c r="C727" s="2996">
        <f t="shared" si="120"/>
        <v>1</v>
      </c>
      <c r="D727" s="2994"/>
      <c r="E727" s="2996">
        <f t="shared" si="121"/>
        <v>1</v>
      </c>
      <c r="F727" s="2994"/>
      <c r="G727" s="2996">
        <f t="shared" si="122"/>
        <v>1</v>
      </c>
      <c r="H727" s="2994"/>
      <c r="I727" s="2996">
        <f t="shared" si="123"/>
        <v>1</v>
      </c>
      <c r="J727" s="2994"/>
      <c r="K727" s="2996">
        <f t="shared" si="124"/>
        <v>1</v>
      </c>
      <c r="L727" s="2994"/>
      <c r="M727" s="2996">
        <f t="shared" si="125"/>
        <v>1</v>
      </c>
      <c r="N727" s="2994"/>
      <c r="O727" s="2996">
        <f t="shared" si="126"/>
        <v>1</v>
      </c>
      <c r="P727" s="2994"/>
      <c r="Q727" s="2996">
        <f t="shared" si="127"/>
        <v>1</v>
      </c>
      <c r="R727" s="2997">
        <f t="shared" ca="1" si="128"/>
        <v>17260</v>
      </c>
      <c r="S727" s="2962">
        <f t="shared" ca="1" si="129"/>
        <v>108</v>
      </c>
    </row>
    <row r="728" spans="1:19">
      <c r="A728" s="2992" t="str">
        <f>Sheet1!F709</f>
        <v>3-1120</v>
      </c>
      <c r="B728" s="2992">
        <f>Sheet1!G709</f>
        <v>62.54</v>
      </c>
      <c r="C728" s="2996">
        <f t="shared" si="120"/>
        <v>1</v>
      </c>
      <c r="D728" s="2994"/>
      <c r="E728" s="2996">
        <f t="shared" si="121"/>
        <v>1</v>
      </c>
      <c r="F728" s="2994"/>
      <c r="G728" s="2996">
        <f t="shared" si="122"/>
        <v>1</v>
      </c>
      <c r="H728" s="2994"/>
      <c r="I728" s="2996">
        <f t="shared" si="123"/>
        <v>1</v>
      </c>
      <c r="J728" s="2994"/>
      <c r="K728" s="2996">
        <f t="shared" si="124"/>
        <v>1</v>
      </c>
      <c r="L728" s="2994"/>
      <c r="M728" s="2996">
        <f t="shared" si="125"/>
        <v>1</v>
      </c>
      <c r="N728" s="2994"/>
      <c r="O728" s="2996">
        <f t="shared" si="126"/>
        <v>1</v>
      </c>
      <c r="P728" s="2994"/>
      <c r="Q728" s="2996">
        <f t="shared" si="127"/>
        <v>1</v>
      </c>
      <c r="R728" s="2997">
        <f t="shared" ca="1" si="128"/>
        <v>17260</v>
      </c>
      <c r="S728" s="2962">
        <f t="shared" ca="1" si="129"/>
        <v>108</v>
      </c>
    </row>
    <row r="729" spans="1:19">
      <c r="A729" s="2992" t="str">
        <f>Sheet1!F710</f>
        <v>3-1121</v>
      </c>
      <c r="B729" s="2992">
        <f>Sheet1!G710</f>
        <v>50.63</v>
      </c>
      <c r="C729" s="2996">
        <f t="shared" si="120"/>
        <v>1</v>
      </c>
      <c r="D729" s="2994"/>
      <c r="E729" s="2996">
        <f t="shared" si="121"/>
        <v>1</v>
      </c>
      <c r="F729" s="2994"/>
      <c r="G729" s="2996">
        <f t="shared" si="122"/>
        <v>1</v>
      </c>
      <c r="H729" s="2994"/>
      <c r="I729" s="2996">
        <f t="shared" si="123"/>
        <v>1</v>
      </c>
      <c r="J729" s="2994"/>
      <c r="K729" s="2996">
        <f t="shared" si="124"/>
        <v>1</v>
      </c>
      <c r="L729" s="2994"/>
      <c r="M729" s="2996">
        <f t="shared" si="125"/>
        <v>1</v>
      </c>
      <c r="N729" s="2994"/>
      <c r="O729" s="2996">
        <f t="shared" si="126"/>
        <v>1</v>
      </c>
      <c r="P729" s="2994"/>
      <c r="Q729" s="2996">
        <f t="shared" si="127"/>
        <v>1</v>
      </c>
      <c r="R729" s="2997">
        <f t="shared" ca="1" si="128"/>
        <v>17260</v>
      </c>
      <c r="S729" s="2962">
        <f t="shared" ca="1" si="129"/>
        <v>87</v>
      </c>
    </row>
    <row r="730" spans="1:19">
      <c r="A730" s="2992" t="str">
        <f>Sheet1!F711</f>
        <v>3-1122</v>
      </c>
      <c r="B730" s="2992">
        <f>Sheet1!G711</f>
        <v>50.63</v>
      </c>
      <c r="C730" s="2996">
        <f t="shared" si="120"/>
        <v>1</v>
      </c>
      <c r="D730" s="2994"/>
      <c r="E730" s="2996">
        <f t="shared" si="121"/>
        <v>1</v>
      </c>
      <c r="F730" s="2994"/>
      <c r="G730" s="2996">
        <f t="shared" si="122"/>
        <v>1</v>
      </c>
      <c r="H730" s="2994"/>
      <c r="I730" s="2996">
        <f t="shared" si="123"/>
        <v>1</v>
      </c>
      <c r="J730" s="2994"/>
      <c r="K730" s="2996">
        <f t="shared" si="124"/>
        <v>1</v>
      </c>
      <c r="L730" s="2994"/>
      <c r="M730" s="2996">
        <f t="shared" si="125"/>
        <v>1</v>
      </c>
      <c r="N730" s="2994"/>
      <c r="O730" s="2996">
        <f t="shared" si="126"/>
        <v>1</v>
      </c>
      <c r="P730" s="2994"/>
      <c r="Q730" s="2996">
        <f t="shared" si="127"/>
        <v>1</v>
      </c>
      <c r="R730" s="2997">
        <f t="shared" ca="1" si="128"/>
        <v>17260</v>
      </c>
      <c r="S730" s="2962">
        <f t="shared" ca="1" si="129"/>
        <v>87</v>
      </c>
    </row>
    <row r="731" spans="1:19">
      <c r="A731" s="2992" t="str">
        <f>Sheet1!F712</f>
        <v>3-1123</v>
      </c>
      <c r="B731" s="2992">
        <f>Sheet1!G712</f>
        <v>50.63</v>
      </c>
      <c r="C731" s="2996">
        <f t="shared" si="120"/>
        <v>1</v>
      </c>
      <c r="D731" s="2994"/>
      <c r="E731" s="2996">
        <f t="shared" si="121"/>
        <v>1</v>
      </c>
      <c r="F731" s="2994"/>
      <c r="G731" s="2996">
        <f t="shared" si="122"/>
        <v>1</v>
      </c>
      <c r="H731" s="2994"/>
      <c r="I731" s="2996">
        <f t="shared" si="123"/>
        <v>1</v>
      </c>
      <c r="J731" s="2994"/>
      <c r="K731" s="2996">
        <f t="shared" si="124"/>
        <v>1</v>
      </c>
      <c r="L731" s="2994"/>
      <c r="M731" s="2996">
        <f t="shared" si="125"/>
        <v>1</v>
      </c>
      <c r="N731" s="2994"/>
      <c r="O731" s="2996">
        <f t="shared" si="126"/>
        <v>1</v>
      </c>
      <c r="P731" s="2994"/>
      <c r="Q731" s="2996">
        <f t="shared" si="127"/>
        <v>1</v>
      </c>
      <c r="R731" s="2997">
        <f t="shared" ca="1" si="128"/>
        <v>17260</v>
      </c>
      <c r="S731" s="2962">
        <f t="shared" ca="1" si="129"/>
        <v>87</v>
      </c>
    </row>
    <row r="732" spans="1:19">
      <c r="A732" s="2992" t="str">
        <f>Sheet1!F713</f>
        <v>3-1124</v>
      </c>
      <c r="B732" s="2992">
        <f>Sheet1!G713</f>
        <v>50.63</v>
      </c>
      <c r="C732" s="2996">
        <f t="shared" si="120"/>
        <v>1</v>
      </c>
      <c r="D732" s="2994"/>
      <c r="E732" s="2996">
        <f t="shared" si="121"/>
        <v>1</v>
      </c>
      <c r="F732" s="2994"/>
      <c r="G732" s="2996">
        <f t="shared" si="122"/>
        <v>1</v>
      </c>
      <c r="H732" s="2994"/>
      <c r="I732" s="2996">
        <f t="shared" si="123"/>
        <v>1</v>
      </c>
      <c r="J732" s="2994"/>
      <c r="K732" s="2996">
        <f t="shared" si="124"/>
        <v>1</v>
      </c>
      <c r="L732" s="2994"/>
      <c r="M732" s="2996">
        <f t="shared" si="125"/>
        <v>1</v>
      </c>
      <c r="N732" s="2994"/>
      <c r="O732" s="2996">
        <f t="shared" si="126"/>
        <v>1</v>
      </c>
      <c r="P732" s="2994"/>
      <c r="Q732" s="2996">
        <f t="shared" si="127"/>
        <v>1</v>
      </c>
      <c r="R732" s="2997">
        <f t="shared" ca="1" si="128"/>
        <v>17260</v>
      </c>
      <c r="S732" s="2962">
        <f t="shared" ca="1" si="129"/>
        <v>87</v>
      </c>
    </row>
    <row r="733" spans="1:19">
      <c r="A733" s="2992" t="str">
        <f>Sheet1!F714</f>
        <v>3-1125</v>
      </c>
      <c r="B733" s="2992">
        <f>Sheet1!G714</f>
        <v>50.63</v>
      </c>
      <c r="C733" s="2996">
        <f t="shared" si="120"/>
        <v>1</v>
      </c>
      <c r="D733" s="2994"/>
      <c r="E733" s="2996">
        <f t="shared" si="121"/>
        <v>1</v>
      </c>
      <c r="F733" s="2994"/>
      <c r="G733" s="2996">
        <f t="shared" si="122"/>
        <v>1</v>
      </c>
      <c r="H733" s="2994"/>
      <c r="I733" s="2996">
        <f t="shared" si="123"/>
        <v>1</v>
      </c>
      <c r="J733" s="2994"/>
      <c r="K733" s="2996">
        <f t="shared" si="124"/>
        <v>1</v>
      </c>
      <c r="L733" s="2994"/>
      <c r="M733" s="2996">
        <f t="shared" si="125"/>
        <v>1</v>
      </c>
      <c r="N733" s="2994"/>
      <c r="O733" s="2996">
        <f t="shared" si="126"/>
        <v>1</v>
      </c>
      <c r="P733" s="2994"/>
      <c r="Q733" s="2996">
        <f t="shared" si="127"/>
        <v>1</v>
      </c>
      <c r="R733" s="2997">
        <f t="shared" ca="1" si="128"/>
        <v>17260</v>
      </c>
      <c r="S733" s="2962">
        <f t="shared" ca="1" si="129"/>
        <v>87</v>
      </c>
    </row>
    <row r="734" spans="1:19">
      <c r="A734" s="2992" t="str">
        <f>Sheet1!F715</f>
        <v>3-1126</v>
      </c>
      <c r="B734" s="2992">
        <f>Sheet1!G715</f>
        <v>50.63</v>
      </c>
      <c r="C734" s="2996">
        <f t="shared" si="120"/>
        <v>1</v>
      </c>
      <c r="D734" s="2994"/>
      <c r="E734" s="2996">
        <f t="shared" si="121"/>
        <v>1</v>
      </c>
      <c r="F734" s="2994"/>
      <c r="G734" s="2996">
        <f t="shared" si="122"/>
        <v>1</v>
      </c>
      <c r="H734" s="2994"/>
      <c r="I734" s="2996">
        <f t="shared" si="123"/>
        <v>1</v>
      </c>
      <c r="J734" s="2994"/>
      <c r="K734" s="2996">
        <f t="shared" si="124"/>
        <v>1</v>
      </c>
      <c r="L734" s="2994"/>
      <c r="M734" s="2996">
        <f t="shared" si="125"/>
        <v>1</v>
      </c>
      <c r="N734" s="2994"/>
      <c r="O734" s="2996">
        <f t="shared" si="126"/>
        <v>1</v>
      </c>
      <c r="P734" s="2994"/>
      <c r="Q734" s="2996">
        <f t="shared" si="127"/>
        <v>1</v>
      </c>
      <c r="R734" s="2997">
        <f t="shared" ca="1" si="128"/>
        <v>17260</v>
      </c>
      <c r="S734" s="2962">
        <f t="shared" ca="1" si="129"/>
        <v>87</v>
      </c>
    </row>
    <row r="735" spans="1:19">
      <c r="A735" s="2992" t="str">
        <f>Sheet1!F716</f>
        <v>3-1127</v>
      </c>
      <c r="B735" s="2992">
        <f>Sheet1!G716</f>
        <v>50.63</v>
      </c>
      <c r="C735" s="2996">
        <f t="shared" si="120"/>
        <v>1</v>
      </c>
      <c r="D735" s="2994"/>
      <c r="E735" s="2996">
        <f t="shared" si="121"/>
        <v>1</v>
      </c>
      <c r="F735" s="2994"/>
      <c r="G735" s="2996">
        <f t="shared" si="122"/>
        <v>1</v>
      </c>
      <c r="H735" s="2994"/>
      <c r="I735" s="2996">
        <f t="shared" si="123"/>
        <v>1</v>
      </c>
      <c r="J735" s="2994"/>
      <c r="K735" s="2996">
        <f t="shared" si="124"/>
        <v>1</v>
      </c>
      <c r="L735" s="2994"/>
      <c r="M735" s="2996">
        <f t="shared" si="125"/>
        <v>1</v>
      </c>
      <c r="N735" s="2994"/>
      <c r="O735" s="2996">
        <f t="shared" si="126"/>
        <v>1</v>
      </c>
      <c r="P735" s="2994"/>
      <c r="Q735" s="2996">
        <f t="shared" si="127"/>
        <v>1</v>
      </c>
      <c r="R735" s="2997">
        <f t="shared" ca="1" si="128"/>
        <v>17260</v>
      </c>
      <c r="S735" s="2962">
        <f t="shared" ca="1" si="129"/>
        <v>87</v>
      </c>
    </row>
    <row r="736" spans="1:19">
      <c r="A736" s="2992" t="str">
        <f>Sheet1!F717</f>
        <v>3-1128</v>
      </c>
      <c r="B736" s="2992">
        <f>Sheet1!G717</f>
        <v>50.63</v>
      </c>
      <c r="C736" s="2996">
        <f t="shared" si="120"/>
        <v>1</v>
      </c>
      <c r="D736" s="2994"/>
      <c r="E736" s="2996">
        <f t="shared" si="121"/>
        <v>1</v>
      </c>
      <c r="F736" s="2994"/>
      <c r="G736" s="2996">
        <f t="shared" si="122"/>
        <v>1</v>
      </c>
      <c r="H736" s="2994"/>
      <c r="I736" s="2996">
        <f t="shared" si="123"/>
        <v>1</v>
      </c>
      <c r="J736" s="2994"/>
      <c r="K736" s="2996">
        <f t="shared" si="124"/>
        <v>1</v>
      </c>
      <c r="L736" s="2994"/>
      <c r="M736" s="2996">
        <f t="shared" si="125"/>
        <v>1</v>
      </c>
      <c r="N736" s="2994"/>
      <c r="O736" s="2996">
        <f t="shared" si="126"/>
        <v>1</v>
      </c>
      <c r="P736" s="2994"/>
      <c r="Q736" s="2996">
        <f t="shared" si="127"/>
        <v>1</v>
      </c>
      <c r="R736" s="2997">
        <f t="shared" ca="1" si="128"/>
        <v>17260</v>
      </c>
      <c r="S736" s="2962">
        <f t="shared" ca="1" si="129"/>
        <v>87</v>
      </c>
    </row>
    <row r="737" spans="1:19">
      <c r="A737" s="2992" t="str">
        <f>Sheet1!F718</f>
        <v>3-1129</v>
      </c>
      <c r="B737" s="2992">
        <f>Sheet1!G718</f>
        <v>50.63</v>
      </c>
      <c r="C737" s="2996">
        <f t="shared" si="120"/>
        <v>1</v>
      </c>
      <c r="D737" s="2994"/>
      <c r="E737" s="2996">
        <f t="shared" si="121"/>
        <v>1</v>
      </c>
      <c r="F737" s="2994"/>
      <c r="G737" s="2996">
        <f t="shared" si="122"/>
        <v>1</v>
      </c>
      <c r="H737" s="2994"/>
      <c r="I737" s="2996">
        <f t="shared" si="123"/>
        <v>1</v>
      </c>
      <c r="J737" s="2994"/>
      <c r="K737" s="2996">
        <f t="shared" si="124"/>
        <v>1</v>
      </c>
      <c r="L737" s="2994"/>
      <c r="M737" s="2996">
        <f t="shared" si="125"/>
        <v>1</v>
      </c>
      <c r="N737" s="2994"/>
      <c r="O737" s="2996">
        <f t="shared" si="126"/>
        <v>1</v>
      </c>
      <c r="P737" s="2994"/>
      <c r="Q737" s="2996">
        <f t="shared" si="127"/>
        <v>1</v>
      </c>
      <c r="R737" s="2997">
        <f t="shared" ca="1" si="128"/>
        <v>17260</v>
      </c>
      <c r="S737" s="2962">
        <f t="shared" ca="1" si="129"/>
        <v>87</v>
      </c>
    </row>
    <row r="738" spans="1:19">
      <c r="A738" s="2992" t="str">
        <f>Sheet1!F719</f>
        <v>3-1130</v>
      </c>
      <c r="B738" s="2992">
        <f>Sheet1!G719</f>
        <v>50.63</v>
      </c>
      <c r="C738" s="2996">
        <f t="shared" si="120"/>
        <v>1</v>
      </c>
      <c r="D738" s="2994"/>
      <c r="E738" s="2996">
        <f t="shared" si="121"/>
        <v>1</v>
      </c>
      <c r="F738" s="2994"/>
      <c r="G738" s="2996">
        <f t="shared" si="122"/>
        <v>1</v>
      </c>
      <c r="H738" s="2994"/>
      <c r="I738" s="2996">
        <f t="shared" si="123"/>
        <v>1</v>
      </c>
      <c r="J738" s="2994"/>
      <c r="K738" s="2996">
        <f t="shared" si="124"/>
        <v>1</v>
      </c>
      <c r="L738" s="2994"/>
      <c r="M738" s="2996">
        <f t="shared" si="125"/>
        <v>1</v>
      </c>
      <c r="N738" s="2994"/>
      <c r="O738" s="2996">
        <f t="shared" si="126"/>
        <v>1</v>
      </c>
      <c r="P738" s="2994"/>
      <c r="Q738" s="2996">
        <f t="shared" si="127"/>
        <v>1</v>
      </c>
      <c r="R738" s="2997">
        <f t="shared" ca="1" si="128"/>
        <v>17260</v>
      </c>
      <c r="S738" s="2962">
        <f t="shared" ca="1" si="129"/>
        <v>87</v>
      </c>
    </row>
    <row r="739" spans="1:19">
      <c r="A739" s="2992" t="str">
        <f>Sheet1!F720</f>
        <v>3-1131</v>
      </c>
      <c r="B739" s="2992">
        <f>Sheet1!G720</f>
        <v>50.63</v>
      </c>
      <c r="C739" s="2996">
        <f t="shared" si="120"/>
        <v>1</v>
      </c>
      <c r="D739" s="2994"/>
      <c r="E739" s="2996">
        <f t="shared" si="121"/>
        <v>1</v>
      </c>
      <c r="F739" s="2994"/>
      <c r="G739" s="2996">
        <f t="shared" si="122"/>
        <v>1</v>
      </c>
      <c r="H739" s="2994"/>
      <c r="I739" s="2996">
        <f t="shared" si="123"/>
        <v>1</v>
      </c>
      <c r="J739" s="2994"/>
      <c r="K739" s="2996">
        <f t="shared" si="124"/>
        <v>1</v>
      </c>
      <c r="L739" s="2994"/>
      <c r="M739" s="2996">
        <f t="shared" si="125"/>
        <v>1</v>
      </c>
      <c r="N739" s="2994"/>
      <c r="O739" s="2996">
        <f t="shared" si="126"/>
        <v>1</v>
      </c>
      <c r="P739" s="2994"/>
      <c r="Q739" s="2996">
        <f t="shared" si="127"/>
        <v>1</v>
      </c>
      <c r="R739" s="2997">
        <f t="shared" ca="1" si="128"/>
        <v>17260</v>
      </c>
      <c r="S739" s="2962">
        <f t="shared" ca="1" si="129"/>
        <v>87</v>
      </c>
    </row>
    <row r="740" spans="1:19">
      <c r="A740" s="2992" t="str">
        <f>Sheet1!F721</f>
        <v>3-1132</v>
      </c>
      <c r="B740" s="2992">
        <f>Sheet1!G721</f>
        <v>50.63</v>
      </c>
      <c r="C740" s="2996">
        <f t="shared" si="120"/>
        <v>1</v>
      </c>
      <c r="D740" s="2994"/>
      <c r="E740" s="2996">
        <f t="shared" si="121"/>
        <v>1</v>
      </c>
      <c r="F740" s="2994"/>
      <c r="G740" s="2996">
        <f t="shared" si="122"/>
        <v>1</v>
      </c>
      <c r="H740" s="2994"/>
      <c r="I740" s="2996">
        <f t="shared" si="123"/>
        <v>1</v>
      </c>
      <c r="J740" s="2994"/>
      <c r="K740" s="2996">
        <f t="shared" si="124"/>
        <v>1</v>
      </c>
      <c r="L740" s="2994"/>
      <c r="M740" s="2996">
        <f t="shared" si="125"/>
        <v>1</v>
      </c>
      <c r="N740" s="2994"/>
      <c r="O740" s="2996">
        <f t="shared" si="126"/>
        <v>1</v>
      </c>
      <c r="P740" s="2994"/>
      <c r="Q740" s="2996">
        <f t="shared" si="127"/>
        <v>1</v>
      </c>
      <c r="R740" s="2997">
        <f t="shared" ca="1" si="128"/>
        <v>17260</v>
      </c>
      <c r="S740" s="2962">
        <f t="shared" ca="1" si="129"/>
        <v>87</v>
      </c>
    </row>
    <row r="741" spans="1:19">
      <c r="A741" s="2992" t="str">
        <f>Sheet1!F722</f>
        <v>3-1133</v>
      </c>
      <c r="B741" s="2992">
        <f>Sheet1!G722</f>
        <v>50.38</v>
      </c>
      <c r="C741" s="2996">
        <f t="shared" si="120"/>
        <v>1</v>
      </c>
      <c r="D741" s="2994"/>
      <c r="E741" s="2996">
        <f t="shared" si="121"/>
        <v>1</v>
      </c>
      <c r="F741" s="2994"/>
      <c r="G741" s="2996">
        <f t="shared" si="122"/>
        <v>1</v>
      </c>
      <c r="H741" s="2994"/>
      <c r="I741" s="2996">
        <f t="shared" si="123"/>
        <v>1</v>
      </c>
      <c r="J741" s="2994"/>
      <c r="K741" s="2996">
        <f t="shared" si="124"/>
        <v>1</v>
      </c>
      <c r="L741" s="2994"/>
      <c r="M741" s="2996">
        <f t="shared" si="125"/>
        <v>1</v>
      </c>
      <c r="N741" s="2994"/>
      <c r="O741" s="2996">
        <f t="shared" si="126"/>
        <v>1</v>
      </c>
      <c r="P741" s="2994"/>
      <c r="Q741" s="2996">
        <f t="shared" si="127"/>
        <v>1</v>
      </c>
      <c r="R741" s="2997">
        <f t="shared" ca="1" si="128"/>
        <v>17260</v>
      </c>
      <c r="S741" s="2962">
        <f t="shared" ca="1" si="129"/>
        <v>87</v>
      </c>
    </row>
    <row r="742" spans="1:19">
      <c r="A742" s="2992" t="str">
        <f>Sheet1!F723</f>
        <v>3-1134</v>
      </c>
      <c r="B742" s="2992">
        <f>Sheet1!G723</f>
        <v>51.12</v>
      </c>
      <c r="C742" s="2996">
        <f t="shared" si="120"/>
        <v>1</v>
      </c>
      <c r="D742" s="2994"/>
      <c r="E742" s="2996">
        <f t="shared" si="121"/>
        <v>1</v>
      </c>
      <c r="F742" s="2994"/>
      <c r="G742" s="2996">
        <f t="shared" si="122"/>
        <v>1</v>
      </c>
      <c r="H742" s="2994"/>
      <c r="I742" s="2996">
        <f t="shared" si="123"/>
        <v>1</v>
      </c>
      <c r="J742" s="2994"/>
      <c r="K742" s="2996">
        <f t="shared" si="124"/>
        <v>1</v>
      </c>
      <c r="L742" s="2994"/>
      <c r="M742" s="2996">
        <f t="shared" si="125"/>
        <v>1</v>
      </c>
      <c r="N742" s="2994"/>
      <c r="O742" s="2996">
        <f t="shared" si="126"/>
        <v>1</v>
      </c>
      <c r="P742" s="2994"/>
      <c r="Q742" s="2996">
        <f t="shared" si="127"/>
        <v>1</v>
      </c>
      <c r="R742" s="2997">
        <f t="shared" ca="1" si="128"/>
        <v>17260</v>
      </c>
      <c r="S742" s="2962">
        <f t="shared" ca="1" si="129"/>
        <v>88</v>
      </c>
    </row>
    <row r="743" spans="1:19">
      <c r="A743" s="2992" t="str">
        <f>Sheet1!F724</f>
        <v>3-1135</v>
      </c>
      <c r="B743" s="2992">
        <f>Sheet1!G724</f>
        <v>68.760000000000005</v>
      </c>
      <c r="C743" s="2996">
        <f t="shared" si="120"/>
        <v>1</v>
      </c>
      <c r="D743" s="2994"/>
      <c r="E743" s="2996">
        <f t="shared" si="121"/>
        <v>1</v>
      </c>
      <c r="F743" s="2994"/>
      <c r="G743" s="2996">
        <f t="shared" si="122"/>
        <v>1</v>
      </c>
      <c r="H743" s="2994"/>
      <c r="I743" s="2996">
        <f t="shared" si="123"/>
        <v>1</v>
      </c>
      <c r="J743" s="2994"/>
      <c r="K743" s="2996">
        <f t="shared" si="124"/>
        <v>1</v>
      </c>
      <c r="L743" s="2994"/>
      <c r="M743" s="2996">
        <f t="shared" si="125"/>
        <v>1</v>
      </c>
      <c r="N743" s="2994"/>
      <c r="O743" s="2996">
        <f t="shared" si="126"/>
        <v>1</v>
      </c>
      <c r="P743" s="2994"/>
      <c r="Q743" s="2996">
        <f t="shared" si="127"/>
        <v>1</v>
      </c>
      <c r="R743" s="2997">
        <f t="shared" ca="1" si="128"/>
        <v>17260</v>
      </c>
      <c r="S743" s="2962">
        <f t="shared" ca="1" si="129"/>
        <v>119</v>
      </c>
    </row>
    <row r="744" spans="1:19">
      <c r="A744" s="2992" t="str">
        <f>Sheet1!F725</f>
        <v>3-1136</v>
      </c>
      <c r="B744" s="2992">
        <f>Sheet1!G725</f>
        <v>69.319999999999993</v>
      </c>
      <c r="C744" s="2996">
        <f t="shared" si="120"/>
        <v>1</v>
      </c>
      <c r="D744" s="2994"/>
      <c r="E744" s="2996">
        <f t="shared" si="121"/>
        <v>1</v>
      </c>
      <c r="F744" s="2994"/>
      <c r="G744" s="2996">
        <f t="shared" si="122"/>
        <v>1</v>
      </c>
      <c r="H744" s="2994"/>
      <c r="I744" s="2996">
        <f t="shared" si="123"/>
        <v>1</v>
      </c>
      <c r="J744" s="2994"/>
      <c r="K744" s="2996">
        <f t="shared" si="124"/>
        <v>1</v>
      </c>
      <c r="L744" s="2994"/>
      <c r="M744" s="2996">
        <f t="shared" si="125"/>
        <v>1</v>
      </c>
      <c r="N744" s="2994"/>
      <c r="O744" s="2996">
        <f t="shared" si="126"/>
        <v>1</v>
      </c>
      <c r="P744" s="2994"/>
      <c r="Q744" s="2996">
        <f t="shared" si="127"/>
        <v>1</v>
      </c>
      <c r="R744" s="2997">
        <f t="shared" ca="1" si="128"/>
        <v>17260</v>
      </c>
      <c r="S744" s="2962">
        <f t="shared" ca="1" si="129"/>
        <v>120</v>
      </c>
    </row>
    <row r="745" spans="1:19">
      <c r="A745" s="2992" t="str">
        <f>Sheet1!F726</f>
        <v>3-1137</v>
      </c>
      <c r="B745" s="2992">
        <f>Sheet1!G726</f>
        <v>61.41</v>
      </c>
      <c r="C745" s="2996">
        <f t="shared" si="120"/>
        <v>1</v>
      </c>
      <c r="D745" s="2994"/>
      <c r="E745" s="2996">
        <f t="shared" si="121"/>
        <v>1</v>
      </c>
      <c r="F745" s="2994"/>
      <c r="G745" s="2996">
        <f t="shared" si="122"/>
        <v>1</v>
      </c>
      <c r="H745" s="2994"/>
      <c r="I745" s="2996">
        <f t="shared" si="123"/>
        <v>1</v>
      </c>
      <c r="J745" s="2994"/>
      <c r="K745" s="2996">
        <f t="shared" si="124"/>
        <v>1</v>
      </c>
      <c r="L745" s="2994"/>
      <c r="M745" s="2996">
        <f t="shared" si="125"/>
        <v>1</v>
      </c>
      <c r="N745" s="2994"/>
      <c r="O745" s="2996">
        <f t="shared" si="126"/>
        <v>1</v>
      </c>
      <c r="P745" s="2994"/>
      <c r="Q745" s="2996">
        <f t="shared" si="127"/>
        <v>1</v>
      </c>
      <c r="R745" s="2997">
        <f t="shared" ca="1" si="128"/>
        <v>17260</v>
      </c>
      <c r="S745" s="2962">
        <f t="shared" ca="1" si="129"/>
        <v>106</v>
      </c>
    </row>
    <row r="746" spans="1:19">
      <c r="A746" s="2992" t="str">
        <f>Sheet1!F727</f>
        <v>3-1138</v>
      </c>
      <c r="B746" s="2992">
        <f>Sheet1!G727</f>
        <v>61.41</v>
      </c>
      <c r="C746" s="2996">
        <f t="shared" si="120"/>
        <v>1</v>
      </c>
      <c r="D746" s="2994"/>
      <c r="E746" s="2996">
        <f t="shared" si="121"/>
        <v>1</v>
      </c>
      <c r="F746" s="2994"/>
      <c r="G746" s="2996">
        <f t="shared" si="122"/>
        <v>1</v>
      </c>
      <c r="H746" s="2994"/>
      <c r="I746" s="2996">
        <f t="shared" si="123"/>
        <v>1</v>
      </c>
      <c r="J746" s="2994"/>
      <c r="K746" s="2996">
        <f t="shared" si="124"/>
        <v>1</v>
      </c>
      <c r="L746" s="2994"/>
      <c r="M746" s="2996">
        <f t="shared" si="125"/>
        <v>1</v>
      </c>
      <c r="N746" s="2994"/>
      <c r="O746" s="2996">
        <f t="shared" si="126"/>
        <v>1</v>
      </c>
      <c r="P746" s="2994"/>
      <c r="Q746" s="2996">
        <f t="shared" si="127"/>
        <v>1</v>
      </c>
      <c r="R746" s="2997">
        <f t="shared" ca="1" si="128"/>
        <v>17260</v>
      </c>
      <c r="S746" s="2962">
        <f t="shared" ca="1" si="129"/>
        <v>106</v>
      </c>
    </row>
    <row r="747" spans="1:19">
      <c r="A747" s="2992" t="str">
        <f>Sheet1!F728</f>
        <v>3-1139</v>
      </c>
      <c r="B747" s="2992">
        <f>Sheet1!G728</f>
        <v>61.41</v>
      </c>
      <c r="C747" s="2996">
        <f t="shared" si="120"/>
        <v>1</v>
      </c>
      <c r="D747" s="2994"/>
      <c r="E747" s="2996">
        <f t="shared" si="121"/>
        <v>1</v>
      </c>
      <c r="F747" s="2994"/>
      <c r="G747" s="2996">
        <f t="shared" si="122"/>
        <v>1</v>
      </c>
      <c r="H747" s="2994"/>
      <c r="I747" s="2996">
        <f t="shared" si="123"/>
        <v>1</v>
      </c>
      <c r="J747" s="2994"/>
      <c r="K747" s="2996">
        <f t="shared" si="124"/>
        <v>1</v>
      </c>
      <c r="L747" s="2994"/>
      <c r="M747" s="2996">
        <f t="shared" si="125"/>
        <v>1</v>
      </c>
      <c r="N747" s="2994"/>
      <c r="O747" s="2996">
        <f t="shared" si="126"/>
        <v>1</v>
      </c>
      <c r="P747" s="2994"/>
      <c r="Q747" s="2996">
        <f t="shared" si="127"/>
        <v>1</v>
      </c>
      <c r="R747" s="2997">
        <f t="shared" ca="1" si="128"/>
        <v>17260</v>
      </c>
      <c r="S747" s="2962">
        <f t="shared" ca="1" si="129"/>
        <v>106</v>
      </c>
    </row>
    <row r="748" spans="1:19">
      <c r="A748" s="2992" t="str">
        <f>Sheet1!F729</f>
        <v>3-1140</v>
      </c>
      <c r="B748" s="2992">
        <f>Sheet1!G729</f>
        <v>61.41</v>
      </c>
      <c r="C748" s="2996">
        <f t="shared" si="120"/>
        <v>1</v>
      </c>
      <c r="D748" s="2994"/>
      <c r="E748" s="2996">
        <f t="shared" si="121"/>
        <v>1</v>
      </c>
      <c r="F748" s="2994"/>
      <c r="G748" s="2996">
        <f t="shared" si="122"/>
        <v>1</v>
      </c>
      <c r="H748" s="2994"/>
      <c r="I748" s="2996">
        <f t="shared" si="123"/>
        <v>1</v>
      </c>
      <c r="J748" s="2994"/>
      <c r="K748" s="2996">
        <f t="shared" si="124"/>
        <v>1</v>
      </c>
      <c r="L748" s="2994"/>
      <c r="M748" s="2996">
        <f t="shared" si="125"/>
        <v>1</v>
      </c>
      <c r="N748" s="2994"/>
      <c r="O748" s="2996">
        <f t="shared" si="126"/>
        <v>1</v>
      </c>
      <c r="P748" s="2994"/>
      <c r="Q748" s="2996">
        <f t="shared" si="127"/>
        <v>1</v>
      </c>
      <c r="R748" s="2997">
        <f t="shared" ca="1" si="128"/>
        <v>17260</v>
      </c>
      <c r="S748" s="2962">
        <f t="shared" ca="1" si="129"/>
        <v>106</v>
      </c>
    </row>
    <row r="749" spans="1:19">
      <c r="A749" s="2992" t="str">
        <f>Sheet1!F730</f>
        <v>3-1141</v>
      </c>
      <c r="B749" s="2992">
        <f>Sheet1!G730</f>
        <v>61.41</v>
      </c>
      <c r="C749" s="2996">
        <f t="shared" si="120"/>
        <v>1</v>
      </c>
      <c r="D749" s="2994"/>
      <c r="E749" s="2996">
        <f t="shared" si="121"/>
        <v>1</v>
      </c>
      <c r="F749" s="2994"/>
      <c r="G749" s="2996">
        <f t="shared" si="122"/>
        <v>1</v>
      </c>
      <c r="H749" s="2994"/>
      <c r="I749" s="2996">
        <f t="shared" si="123"/>
        <v>1</v>
      </c>
      <c r="J749" s="2994"/>
      <c r="K749" s="2996">
        <f t="shared" si="124"/>
        <v>1</v>
      </c>
      <c r="L749" s="2994"/>
      <c r="M749" s="2996">
        <f t="shared" si="125"/>
        <v>1</v>
      </c>
      <c r="N749" s="2994"/>
      <c r="O749" s="2996">
        <f t="shared" si="126"/>
        <v>1</v>
      </c>
      <c r="P749" s="2994"/>
      <c r="Q749" s="2996">
        <f t="shared" si="127"/>
        <v>1</v>
      </c>
      <c r="R749" s="2997">
        <f t="shared" ca="1" si="128"/>
        <v>17260</v>
      </c>
      <c r="S749" s="2962">
        <f t="shared" ca="1" si="129"/>
        <v>106</v>
      </c>
    </row>
    <row r="750" spans="1:19">
      <c r="A750" s="2992" t="str">
        <f>Sheet1!F731</f>
        <v>3-1142</v>
      </c>
      <c r="B750" s="2992">
        <f>Sheet1!G731</f>
        <v>72.87</v>
      </c>
      <c r="C750" s="2996">
        <f t="shared" si="120"/>
        <v>1</v>
      </c>
      <c r="D750" s="2994"/>
      <c r="E750" s="2996">
        <f t="shared" si="121"/>
        <v>1</v>
      </c>
      <c r="F750" s="2994"/>
      <c r="G750" s="2996">
        <f t="shared" si="122"/>
        <v>1</v>
      </c>
      <c r="H750" s="2994"/>
      <c r="I750" s="2996">
        <f t="shared" si="123"/>
        <v>1</v>
      </c>
      <c r="J750" s="2994"/>
      <c r="K750" s="2996">
        <f t="shared" si="124"/>
        <v>1</v>
      </c>
      <c r="L750" s="2994"/>
      <c r="M750" s="2996">
        <f t="shared" si="125"/>
        <v>1</v>
      </c>
      <c r="N750" s="2994"/>
      <c r="O750" s="2996">
        <f t="shared" si="126"/>
        <v>1</v>
      </c>
      <c r="P750" s="2994"/>
      <c r="Q750" s="2996">
        <f t="shared" si="127"/>
        <v>1</v>
      </c>
      <c r="R750" s="2997">
        <f t="shared" ca="1" si="128"/>
        <v>17260</v>
      </c>
      <c r="S750" s="2962">
        <f t="shared" ca="1" si="129"/>
        <v>126</v>
      </c>
    </row>
    <row r="751" spans="1:19">
      <c r="A751" s="2992" t="str">
        <f>Sheet1!F732</f>
        <v>3-1143</v>
      </c>
      <c r="B751" s="2992">
        <f>Sheet1!G732</f>
        <v>81.069999999999993</v>
      </c>
      <c r="C751" s="2996">
        <f t="shared" si="120"/>
        <v>1</v>
      </c>
      <c r="D751" s="2994"/>
      <c r="E751" s="2996">
        <f t="shared" si="121"/>
        <v>1</v>
      </c>
      <c r="F751" s="2994"/>
      <c r="G751" s="2996">
        <f t="shared" si="122"/>
        <v>1</v>
      </c>
      <c r="H751" s="2994"/>
      <c r="I751" s="2996">
        <f t="shared" si="123"/>
        <v>1</v>
      </c>
      <c r="J751" s="2994"/>
      <c r="K751" s="2996">
        <f t="shared" si="124"/>
        <v>1</v>
      </c>
      <c r="L751" s="2994"/>
      <c r="M751" s="2996">
        <f t="shared" si="125"/>
        <v>1</v>
      </c>
      <c r="N751" s="2994"/>
      <c r="O751" s="2996">
        <f t="shared" si="126"/>
        <v>1</v>
      </c>
      <c r="P751" s="2994"/>
      <c r="Q751" s="2996">
        <f t="shared" si="127"/>
        <v>1</v>
      </c>
      <c r="R751" s="2997">
        <f t="shared" ca="1" si="128"/>
        <v>17260</v>
      </c>
      <c r="S751" s="2962">
        <f t="shared" ca="1" si="129"/>
        <v>140</v>
      </c>
    </row>
    <row r="752" spans="1:19">
      <c r="A752" s="2992" t="str">
        <f>Sheet1!F733</f>
        <v>3-1144</v>
      </c>
      <c r="B752" s="2992">
        <f>Sheet1!G733</f>
        <v>61.41</v>
      </c>
      <c r="C752" s="2996">
        <f t="shared" si="120"/>
        <v>1</v>
      </c>
      <c r="D752" s="2994"/>
      <c r="E752" s="2996">
        <f t="shared" si="121"/>
        <v>1</v>
      </c>
      <c r="F752" s="2994"/>
      <c r="G752" s="2996">
        <f t="shared" si="122"/>
        <v>1</v>
      </c>
      <c r="H752" s="2994"/>
      <c r="I752" s="2996">
        <f t="shared" si="123"/>
        <v>1</v>
      </c>
      <c r="J752" s="2994"/>
      <c r="K752" s="2996">
        <f t="shared" si="124"/>
        <v>1</v>
      </c>
      <c r="L752" s="2994"/>
      <c r="M752" s="2996">
        <f t="shared" si="125"/>
        <v>1</v>
      </c>
      <c r="N752" s="2994"/>
      <c r="O752" s="2996">
        <f t="shared" si="126"/>
        <v>1</v>
      </c>
      <c r="P752" s="2994"/>
      <c r="Q752" s="2996">
        <f t="shared" si="127"/>
        <v>1</v>
      </c>
      <c r="R752" s="2997">
        <f t="shared" ca="1" si="128"/>
        <v>17260</v>
      </c>
      <c r="S752" s="2962">
        <f t="shared" ca="1" si="129"/>
        <v>106</v>
      </c>
    </row>
    <row r="753" spans="1:19">
      <c r="A753" s="2992" t="str">
        <f>Sheet1!F734</f>
        <v>3-1145</v>
      </c>
      <c r="B753" s="2992">
        <f>Sheet1!G734</f>
        <v>54.6</v>
      </c>
      <c r="C753" s="2996">
        <f t="shared" si="120"/>
        <v>1</v>
      </c>
      <c r="D753" s="2994"/>
      <c r="E753" s="2996">
        <f t="shared" si="121"/>
        <v>1</v>
      </c>
      <c r="F753" s="2994"/>
      <c r="G753" s="2996">
        <f t="shared" si="122"/>
        <v>1</v>
      </c>
      <c r="H753" s="2994"/>
      <c r="I753" s="2996">
        <f t="shared" si="123"/>
        <v>1</v>
      </c>
      <c r="J753" s="2994"/>
      <c r="K753" s="2996">
        <f t="shared" si="124"/>
        <v>1</v>
      </c>
      <c r="L753" s="2994"/>
      <c r="M753" s="2996">
        <f t="shared" si="125"/>
        <v>1</v>
      </c>
      <c r="N753" s="2994"/>
      <c r="O753" s="2996">
        <f t="shared" si="126"/>
        <v>1</v>
      </c>
      <c r="P753" s="2994"/>
      <c r="Q753" s="2996">
        <f t="shared" si="127"/>
        <v>1</v>
      </c>
      <c r="R753" s="2997">
        <f t="shared" ca="1" si="128"/>
        <v>17260</v>
      </c>
      <c r="S753" s="2962">
        <f t="shared" ca="1" si="129"/>
        <v>94</v>
      </c>
    </row>
    <row r="754" spans="1:19">
      <c r="A754" s="2992" t="str">
        <f>Sheet1!F735</f>
        <v>3-1146</v>
      </c>
      <c r="B754" s="2992">
        <f>Sheet1!G735</f>
        <v>71.23</v>
      </c>
      <c r="C754" s="2996">
        <f t="shared" si="120"/>
        <v>1</v>
      </c>
      <c r="D754" s="2994"/>
      <c r="E754" s="2996">
        <f t="shared" si="121"/>
        <v>1</v>
      </c>
      <c r="F754" s="2994"/>
      <c r="G754" s="2996">
        <f t="shared" si="122"/>
        <v>1</v>
      </c>
      <c r="H754" s="2994"/>
      <c r="I754" s="2996">
        <f t="shared" si="123"/>
        <v>1</v>
      </c>
      <c r="J754" s="2994"/>
      <c r="K754" s="2996">
        <f t="shared" si="124"/>
        <v>1</v>
      </c>
      <c r="L754" s="2994"/>
      <c r="M754" s="2996">
        <f t="shared" si="125"/>
        <v>1</v>
      </c>
      <c r="N754" s="2994"/>
      <c r="O754" s="2996">
        <f t="shared" si="126"/>
        <v>1</v>
      </c>
      <c r="P754" s="2994"/>
      <c r="Q754" s="2996">
        <f t="shared" si="127"/>
        <v>1</v>
      </c>
      <c r="R754" s="2997">
        <f t="shared" ca="1" si="128"/>
        <v>17260</v>
      </c>
      <c r="S754" s="2962">
        <f t="shared" ca="1" si="129"/>
        <v>123</v>
      </c>
    </row>
    <row r="755" spans="1:19">
      <c r="A755" s="2992" t="str">
        <f>Sheet1!F736</f>
        <v>3-1147</v>
      </c>
      <c r="B755" s="2992">
        <f>Sheet1!G736</f>
        <v>61.41</v>
      </c>
      <c r="C755" s="2996">
        <f t="shared" si="120"/>
        <v>1</v>
      </c>
      <c r="D755" s="2994"/>
      <c r="E755" s="2996">
        <f t="shared" si="121"/>
        <v>1</v>
      </c>
      <c r="F755" s="2994"/>
      <c r="G755" s="2996">
        <f t="shared" si="122"/>
        <v>1</v>
      </c>
      <c r="H755" s="2994"/>
      <c r="I755" s="2996">
        <f t="shared" si="123"/>
        <v>1</v>
      </c>
      <c r="J755" s="2994"/>
      <c r="K755" s="2996">
        <f t="shared" si="124"/>
        <v>1</v>
      </c>
      <c r="L755" s="2994"/>
      <c r="M755" s="2996">
        <f t="shared" si="125"/>
        <v>1</v>
      </c>
      <c r="N755" s="2994"/>
      <c r="O755" s="2996">
        <f t="shared" si="126"/>
        <v>1</v>
      </c>
      <c r="P755" s="2994"/>
      <c r="Q755" s="2996">
        <f t="shared" si="127"/>
        <v>1</v>
      </c>
      <c r="R755" s="2997">
        <f t="shared" ca="1" si="128"/>
        <v>17260</v>
      </c>
      <c r="S755" s="2962">
        <f t="shared" ca="1" si="129"/>
        <v>106</v>
      </c>
    </row>
    <row r="756" spans="1:19">
      <c r="A756" s="2992" t="str">
        <f>Sheet1!F737</f>
        <v>3-1148</v>
      </c>
      <c r="B756" s="2992">
        <f>Sheet1!G737</f>
        <v>61.41</v>
      </c>
      <c r="C756" s="2996">
        <f t="shared" si="120"/>
        <v>1</v>
      </c>
      <c r="D756" s="2994"/>
      <c r="E756" s="2996">
        <f t="shared" si="121"/>
        <v>1</v>
      </c>
      <c r="F756" s="2994"/>
      <c r="G756" s="2996">
        <f t="shared" si="122"/>
        <v>1</v>
      </c>
      <c r="H756" s="2994"/>
      <c r="I756" s="2996">
        <f t="shared" si="123"/>
        <v>1</v>
      </c>
      <c r="J756" s="2994"/>
      <c r="K756" s="2996">
        <f t="shared" si="124"/>
        <v>1</v>
      </c>
      <c r="L756" s="2994"/>
      <c r="M756" s="2996">
        <f t="shared" si="125"/>
        <v>1</v>
      </c>
      <c r="N756" s="2994"/>
      <c r="O756" s="2996">
        <f t="shared" si="126"/>
        <v>1</v>
      </c>
      <c r="P756" s="2994"/>
      <c r="Q756" s="2996">
        <f t="shared" si="127"/>
        <v>1</v>
      </c>
      <c r="R756" s="2997">
        <f t="shared" ca="1" si="128"/>
        <v>17260</v>
      </c>
      <c r="S756" s="2962">
        <f t="shared" ca="1" si="129"/>
        <v>106</v>
      </c>
    </row>
    <row r="757" spans="1:19">
      <c r="A757" s="2992" t="str">
        <f>Sheet1!F738</f>
        <v>3-1149</v>
      </c>
      <c r="B757" s="2992">
        <f>Sheet1!G738</f>
        <v>61.41</v>
      </c>
      <c r="C757" s="2996">
        <f t="shared" si="120"/>
        <v>1</v>
      </c>
      <c r="D757" s="2994"/>
      <c r="E757" s="2996">
        <f t="shared" si="121"/>
        <v>1</v>
      </c>
      <c r="F757" s="2994"/>
      <c r="G757" s="2996">
        <f t="shared" si="122"/>
        <v>1</v>
      </c>
      <c r="H757" s="2994"/>
      <c r="I757" s="2996">
        <f t="shared" si="123"/>
        <v>1</v>
      </c>
      <c r="J757" s="2994"/>
      <c r="K757" s="2996">
        <f t="shared" si="124"/>
        <v>1</v>
      </c>
      <c r="L757" s="2994"/>
      <c r="M757" s="2996">
        <f t="shared" si="125"/>
        <v>1</v>
      </c>
      <c r="N757" s="2994"/>
      <c r="O757" s="2996">
        <f t="shared" si="126"/>
        <v>1</v>
      </c>
      <c r="P757" s="2994"/>
      <c r="Q757" s="2996">
        <f t="shared" si="127"/>
        <v>1</v>
      </c>
      <c r="R757" s="2997">
        <f t="shared" ca="1" si="128"/>
        <v>17260</v>
      </c>
      <c r="S757" s="2962">
        <f t="shared" ca="1" si="129"/>
        <v>106</v>
      </c>
    </row>
    <row r="758" spans="1:19">
      <c r="A758" s="2992" t="str">
        <f>Sheet1!F739</f>
        <v>3-1150</v>
      </c>
      <c r="B758" s="2992">
        <f>Sheet1!G739</f>
        <v>61.88</v>
      </c>
      <c r="C758" s="2996">
        <f t="shared" si="120"/>
        <v>1</v>
      </c>
      <c r="D758" s="2994"/>
      <c r="E758" s="2996">
        <f t="shared" si="121"/>
        <v>1</v>
      </c>
      <c r="F758" s="2994"/>
      <c r="G758" s="2996">
        <f t="shared" si="122"/>
        <v>1</v>
      </c>
      <c r="H758" s="2994"/>
      <c r="I758" s="2996">
        <f t="shared" si="123"/>
        <v>1</v>
      </c>
      <c r="J758" s="2994"/>
      <c r="K758" s="2996">
        <f t="shared" si="124"/>
        <v>1</v>
      </c>
      <c r="L758" s="2994"/>
      <c r="M758" s="2996">
        <f t="shared" si="125"/>
        <v>1</v>
      </c>
      <c r="N758" s="2994"/>
      <c r="O758" s="2996">
        <f t="shared" si="126"/>
        <v>1</v>
      </c>
      <c r="P758" s="2994"/>
      <c r="Q758" s="2996">
        <f t="shared" si="127"/>
        <v>1</v>
      </c>
      <c r="R758" s="2997">
        <f t="shared" ca="1" si="128"/>
        <v>17260</v>
      </c>
      <c r="S758" s="2962">
        <f t="shared" ca="1" si="129"/>
        <v>107</v>
      </c>
    </row>
    <row r="759" spans="1:19">
      <c r="A759" s="2992" t="str">
        <f>Sheet1!F740</f>
        <v>3-1151</v>
      </c>
      <c r="B759" s="2992">
        <f>Sheet1!G740</f>
        <v>58.8</v>
      </c>
      <c r="C759" s="2996">
        <f t="shared" si="120"/>
        <v>1</v>
      </c>
      <c r="D759" s="2994"/>
      <c r="E759" s="2996">
        <f t="shared" si="121"/>
        <v>1</v>
      </c>
      <c r="F759" s="2994"/>
      <c r="G759" s="2996">
        <f t="shared" si="122"/>
        <v>1</v>
      </c>
      <c r="H759" s="2994"/>
      <c r="I759" s="2996">
        <f t="shared" si="123"/>
        <v>1</v>
      </c>
      <c r="J759" s="2994"/>
      <c r="K759" s="2996">
        <f t="shared" si="124"/>
        <v>1</v>
      </c>
      <c r="L759" s="2994"/>
      <c r="M759" s="2996">
        <f t="shared" si="125"/>
        <v>1</v>
      </c>
      <c r="N759" s="2994"/>
      <c r="O759" s="2996">
        <f t="shared" si="126"/>
        <v>1</v>
      </c>
      <c r="P759" s="2994"/>
      <c r="Q759" s="2996">
        <f t="shared" si="127"/>
        <v>1</v>
      </c>
      <c r="R759" s="2997">
        <f t="shared" ca="1" si="128"/>
        <v>17260</v>
      </c>
      <c r="S759" s="2962">
        <f t="shared" ca="1" si="129"/>
        <v>101</v>
      </c>
    </row>
    <row r="760" spans="1:19">
      <c r="A760" s="2992" t="str">
        <f>Sheet1!F741</f>
        <v>3-1152</v>
      </c>
      <c r="B760" s="2992">
        <f>Sheet1!G741</f>
        <v>60.21</v>
      </c>
      <c r="C760" s="2996">
        <f t="shared" si="120"/>
        <v>1</v>
      </c>
      <c r="D760" s="2994"/>
      <c r="E760" s="2996">
        <f t="shared" si="121"/>
        <v>1</v>
      </c>
      <c r="F760" s="2994"/>
      <c r="G760" s="2996">
        <f t="shared" si="122"/>
        <v>1</v>
      </c>
      <c r="H760" s="2994"/>
      <c r="I760" s="2996">
        <f t="shared" si="123"/>
        <v>1</v>
      </c>
      <c r="J760" s="2994"/>
      <c r="K760" s="2996">
        <f t="shared" si="124"/>
        <v>1</v>
      </c>
      <c r="L760" s="2994"/>
      <c r="M760" s="2996">
        <f t="shared" si="125"/>
        <v>1</v>
      </c>
      <c r="N760" s="2994"/>
      <c r="O760" s="2996">
        <f t="shared" si="126"/>
        <v>1</v>
      </c>
      <c r="P760" s="2994"/>
      <c r="Q760" s="2996">
        <f t="shared" si="127"/>
        <v>1</v>
      </c>
      <c r="R760" s="2997">
        <f t="shared" ca="1" si="128"/>
        <v>17260</v>
      </c>
      <c r="S760" s="2962">
        <f t="shared" ca="1" si="129"/>
        <v>104</v>
      </c>
    </row>
    <row r="761" spans="1:19">
      <c r="A761" s="2992" t="str">
        <f>Sheet1!F742</f>
        <v>4-1101</v>
      </c>
      <c r="B761" s="2992">
        <f>Sheet1!G742</f>
        <v>65.760000000000005</v>
      </c>
      <c r="C761" s="2996">
        <f t="shared" si="120"/>
        <v>1</v>
      </c>
      <c r="D761" s="2994"/>
      <c r="E761" s="2996">
        <f t="shared" si="121"/>
        <v>1</v>
      </c>
      <c r="F761" s="2994"/>
      <c r="G761" s="2996">
        <f t="shared" si="122"/>
        <v>1</v>
      </c>
      <c r="H761" s="2994"/>
      <c r="I761" s="2996">
        <f t="shared" si="123"/>
        <v>1</v>
      </c>
      <c r="J761" s="2994"/>
      <c r="K761" s="2996">
        <f t="shared" si="124"/>
        <v>1</v>
      </c>
      <c r="L761" s="2994"/>
      <c r="M761" s="2996">
        <f t="shared" si="125"/>
        <v>1</v>
      </c>
      <c r="N761" s="2994"/>
      <c r="O761" s="2996">
        <f t="shared" si="126"/>
        <v>1</v>
      </c>
      <c r="P761" s="2994"/>
      <c r="Q761" s="2996">
        <f t="shared" si="127"/>
        <v>1</v>
      </c>
      <c r="R761" s="2997">
        <f t="shared" ca="1" si="128"/>
        <v>17260</v>
      </c>
      <c r="S761" s="2962">
        <f t="shared" ca="1" si="129"/>
        <v>114</v>
      </c>
    </row>
    <row r="762" spans="1:19">
      <c r="A762" s="2992" t="str">
        <f>Sheet1!F743</f>
        <v>4-1102</v>
      </c>
      <c r="B762" s="2992">
        <f>Sheet1!G743</f>
        <v>59.41</v>
      </c>
      <c r="C762" s="2996">
        <f t="shared" si="120"/>
        <v>1</v>
      </c>
      <c r="D762" s="2994"/>
      <c r="E762" s="2996">
        <f t="shared" si="121"/>
        <v>1</v>
      </c>
      <c r="F762" s="2994"/>
      <c r="G762" s="2996">
        <f t="shared" si="122"/>
        <v>1</v>
      </c>
      <c r="H762" s="2994"/>
      <c r="I762" s="2996">
        <f t="shared" si="123"/>
        <v>1</v>
      </c>
      <c r="J762" s="2994"/>
      <c r="K762" s="2996">
        <f t="shared" si="124"/>
        <v>1</v>
      </c>
      <c r="L762" s="2994"/>
      <c r="M762" s="2996">
        <f t="shared" si="125"/>
        <v>1</v>
      </c>
      <c r="N762" s="2994"/>
      <c r="O762" s="2996">
        <f t="shared" si="126"/>
        <v>1</v>
      </c>
      <c r="P762" s="2994"/>
      <c r="Q762" s="2996">
        <f t="shared" si="127"/>
        <v>1</v>
      </c>
      <c r="R762" s="2997">
        <f t="shared" ca="1" si="128"/>
        <v>17260</v>
      </c>
      <c r="S762" s="2962">
        <f t="shared" ca="1" si="129"/>
        <v>103</v>
      </c>
    </row>
    <row r="763" spans="1:19">
      <c r="A763" s="2992" t="str">
        <f>Sheet1!F744</f>
        <v>4-1103</v>
      </c>
      <c r="B763" s="2992">
        <f>Sheet1!G744</f>
        <v>60.69</v>
      </c>
      <c r="C763" s="2996">
        <f t="shared" si="120"/>
        <v>1</v>
      </c>
      <c r="D763" s="2994"/>
      <c r="E763" s="2996">
        <f t="shared" si="121"/>
        <v>1</v>
      </c>
      <c r="F763" s="2994"/>
      <c r="G763" s="2996">
        <f t="shared" si="122"/>
        <v>1</v>
      </c>
      <c r="H763" s="2994"/>
      <c r="I763" s="2996">
        <f t="shared" si="123"/>
        <v>1</v>
      </c>
      <c r="J763" s="2994"/>
      <c r="K763" s="2996">
        <f t="shared" si="124"/>
        <v>1</v>
      </c>
      <c r="L763" s="2994"/>
      <c r="M763" s="2996">
        <f t="shared" si="125"/>
        <v>1</v>
      </c>
      <c r="N763" s="2994"/>
      <c r="O763" s="2996">
        <f t="shared" si="126"/>
        <v>1</v>
      </c>
      <c r="P763" s="2994"/>
      <c r="Q763" s="2996">
        <f t="shared" si="127"/>
        <v>1</v>
      </c>
      <c r="R763" s="2997">
        <f t="shared" ca="1" si="128"/>
        <v>17260</v>
      </c>
      <c r="S763" s="2962">
        <f t="shared" ca="1" si="129"/>
        <v>105</v>
      </c>
    </row>
    <row r="764" spans="1:19">
      <c r="A764" s="2992" t="str">
        <f>Sheet1!F745</f>
        <v>4-1104</v>
      </c>
      <c r="B764" s="2992">
        <f>Sheet1!G745</f>
        <v>60.69</v>
      </c>
      <c r="C764" s="2996">
        <f t="shared" si="120"/>
        <v>1</v>
      </c>
      <c r="D764" s="2994"/>
      <c r="E764" s="2996">
        <f t="shared" si="121"/>
        <v>1</v>
      </c>
      <c r="F764" s="2994"/>
      <c r="G764" s="2996">
        <f t="shared" si="122"/>
        <v>1</v>
      </c>
      <c r="H764" s="2994"/>
      <c r="I764" s="2996">
        <f t="shared" si="123"/>
        <v>1</v>
      </c>
      <c r="J764" s="2994"/>
      <c r="K764" s="2996">
        <f t="shared" si="124"/>
        <v>1</v>
      </c>
      <c r="L764" s="2994"/>
      <c r="M764" s="2996">
        <f t="shared" si="125"/>
        <v>1</v>
      </c>
      <c r="N764" s="2994"/>
      <c r="O764" s="2996">
        <f t="shared" si="126"/>
        <v>1</v>
      </c>
      <c r="P764" s="2994"/>
      <c r="Q764" s="2996">
        <f t="shared" si="127"/>
        <v>1</v>
      </c>
      <c r="R764" s="2997">
        <f t="shared" ca="1" si="128"/>
        <v>17260</v>
      </c>
      <c r="S764" s="2962">
        <f t="shared" ca="1" si="129"/>
        <v>105</v>
      </c>
    </row>
    <row r="765" spans="1:19">
      <c r="A765" s="2992" t="str">
        <f>Sheet1!F746</f>
        <v>4-1105</v>
      </c>
      <c r="B765" s="2992">
        <f>Sheet1!G746</f>
        <v>60.69</v>
      </c>
      <c r="C765" s="2996">
        <f t="shared" si="120"/>
        <v>1</v>
      </c>
      <c r="D765" s="2994"/>
      <c r="E765" s="2996">
        <f t="shared" si="121"/>
        <v>1</v>
      </c>
      <c r="F765" s="2994"/>
      <c r="G765" s="2996">
        <f t="shared" si="122"/>
        <v>1</v>
      </c>
      <c r="H765" s="2994"/>
      <c r="I765" s="2996">
        <f t="shared" si="123"/>
        <v>1</v>
      </c>
      <c r="J765" s="2994"/>
      <c r="K765" s="2996">
        <f t="shared" si="124"/>
        <v>1</v>
      </c>
      <c r="L765" s="2994"/>
      <c r="M765" s="2996">
        <f t="shared" si="125"/>
        <v>1</v>
      </c>
      <c r="N765" s="2994"/>
      <c r="O765" s="2996">
        <f t="shared" si="126"/>
        <v>1</v>
      </c>
      <c r="P765" s="2994"/>
      <c r="Q765" s="2996">
        <f t="shared" si="127"/>
        <v>1</v>
      </c>
      <c r="R765" s="2997">
        <f t="shared" ca="1" si="128"/>
        <v>17260</v>
      </c>
      <c r="S765" s="2962">
        <f t="shared" ca="1" si="129"/>
        <v>105</v>
      </c>
    </row>
    <row r="766" spans="1:19">
      <c r="A766" s="2992" t="str">
        <f>Sheet1!F747</f>
        <v>4-1106</v>
      </c>
      <c r="B766" s="2992">
        <f>Sheet1!G747</f>
        <v>60.69</v>
      </c>
      <c r="C766" s="2996">
        <f t="shared" si="120"/>
        <v>1</v>
      </c>
      <c r="D766" s="2994"/>
      <c r="E766" s="2996">
        <f t="shared" si="121"/>
        <v>1</v>
      </c>
      <c r="F766" s="2994"/>
      <c r="G766" s="2996">
        <f t="shared" si="122"/>
        <v>1</v>
      </c>
      <c r="H766" s="2994"/>
      <c r="I766" s="2996">
        <f t="shared" si="123"/>
        <v>1</v>
      </c>
      <c r="J766" s="2994"/>
      <c r="K766" s="2996">
        <f t="shared" si="124"/>
        <v>1</v>
      </c>
      <c r="L766" s="2994"/>
      <c r="M766" s="2996">
        <f t="shared" si="125"/>
        <v>1</v>
      </c>
      <c r="N766" s="2994"/>
      <c r="O766" s="2996">
        <f t="shared" si="126"/>
        <v>1</v>
      </c>
      <c r="P766" s="2994"/>
      <c r="Q766" s="2996">
        <f t="shared" si="127"/>
        <v>1</v>
      </c>
      <c r="R766" s="2997">
        <f t="shared" ca="1" si="128"/>
        <v>17260</v>
      </c>
      <c r="S766" s="2962">
        <f t="shared" ca="1" si="129"/>
        <v>105</v>
      </c>
    </row>
    <row r="767" spans="1:19">
      <c r="A767" s="2992" t="str">
        <f>Sheet1!F748</f>
        <v>4-1107</v>
      </c>
      <c r="B767" s="2992">
        <f>Sheet1!G748</f>
        <v>60.69</v>
      </c>
      <c r="C767" s="2996">
        <f t="shared" si="120"/>
        <v>1</v>
      </c>
      <c r="D767" s="2994"/>
      <c r="E767" s="2996">
        <f t="shared" si="121"/>
        <v>1</v>
      </c>
      <c r="F767" s="2994"/>
      <c r="G767" s="2996">
        <f t="shared" si="122"/>
        <v>1</v>
      </c>
      <c r="H767" s="2994"/>
      <c r="I767" s="2996">
        <f t="shared" si="123"/>
        <v>1</v>
      </c>
      <c r="J767" s="2994"/>
      <c r="K767" s="2996">
        <f t="shared" si="124"/>
        <v>1</v>
      </c>
      <c r="L767" s="2994"/>
      <c r="M767" s="2996">
        <f t="shared" si="125"/>
        <v>1</v>
      </c>
      <c r="N767" s="2994"/>
      <c r="O767" s="2996">
        <f t="shared" si="126"/>
        <v>1</v>
      </c>
      <c r="P767" s="2994"/>
      <c r="Q767" s="2996">
        <f t="shared" si="127"/>
        <v>1</v>
      </c>
      <c r="R767" s="2997">
        <f t="shared" ca="1" si="128"/>
        <v>17260</v>
      </c>
      <c r="S767" s="2962">
        <f t="shared" ca="1" si="129"/>
        <v>105</v>
      </c>
    </row>
    <row r="768" spans="1:19">
      <c r="A768" s="2992" t="str">
        <f>Sheet1!F749</f>
        <v>4-1108</v>
      </c>
      <c r="B768" s="2992">
        <f>Sheet1!G749</f>
        <v>60.69</v>
      </c>
      <c r="C768" s="2996">
        <f t="shared" si="120"/>
        <v>1</v>
      </c>
      <c r="D768" s="2994"/>
      <c r="E768" s="2996">
        <f t="shared" si="121"/>
        <v>1</v>
      </c>
      <c r="F768" s="2994"/>
      <c r="G768" s="2996">
        <f t="shared" si="122"/>
        <v>1</v>
      </c>
      <c r="H768" s="2994"/>
      <c r="I768" s="2996">
        <f t="shared" si="123"/>
        <v>1</v>
      </c>
      <c r="J768" s="2994"/>
      <c r="K768" s="2996">
        <f t="shared" si="124"/>
        <v>1</v>
      </c>
      <c r="L768" s="2994"/>
      <c r="M768" s="2996">
        <f t="shared" si="125"/>
        <v>1</v>
      </c>
      <c r="N768" s="2994"/>
      <c r="O768" s="2996">
        <f t="shared" si="126"/>
        <v>1</v>
      </c>
      <c r="P768" s="2994"/>
      <c r="Q768" s="2996">
        <f t="shared" si="127"/>
        <v>1</v>
      </c>
      <c r="R768" s="2997">
        <f t="shared" ca="1" si="128"/>
        <v>17260</v>
      </c>
      <c r="S768" s="2962">
        <f t="shared" ca="1" si="129"/>
        <v>105</v>
      </c>
    </row>
    <row r="769" spans="1:19">
      <c r="A769" s="2992" t="str">
        <f>Sheet1!F750</f>
        <v>4-1109</v>
      </c>
      <c r="B769" s="2992">
        <f>Sheet1!G750</f>
        <v>60.69</v>
      </c>
      <c r="C769" s="2996">
        <f t="shared" si="120"/>
        <v>1</v>
      </c>
      <c r="D769" s="2994"/>
      <c r="E769" s="2996">
        <f t="shared" si="121"/>
        <v>1</v>
      </c>
      <c r="F769" s="2994"/>
      <c r="G769" s="2996">
        <f t="shared" si="122"/>
        <v>1</v>
      </c>
      <c r="H769" s="2994"/>
      <c r="I769" s="2996">
        <f t="shared" si="123"/>
        <v>1</v>
      </c>
      <c r="J769" s="2994"/>
      <c r="K769" s="2996">
        <f t="shared" si="124"/>
        <v>1</v>
      </c>
      <c r="L769" s="2994"/>
      <c r="M769" s="2996">
        <f t="shared" si="125"/>
        <v>1</v>
      </c>
      <c r="N769" s="2994"/>
      <c r="O769" s="2996">
        <f t="shared" si="126"/>
        <v>1</v>
      </c>
      <c r="P769" s="2994"/>
      <c r="Q769" s="2996">
        <f t="shared" si="127"/>
        <v>1</v>
      </c>
      <c r="R769" s="2997">
        <f t="shared" ca="1" si="128"/>
        <v>17260</v>
      </c>
      <c r="S769" s="2962">
        <f t="shared" ca="1" si="129"/>
        <v>105</v>
      </c>
    </row>
    <row r="770" spans="1:19">
      <c r="A770" s="2992" t="str">
        <f>Sheet1!F751</f>
        <v>4-1110</v>
      </c>
      <c r="B770" s="2992">
        <f>Sheet1!G751</f>
        <v>60.69</v>
      </c>
      <c r="C770" s="2996">
        <f t="shared" si="120"/>
        <v>1</v>
      </c>
      <c r="D770" s="2994"/>
      <c r="E770" s="2996">
        <f t="shared" si="121"/>
        <v>1</v>
      </c>
      <c r="F770" s="2994"/>
      <c r="G770" s="2996">
        <f t="shared" si="122"/>
        <v>1</v>
      </c>
      <c r="H770" s="2994"/>
      <c r="I770" s="2996">
        <f t="shared" si="123"/>
        <v>1</v>
      </c>
      <c r="J770" s="2994"/>
      <c r="K770" s="2996">
        <f t="shared" si="124"/>
        <v>1</v>
      </c>
      <c r="L770" s="2994"/>
      <c r="M770" s="2996">
        <f t="shared" si="125"/>
        <v>1</v>
      </c>
      <c r="N770" s="2994"/>
      <c r="O770" s="2996">
        <f t="shared" si="126"/>
        <v>1</v>
      </c>
      <c r="P770" s="2994"/>
      <c r="Q770" s="2996">
        <f t="shared" si="127"/>
        <v>1</v>
      </c>
      <c r="R770" s="2997">
        <f t="shared" ca="1" si="128"/>
        <v>17260</v>
      </c>
      <c r="S770" s="2962">
        <f t="shared" ca="1" si="129"/>
        <v>105</v>
      </c>
    </row>
    <row r="771" spans="1:19">
      <c r="A771" s="2992" t="str">
        <f>Sheet1!F752</f>
        <v>4-1111</v>
      </c>
      <c r="B771" s="2992">
        <f>Sheet1!G752</f>
        <v>60.69</v>
      </c>
      <c r="C771" s="2996">
        <f t="shared" si="120"/>
        <v>1</v>
      </c>
      <c r="D771" s="2994"/>
      <c r="E771" s="2996">
        <f t="shared" si="121"/>
        <v>1</v>
      </c>
      <c r="F771" s="2994"/>
      <c r="G771" s="2996">
        <f t="shared" si="122"/>
        <v>1</v>
      </c>
      <c r="H771" s="2994"/>
      <c r="I771" s="2996">
        <f t="shared" si="123"/>
        <v>1</v>
      </c>
      <c r="J771" s="2994"/>
      <c r="K771" s="2996">
        <f t="shared" si="124"/>
        <v>1</v>
      </c>
      <c r="L771" s="2994"/>
      <c r="M771" s="2996">
        <f t="shared" si="125"/>
        <v>1</v>
      </c>
      <c r="N771" s="2994"/>
      <c r="O771" s="2996">
        <f t="shared" si="126"/>
        <v>1</v>
      </c>
      <c r="P771" s="2994"/>
      <c r="Q771" s="2996">
        <f t="shared" si="127"/>
        <v>1</v>
      </c>
      <c r="R771" s="2997">
        <f t="shared" ca="1" si="128"/>
        <v>17260</v>
      </c>
      <c r="S771" s="2962">
        <f t="shared" ca="1" si="129"/>
        <v>105</v>
      </c>
    </row>
    <row r="772" spans="1:19">
      <c r="A772" s="2992" t="str">
        <f>Sheet1!F753</f>
        <v>4-1112</v>
      </c>
      <c r="B772" s="2992">
        <f>Sheet1!G753</f>
        <v>54.3</v>
      </c>
      <c r="C772" s="2996">
        <f t="shared" si="120"/>
        <v>1</v>
      </c>
      <c r="D772" s="2994"/>
      <c r="E772" s="2996">
        <f t="shared" si="121"/>
        <v>1</v>
      </c>
      <c r="F772" s="2994"/>
      <c r="G772" s="2996">
        <f t="shared" si="122"/>
        <v>1</v>
      </c>
      <c r="H772" s="2994"/>
      <c r="I772" s="2996">
        <f t="shared" si="123"/>
        <v>1</v>
      </c>
      <c r="J772" s="2994"/>
      <c r="K772" s="2996">
        <f t="shared" si="124"/>
        <v>1</v>
      </c>
      <c r="L772" s="2994"/>
      <c r="M772" s="2996">
        <f t="shared" si="125"/>
        <v>1</v>
      </c>
      <c r="N772" s="2994"/>
      <c r="O772" s="2996">
        <f t="shared" si="126"/>
        <v>1</v>
      </c>
      <c r="P772" s="2994"/>
      <c r="Q772" s="2996">
        <f t="shared" si="127"/>
        <v>1</v>
      </c>
      <c r="R772" s="2997">
        <f t="shared" ca="1" si="128"/>
        <v>17260</v>
      </c>
      <c r="S772" s="2962">
        <f t="shared" ca="1" si="129"/>
        <v>94</v>
      </c>
    </row>
    <row r="773" spans="1:19">
      <c r="A773" s="2992" t="str">
        <f>Sheet1!F754</f>
        <v>4-1113</v>
      </c>
      <c r="B773" s="2992">
        <f>Sheet1!G754</f>
        <v>60.68</v>
      </c>
      <c r="C773" s="2996">
        <f t="shared" si="120"/>
        <v>1</v>
      </c>
      <c r="D773" s="2994"/>
      <c r="E773" s="2996">
        <f t="shared" si="121"/>
        <v>1</v>
      </c>
      <c r="F773" s="2994"/>
      <c r="G773" s="2996">
        <f t="shared" si="122"/>
        <v>1</v>
      </c>
      <c r="H773" s="2994"/>
      <c r="I773" s="2996">
        <f t="shared" si="123"/>
        <v>1</v>
      </c>
      <c r="J773" s="2994"/>
      <c r="K773" s="2996">
        <f t="shared" si="124"/>
        <v>1</v>
      </c>
      <c r="L773" s="2994"/>
      <c r="M773" s="2996">
        <f t="shared" si="125"/>
        <v>1</v>
      </c>
      <c r="N773" s="2994"/>
      <c r="O773" s="2996">
        <f t="shared" si="126"/>
        <v>1</v>
      </c>
      <c r="P773" s="2994"/>
      <c r="Q773" s="2996">
        <f t="shared" si="127"/>
        <v>1</v>
      </c>
      <c r="R773" s="2997">
        <f t="shared" ca="1" si="128"/>
        <v>17260</v>
      </c>
      <c r="S773" s="2962">
        <f t="shared" ca="1" si="129"/>
        <v>105</v>
      </c>
    </row>
    <row r="774" spans="1:19">
      <c r="A774" s="2992" t="str">
        <f>Sheet1!F755</f>
        <v>4-1114</v>
      </c>
      <c r="B774" s="2992">
        <f>Sheet1!G755</f>
        <v>80.459999999999994</v>
      </c>
      <c r="C774" s="2996">
        <f t="shared" si="120"/>
        <v>1</v>
      </c>
      <c r="D774" s="2994"/>
      <c r="E774" s="2996">
        <f t="shared" si="121"/>
        <v>1</v>
      </c>
      <c r="F774" s="2994"/>
      <c r="G774" s="2996">
        <f t="shared" si="122"/>
        <v>1</v>
      </c>
      <c r="H774" s="2994"/>
      <c r="I774" s="2996">
        <f t="shared" si="123"/>
        <v>1</v>
      </c>
      <c r="J774" s="2994"/>
      <c r="K774" s="2996">
        <f t="shared" si="124"/>
        <v>1</v>
      </c>
      <c r="L774" s="2994"/>
      <c r="M774" s="2996">
        <f t="shared" si="125"/>
        <v>1</v>
      </c>
      <c r="N774" s="2994"/>
      <c r="O774" s="2996">
        <f t="shared" si="126"/>
        <v>1</v>
      </c>
      <c r="P774" s="2994"/>
      <c r="Q774" s="2996">
        <f t="shared" si="127"/>
        <v>1</v>
      </c>
      <c r="R774" s="2997">
        <f t="shared" ca="1" si="128"/>
        <v>17260</v>
      </c>
      <c r="S774" s="2962">
        <f t="shared" ca="1" si="129"/>
        <v>139</v>
      </c>
    </row>
    <row r="775" spans="1:19">
      <c r="A775" s="2992" t="str">
        <f>Sheet1!F756</f>
        <v>4-1115</v>
      </c>
      <c r="B775" s="2992">
        <f>Sheet1!G756</f>
        <v>80.45</v>
      </c>
      <c r="C775" s="2996">
        <f t="shared" si="120"/>
        <v>1</v>
      </c>
      <c r="D775" s="2994"/>
      <c r="E775" s="2996">
        <f t="shared" si="121"/>
        <v>1</v>
      </c>
      <c r="F775" s="2994"/>
      <c r="G775" s="2996">
        <f t="shared" si="122"/>
        <v>1</v>
      </c>
      <c r="H775" s="2994"/>
      <c r="I775" s="2996">
        <f t="shared" si="123"/>
        <v>1</v>
      </c>
      <c r="J775" s="2994"/>
      <c r="K775" s="2996">
        <f t="shared" si="124"/>
        <v>1</v>
      </c>
      <c r="L775" s="2994"/>
      <c r="M775" s="2996">
        <f t="shared" si="125"/>
        <v>1</v>
      </c>
      <c r="N775" s="2994"/>
      <c r="O775" s="2996">
        <f t="shared" si="126"/>
        <v>1</v>
      </c>
      <c r="P775" s="2994"/>
      <c r="Q775" s="2996">
        <f t="shared" si="127"/>
        <v>1</v>
      </c>
      <c r="R775" s="2997">
        <f t="shared" ca="1" si="128"/>
        <v>17260</v>
      </c>
      <c r="S775" s="2962">
        <f t="shared" ca="1" si="129"/>
        <v>139</v>
      </c>
    </row>
    <row r="776" spans="1:19">
      <c r="A776" s="2992" t="str">
        <f>Sheet1!F757</f>
        <v>4-1116</v>
      </c>
      <c r="B776" s="2992">
        <f>Sheet1!G757</f>
        <v>60.69</v>
      </c>
      <c r="C776" s="2996">
        <f t="shared" si="120"/>
        <v>1</v>
      </c>
      <c r="D776" s="2994"/>
      <c r="E776" s="2996">
        <f t="shared" si="121"/>
        <v>1</v>
      </c>
      <c r="F776" s="2994"/>
      <c r="G776" s="2996">
        <f t="shared" si="122"/>
        <v>1</v>
      </c>
      <c r="H776" s="2994"/>
      <c r="I776" s="2996">
        <f t="shared" si="123"/>
        <v>1</v>
      </c>
      <c r="J776" s="2994"/>
      <c r="K776" s="2996">
        <f t="shared" si="124"/>
        <v>1</v>
      </c>
      <c r="L776" s="2994"/>
      <c r="M776" s="2996">
        <f t="shared" si="125"/>
        <v>1</v>
      </c>
      <c r="N776" s="2994"/>
      <c r="O776" s="2996">
        <f t="shared" si="126"/>
        <v>1</v>
      </c>
      <c r="P776" s="2994"/>
      <c r="Q776" s="2996">
        <f t="shared" si="127"/>
        <v>1</v>
      </c>
      <c r="R776" s="2997">
        <f t="shared" ca="1" si="128"/>
        <v>17260</v>
      </c>
      <c r="S776" s="2962">
        <f t="shared" ca="1" si="129"/>
        <v>105</v>
      </c>
    </row>
    <row r="777" spans="1:19">
      <c r="A777" s="2992" t="str">
        <f>Sheet1!F758</f>
        <v>4-1117</v>
      </c>
      <c r="B777" s="2992">
        <f>Sheet1!G758</f>
        <v>60.69</v>
      </c>
      <c r="C777" s="2996">
        <f t="shared" si="120"/>
        <v>1</v>
      </c>
      <c r="D777" s="2994"/>
      <c r="E777" s="2996">
        <f t="shared" si="121"/>
        <v>1</v>
      </c>
      <c r="F777" s="2994"/>
      <c r="G777" s="2996">
        <f t="shared" si="122"/>
        <v>1</v>
      </c>
      <c r="H777" s="2994"/>
      <c r="I777" s="2996">
        <f t="shared" si="123"/>
        <v>1</v>
      </c>
      <c r="J777" s="2994"/>
      <c r="K777" s="2996">
        <f t="shared" si="124"/>
        <v>1</v>
      </c>
      <c r="L777" s="2994"/>
      <c r="M777" s="2996">
        <f t="shared" si="125"/>
        <v>1</v>
      </c>
      <c r="N777" s="2994"/>
      <c r="O777" s="2996">
        <f t="shared" si="126"/>
        <v>1</v>
      </c>
      <c r="P777" s="2994"/>
      <c r="Q777" s="2996">
        <f t="shared" si="127"/>
        <v>1</v>
      </c>
      <c r="R777" s="2997">
        <f t="shared" ca="1" si="128"/>
        <v>17260</v>
      </c>
      <c r="S777" s="2962">
        <f t="shared" ca="1" si="129"/>
        <v>105</v>
      </c>
    </row>
    <row r="778" spans="1:19">
      <c r="A778" s="2992" t="str">
        <f>Sheet1!F759</f>
        <v>4-1118</v>
      </c>
      <c r="B778" s="2992">
        <f>Sheet1!G759</f>
        <v>60.68</v>
      </c>
      <c r="C778" s="2996">
        <f t="shared" si="120"/>
        <v>1</v>
      </c>
      <c r="D778" s="2994"/>
      <c r="E778" s="2996">
        <f t="shared" si="121"/>
        <v>1</v>
      </c>
      <c r="F778" s="2994"/>
      <c r="G778" s="2996">
        <f t="shared" si="122"/>
        <v>1</v>
      </c>
      <c r="H778" s="2994"/>
      <c r="I778" s="2996">
        <f t="shared" si="123"/>
        <v>1</v>
      </c>
      <c r="J778" s="2994"/>
      <c r="K778" s="2996">
        <f t="shared" si="124"/>
        <v>1</v>
      </c>
      <c r="L778" s="2994"/>
      <c r="M778" s="2996">
        <f t="shared" si="125"/>
        <v>1</v>
      </c>
      <c r="N778" s="2994"/>
      <c r="O778" s="2996">
        <f t="shared" si="126"/>
        <v>1</v>
      </c>
      <c r="P778" s="2994"/>
      <c r="Q778" s="2996">
        <f t="shared" si="127"/>
        <v>1</v>
      </c>
      <c r="R778" s="2997">
        <f t="shared" ca="1" si="128"/>
        <v>17260</v>
      </c>
      <c r="S778" s="2962">
        <f t="shared" ca="1" si="129"/>
        <v>105</v>
      </c>
    </row>
    <row r="779" spans="1:19">
      <c r="A779" s="2992" t="str">
        <f>Sheet1!F760</f>
        <v>4-1119</v>
      </c>
      <c r="B779" s="2992">
        <f>Sheet1!G760</f>
        <v>60.69</v>
      </c>
      <c r="C779" s="2996">
        <f t="shared" si="120"/>
        <v>1</v>
      </c>
      <c r="D779" s="2994"/>
      <c r="E779" s="2996">
        <f t="shared" si="121"/>
        <v>1</v>
      </c>
      <c r="F779" s="2994"/>
      <c r="G779" s="2996">
        <f t="shared" si="122"/>
        <v>1</v>
      </c>
      <c r="H779" s="2994"/>
      <c r="I779" s="2996">
        <f t="shared" si="123"/>
        <v>1</v>
      </c>
      <c r="J779" s="2994"/>
      <c r="K779" s="2996">
        <f t="shared" si="124"/>
        <v>1</v>
      </c>
      <c r="L779" s="2994"/>
      <c r="M779" s="2996">
        <f t="shared" si="125"/>
        <v>1</v>
      </c>
      <c r="N779" s="2994"/>
      <c r="O779" s="2996">
        <f t="shared" si="126"/>
        <v>1</v>
      </c>
      <c r="P779" s="2994"/>
      <c r="Q779" s="2996">
        <f t="shared" si="127"/>
        <v>1</v>
      </c>
      <c r="R779" s="2997">
        <f t="shared" ca="1" si="128"/>
        <v>17260</v>
      </c>
      <c r="S779" s="2962">
        <f t="shared" ca="1" si="129"/>
        <v>105</v>
      </c>
    </row>
    <row r="780" spans="1:19">
      <c r="A780" s="2992" t="str">
        <f>Sheet1!F761</f>
        <v>4-1120</v>
      </c>
      <c r="B780" s="2992">
        <f>Sheet1!G761</f>
        <v>60.69</v>
      </c>
      <c r="C780" s="2996">
        <f t="shared" si="120"/>
        <v>1</v>
      </c>
      <c r="D780" s="2994"/>
      <c r="E780" s="2996">
        <f t="shared" si="121"/>
        <v>1</v>
      </c>
      <c r="F780" s="2994"/>
      <c r="G780" s="2996">
        <f t="shared" si="122"/>
        <v>1</v>
      </c>
      <c r="H780" s="2994"/>
      <c r="I780" s="2996">
        <f t="shared" si="123"/>
        <v>1</v>
      </c>
      <c r="J780" s="2994"/>
      <c r="K780" s="2996">
        <f t="shared" si="124"/>
        <v>1</v>
      </c>
      <c r="L780" s="2994"/>
      <c r="M780" s="2996">
        <f t="shared" si="125"/>
        <v>1</v>
      </c>
      <c r="N780" s="2994"/>
      <c r="O780" s="2996">
        <f t="shared" si="126"/>
        <v>1</v>
      </c>
      <c r="P780" s="2994"/>
      <c r="Q780" s="2996">
        <f t="shared" si="127"/>
        <v>1</v>
      </c>
      <c r="R780" s="2997">
        <f t="shared" ca="1" si="128"/>
        <v>17260</v>
      </c>
      <c r="S780" s="2962">
        <f t="shared" ca="1" si="129"/>
        <v>105</v>
      </c>
    </row>
    <row r="781" spans="1:19">
      <c r="A781" s="2992" t="str">
        <f>Sheet1!F762</f>
        <v>4-1121</v>
      </c>
      <c r="B781" s="2992">
        <f>Sheet1!G762</f>
        <v>60.69</v>
      </c>
      <c r="C781" s="2996">
        <f t="shared" ref="C781:C844" si="130">IF(B781="",1,(LOOKUP(B781,$3:$3,$4:$4)-LOOKUP($B$24,$3:$3,$4:$4)+100)/100)</f>
        <v>1</v>
      </c>
      <c r="D781" s="2994"/>
      <c r="E781" s="2996">
        <f t="shared" ref="E781:E844" si="131">(SUMIF($5:$5,D781,$6:$6)-SUMIF($5:$5,$D$24,$6:$6)+100)/100</f>
        <v>1</v>
      </c>
      <c r="F781" s="2994"/>
      <c r="G781" s="2996">
        <f t="shared" ref="G781:G844" si="132">(SUMIF($7:$7,F781,$8:$8)-SUMIF($7:$7,$F$24,$8:$8)+100)/100</f>
        <v>1</v>
      </c>
      <c r="H781" s="2994"/>
      <c r="I781" s="2996">
        <f t="shared" ref="I781:I844" si="133">(SUMIF($9:$9,H781,$10:$10)-SUMIF($9:$9,$H$24,$10:$10)+100)/100</f>
        <v>1</v>
      </c>
      <c r="J781" s="2994"/>
      <c r="K781" s="2996">
        <f t="shared" ref="K781:K844" si="134">(SUMIF($11:$11,J781,$12:$12)-SUMIF($11:$11,$J$24,$12:$12)+100)/100</f>
        <v>1</v>
      </c>
      <c r="L781" s="2994"/>
      <c r="M781" s="2996">
        <f t="shared" ref="M781:M844" si="135">(SUMIF($13:$13,L781,$14:$14)-SUMIF($13:$13,$L$24,$14:$14)+100)/100</f>
        <v>1</v>
      </c>
      <c r="N781" s="2994"/>
      <c r="O781" s="2996">
        <f t="shared" ref="O781:O844" si="136">(SUMIF($15:$15,N781,$16:$16)-SUMIF($15:$15,$N$24,$16:$16)+100)/100</f>
        <v>1</v>
      </c>
      <c r="P781" s="2994"/>
      <c r="Q781" s="2996">
        <f t="shared" ref="Q781:Q844" si="137">(SUMIF($17:$17,P781,$18:$18)-SUMIF($17:$17,$P$24,$18:$18)+100)/100</f>
        <v>1</v>
      </c>
      <c r="R781" s="2997">
        <f t="shared" ref="R781:R844" ca="1" si="138">IF(B781="",0,ROUND($R$24*C781*E781*G781*I781*K781*M781*O781*Q781,0))</f>
        <v>17260</v>
      </c>
      <c r="S781" s="2962">
        <f t="shared" ref="S781:S844" ca="1" si="139">ROUND(R781*B781/10000,0)</f>
        <v>105</v>
      </c>
    </row>
    <row r="782" spans="1:19">
      <c r="A782" s="2992" t="str">
        <f>Sheet1!F763</f>
        <v>4-1122</v>
      </c>
      <c r="B782" s="2992">
        <f>Sheet1!G763</f>
        <v>60.69</v>
      </c>
      <c r="C782" s="2996">
        <f t="shared" si="130"/>
        <v>1</v>
      </c>
      <c r="D782" s="2994"/>
      <c r="E782" s="2996">
        <f t="shared" si="131"/>
        <v>1</v>
      </c>
      <c r="F782" s="2994"/>
      <c r="G782" s="2996">
        <f t="shared" si="132"/>
        <v>1</v>
      </c>
      <c r="H782" s="2994"/>
      <c r="I782" s="2996">
        <f t="shared" si="133"/>
        <v>1</v>
      </c>
      <c r="J782" s="2994"/>
      <c r="K782" s="2996">
        <f t="shared" si="134"/>
        <v>1</v>
      </c>
      <c r="L782" s="2994"/>
      <c r="M782" s="2996">
        <f t="shared" si="135"/>
        <v>1</v>
      </c>
      <c r="N782" s="2994"/>
      <c r="O782" s="2996">
        <f t="shared" si="136"/>
        <v>1</v>
      </c>
      <c r="P782" s="2994"/>
      <c r="Q782" s="2996">
        <f t="shared" si="137"/>
        <v>1</v>
      </c>
      <c r="R782" s="2997">
        <f t="shared" ca="1" si="138"/>
        <v>17260</v>
      </c>
      <c r="S782" s="2962">
        <f t="shared" ca="1" si="139"/>
        <v>105</v>
      </c>
    </row>
    <row r="783" spans="1:19">
      <c r="A783" s="2992" t="str">
        <f>Sheet1!F764</f>
        <v>4-1123</v>
      </c>
      <c r="B783" s="2992">
        <f>Sheet1!G764</f>
        <v>60.69</v>
      </c>
      <c r="C783" s="2996">
        <f t="shared" si="130"/>
        <v>1</v>
      </c>
      <c r="D783" s="2994"/>
      <c r="E783" s="2996">
        <f t="shared" si="131"/>
        <v>1</v>
      </c>
      <c r="F783" s="2994"/>
      <c r="G783" s="2996">
        <f t="shared" si="132"/>
        <v>1</v>
      </c>
      <c r="H783" s="2994"/>
      <c r="I783" s="2996">
        <f t="shared" si="133"/>
        <v>1</v>
      </c>
      <c r="J783" s="2994"/>
      <c r="K783" s="2996">
        <f t="shared" si="134"/>
        <v>1</v>
      </c>
      <c r="L783" s="2994"/>
      <c r="M783" s="2996">
        <f t="shared" si="135"/>
        <v>1</v>
      </c>
      <c r="N783" s="2994"/>
      <c r="O783" s="2996">
        <f t="shared" si="136"/>
        <v>1</v>
      </c>
      <c r="P783" s="2994"/>
      <c r="Q783" s="2996">
        <f t="shared" si="137"/>
        <v>1</v>
      </c>
      <c r="R783" s="2997">
        <f t="shared" ca="1" si="138"/>
        <v>17260</v>
      </c>
      <c r="S783" s="2962">
        <f t="shared" ca="1" si="139"/>
        <v>105</v>
      </c>
    </row>
    <row r="784" spans="1:19">
      <c r="A784" s="2992" t="str">
        <f>Sheet1!F765</f>
        <v>4-1124</v>
      </c>
      <c r="B784" s="2992">
        <f>Sheet1!G765</f>
        <v>60.69</v>
      </c>
      <c r="C784" s="2996">
        <f t="shared" si="130"/>
        <v>1</v>
      </c>
      <c r="D784" s="2994"/>
      <c r="E784" s="2996">
        <f t="shared" si="131"/>
        <v>1</v>
      </c>
      <c r="F784" s="2994"/>
      <c r="G784" s="2996">
        <f t="shared" si="132"/>
        <v>1</v>
      </c>
      <c r="H784" s="2994"/>
      <c r="I784" s="2996">
        <f t="shared" si="133"/>
        <v>1</v>
      </c>
      <c r="J784" s="2994"/>
      <c r="K784" s="2996">
        <f t="shared" si="134"/>
        <v>1</v>
      </c>
      <c r="L784" s="2994"/>
      <c r="M784" s="2996">
        <f t="shared" si="135"/>
        <v>1</v>
      </c>
      <c r="N784" s="2994"/>
      <c r="O784" s="2996">
        <f t="shared" si="136"/>
        <v>1</v>
      </c>
      <c r="P784" s="2994"/>
      <c r="Q784" s="2996">
        <f t="shared" si="137"/>
        <v>1</v>
      </c>
      <c r="R784" s="2997">
        <f t="shared" ca="1" si="138"/>
        <v>17260</v>
      </c>
      <c r="S784" s="2962">
        <f t="shared" ca="1" si="139"/>
        <v>105</v>
      </c>
    </row>
    <row r="785" spans="1:19">
      <c r="A785" s="2992" t="str">
        <f>Sheet1!F766</f>
        <v>4-1125</v>
      </c>
      <c r="B785" s="2992">
        <f>Sheet1!G766</f>
        <v>60.69</v>
      </c>
      <c r="C785" s="2996">
        <f t="shared" si="130"/>
        <v>1</v>
      </c>
      <c r="D785" s="2994"/>
      <c r="E785" s="2996">
        <f t="shared" si="131"/>
        <v>1</v>
      </c>
      <c r="F785" s="2994"/>
      <c r="G785" s="2996">
        <f t="shared" si="132"/>
        <v>1</v>
      </c>
      <c r="H785" s="2994"/>
      <c r="I785" s="2996">
        <f t="shared" si="133"/>
        <v>1</v>
      </c>
      <c r="J785" s="2994"/>
      <c r="K785" s="2996">
        <f t="shared" si="134"/>
        <v>1</v>
      </c>
      <c r="L785" s="2994"/>
      <c r="M785" s="2996">
        <f t="shared" si="135"/>
        <v>1</v>
      </c>
      <c r="N785" s="2994"/>
      <c r="O785" s="2996">
        <f t="shared" si="136"/>
        <v>1</v>
      </c>
      <c r="P785" s="2994"/>
      <c r="Q785" s="2996">
        <f t="shared" si="137"/>
        <v>1</v>
      </c>
      <c r="R785" s="2997">
        <f t="shared" ca="1" si="138"/>
        <v>17260</v>
      </c>
      <c r="S785" s="2962">
        <f t="shared" ca="1" si="139"/>
        <v>105</v>
      </c>
    </row>
    <row r="786" spans="1:19">
      <c r="A786" s="2992" t="str">
        <f>Sheet1!F767</f>
        <v>4-1126</v>
      </c>
      <c r="B786" s="2992">
        <f>Sheet1!G767</f>
        <v>60.69</v>
      </c>
      <c r="C786" s="2996">
        <f t="shared" si="130"/>
        <v>1</v>
      </c>
      <c r="D786" s="2994"/>
      <c r="E786" s="2996">
        <f t="shared" si="131"/>
        <v>1</v>
      </c>
      <c r="F786" s="2994"/>
      <c r="G786" s="2996">
        <f t="shared" si="132"/>
        <v>1</v>
      </c>
      <c r="H786" s="2994"/>
      <c r="I786" s="2996">
        <f t="shared" si="133"/>
        <v>1</v>
      </c>
      <c r="J786" s="2994"/>
      <c r="K786" s="2996">
        <f t="shared" si="134"/>
        <v>1</v>
      </c>
      <c r="L786" s="2994"/>
      <c r="M786" s="2996">
        <f t="shared" si="135"/>
        <v>1</v>
      </c>
      <c r="N786" s="2994"/>
      <c r="O786" s="2996">
        <f t="shared" si="136"/>
        <v>1</v>
      </c>
      <c r="P786" s="2994"/>
      <c r="Q786" s="2996">
        <f t="shared" si="137"/>
        <v>1</v>
      </c>
      <c r="R786" s="2997">
        <f t="shared" ca="1" si="138"/>
        <v>17260</v>
      </c>
      <c r="S786" s="2962">
        <f t="shared" ca="1" si="139"/>
        <v>105</v>
      </c>
    </row>
    <row r="787" spans="1:19">
      <c r="A787" s="2992" t="str">
        <f>Sheet1!F768</f>
        <v>4-1127</v>
      </c>
      <c r="B787" s="2992">
        <f>Sheet1!G768</f>
        <v>104.53</v>
      </c>
      <c r="C787" s="2996">
        <f t="shared" si="130"/>
        <v>0.99</v>
      </c>
      <c r="D787" s="2994"/>
      <c r="E787" s="2996">
        <f t="shared" si="131"/>
        <v>1</v>
      </c>
      <c r="F787" s="2994"/>
      <c r="G787" s="2996">
        <f t="shared" si="132"/>
        <v>1</v>
      </c>
      <c r="H787" s="2994"/>
      <c r="I787" s="2996">
        <f t="shared" si="133"/>
        <v>1</v>
      </c>
      <c r="J787" s="2994"/>
      <c r="K787" s="2996">
        <f t="shared" si="134"/>
        <v>1</v>
      </c>
      <c r="L787" s="2994"/>
      <c r="M787" s="2996">
        <f t="shared" si="135"/>
        <v>1</v>
      </c>
      <c r="N787" s="2994"/>
      <c r="O787" s="2996">
        <f t="shared" si="136"/>
        <v>1</v>
      </c>
      <c r="P787" s="2994"/>
      <c r="Q787" s="2996">
        <f t="shared" si="137"/>
        <v>1</v>
      </c>
      <c r="R787" s="2997">
        <f t="shared" ca="1" si="138"/>
        <v>17087</v>
      </c>
      <c r="S787" s="2962">
        <f t="shared" ca="1" si="139"/>
        <v>179</v>
      </c>
    </row>
    <row r="788" spans="1:19">
      <c r="A788" s="2992" t="str">
        <f>Sheet1!F769</f>
        <v>4-1128</v>
      </c>
      <c r="B788" s="2992">
        <f>Sheet1!G769</f>
        <v>55.78</v>
      </c>
      <c r="C788" s="2996">
        <f t="shared" si="130"/>
        <v>1</v>
      </c>
      <c r="D788" s="2994"/>
      <c r="E788" s="2996">
        <f t="shared" si="131"/>
        <v>1</v>
      </c>
      <c r="F788" s="2994"/>
      <c r="G788" s="2996">
        <f t="shared" si="132"/>
        <v>1</v>
      </c>
      <c r="H788" s="2994"/>
      <c r="I788" s="2996">
        <f t="shared" si="133"/>
        <v>1</v>
      </c>
      <c r="J788" s="2994"/>
      <c r="K788" s="2996">
        <f t="shared" si="134"/>
        <v>1</v>
      </c>
      <c r="L788" s="2994"/>
      <c r="M788" s="2996">
        <f t="shared" si="135"/>
        <v>1</v>
      </c>
      <c r="N788" s="2994"/>
      <c r="O788" s="2996">
        <f t="shared" si="136"/>
        <v>1</v>
      </c>
      <c r="P788" s="2994"/>
      <c r="Q788" s="2996">
        <f t="shared" si="137"/>
        <v>1</v>
      </c>
      <c r="R788" s="2997">
        <f t="shared" ca="1" si="138"/>
        <v>17260</v>
      </c>
      <c r="S788" s="2962">
        <f t="shared" ca="1" si="139"/>
        <v>96</v>
      </c>
    </row>
    <row r="789" spans="1:19">
      <c r="A789" s="2992" t="str">
        <f>Sheet1!F770</f>
        <v>4-1129</v>
      </c>
      <c r="B789" s="2992">
        <f>Sheet1!G770</f>
        <v>48.86</v>
      </c>
      <c r="C789" s="2996">
        <f t="shared" si="130"/>
        <v>1</v>
      </c>
      <c r="D789" s="2994"/>
      <c r="E789" s="2996">
        <f t="shared" si="131"/>
        <v>1</v>
      </c>
      <c r="F789" s="2994"/>
      <c r="G789" s="2996">
        <f t="shared" si="132"/>
        <v>1</v>
      </c>
      <c r="H789" s="2994"/>
      <c r="I789" s="2996">
        <f t="shared" si="133"/>
        <v>1</v>
      </c>
      <c r="J789" s="2994"/>
      <c r="K789" s="2996">
        <f t="shared" si="134"/>
        <v>1</v>
      </c>
      <c r="L789" s="2994"/>
      <c r="M789" s="2996">
        <f t="shared" si="135"/>
        <v>1</v>
      </c>
      <c r="N789" s="2994"/>
      <c r="O789" s="2996">
        <f t="shared" si="136"/>
        <v>1</v>
      </c>
      <c r="P789" s="2994"/>
      <c r="Q789" s="2996">
        <f t="shared" si="137"/>
        <v>1</v>
      </c>
      <c r="R789" s="2997">
        <f t="shared" ca="1" si="138"/>
        <v>17260</v>
      </c>
      <c r="S789" s="2962">
        <f t="shared" ca="1" si="139"/>
        <v>84</v>
      </c>
    </row>
    <row r="790" spans="1:19">
      <c r="A790" s="2992" t="str">
        <f>Sheet1!F771</f>
        <v>4-1130</v>
      </c>
      <c r="B790" s="2992">
        <f>Sheet1!G771</f>
        <v>48.86</v>
      </c>
      <c r="C790" s="2996">
        <f t="shared" si="130"/>
        <v>1</v>
      </c>
      <c r="D790" s="2994"/>
      <c r="E790" s="2996">
        <f t="shared" si="131"/>
        <v>1</v>
      </c>
      <c r="F790" s="2994"/>
      <c r="G790" s="2996">
        <f t="shared" si="132"/>
        <v>1</v>
      </c>
      <c r="H790" s="2994"/>
      <c r="I790" s="2996">
        <f t="shared" si="133"/>
        <v>1</v>
      </c>
      <c r="J790" s="2994"/>
      <c r="K790" s="2996">
        <f t="shared" si="134"/>
        <v>1</v>
      </c>
      <c r="L790" s="2994"/>
      <c r="M790" s="2996">
        <f t="shared" si="135"/>
        <v>1</v>
      </c>
      <c r="N790" s="2994"/>
      <c r="O790" s="2996">
        <f t="shared" si="136"/>
        <v>1</v>
      </c>
      <c r="P790" s="2994"/>
      <c r="Q790" s="2996">
        <f t="shared" si="137"/>
        <v>1</v>
      </c>
      <c r="R790" s="2997">
        <f t="shared" ca="1" si="138"/>
        <v>17260</v>
      </c>
      <c r="S790" s="2962">
        <f t="shared" ca="1" si="139"/>
        <v>84</v>
      </c>
    </row>
    <row r="791" spans="1:19">
      <c r="A791" s="2992" t="str">
        <f>Sheet1!F772</f>
        <v>4-1131</v>
      </c>
      <c r="B791" s="2992">
        <f>Sheet1!G772</f>
        <v>48.86</v>
      </c>
      <c r="C791" s="2996">
        <f t="shared" si="130"/>
        <v>1</v>
      </c>
      <c r="D791" s="2994"/>
      <c r="E791" s="2996">
        <f t="shared" si="131"/>
        <v>1</v>
      </c>
      <c r="F791" s="2994"/>
      <c r="G791" s="2996">
        <f t="shared" si="132"/>
        <v>1</v>
      </c>
      <c r="H791" s="2994"/>
      <c r="I791" s="2996">
        <f t="shared" si="133"/>
        <v>1</v>
      </c>
      <c r="J791" s="2994"/>
      <c r="K791" s="2996">
        <f t="shared" si="134"/>
        <v>1</v>
      </c>
      <c r="L791" s="2994"/>
      <c r="M791" s="2996">
        <f t="shared" si="135"/>
        <v>1</v>
      </c>
      <c r="N791" s="2994"/>
      <c r="O791" s="2996">
        <f t="shared" si="136"/>
        <v>1</v>
      </c>
      <c r="P791" s="2994"/>
      <c r="Q791" s="2996">
        <f t="shared" si="137"/>
        <v>1</v>
      </c>
      <c r="R791" s="2997">
        <f t="shared" ca="1" si="138"/>
        <v>17260</v>
      </c>
      <c r="S791" s="2962">
        <f t="shared" ca="1" si="139"/>
        <v>84</v>
      </c>
    </row>
    <row r="792" spans="1:19">
      <c r="A792" s="2992" t="str">
        <f>Sheet1!F773</f>
        <v>4-1132</v>
      </c>
      <c r="B792" s="2992">
        <f>Sheet1!G773</f>
        <v>54.5</v>
      </c>
      <c r="C792" s="2996">
        <f t="shared" si="130"/>
        <v>1</v>
      </c>
      <c r="D792" s="2994"/>
      <c r="E792" s="2996">
        <f t="shared" si="131"/>
        <v>1</v>
      </c>
      <c r="F792" s="2994"/>
      <c r="G792" s="2996">
        <f t="shared" si="132"/>
        <v>1</v>
      </c>
      <c r="H792" s="2994"/>
      <c r="I792" s="2996">
        <f t="shared" si="133"/>
        <v>1</v>
      </c>
      <c r="J792" s="2994"/>
      <c r="K792" s="2996">
        <f t="shared" si="134"/>
        <v>1</v>
      </c>
      <c r="L792" s="2994"/>
      <c r="M792" s="2996">
        <f t="shared" si="135"/>
        <v>1</v>
      </c>
      <c r="N792" s="2994"/>
      <c r="O792" s="2996">
        <f t="shared" si="136"/>
        <v>1</v>
      </c>
      <c r="P792" s="2994"/>
      <c r="Q792" s="2996">
        <f t="shared" si="137"/>
        <v>1</v>
      </c>
      <c r="R792" s="2997">
        <f t="shared" ca="1" si="138"/>
        <v>17260</v>
      </c>
      <c r="S792" s="2962">
        <f t="shared" ca="1" si="139"/>
        <v>94</v>
      </c>
    </row>
    <row r="793" spans="1:19">
      <c r="A793" s="2992" t="str">
        <f>Sheet1!F774</f>
        <v>4-1133</v>
      </c>
      <c r="B793" s="2992">
        <f>Sheet1!G774</f>
        <v>64.58</v>
      </c>
      <c r="C793" s="2996">
        <f t="shared" si="130"/>
        <v>1</v>
      </c>
      <c r="D793" s="2994"/>
      <c r="E793" s="2996">
        <f t="shared" si="131"/>
        <v>1</v>
      </c>
      <c r="F793" s="2994"/>
      <c r="G793" s="2996">
        <f t="shared" si="132"/>
        <v>1</v>
      </c>
      <c r="H793" s="2994"/>
      <c r="I793" s="2996">
        <f t="shared" si="133"/>
        <v>1</v>
      </c>
      <c r="J793" s="2994"/>
      <c r="K793" s="2996">
        <f t="shared" si="134"/>
        <v>1</v>
      </c>
      <c r="L793" s="2994"/>
      <c r="M793" s="2996">
        <f t="shared" si="135"/>
        <v>1</v>
      </c>
      <c r="N793" s="2994"/>
      <c r="O793" s="2996">
        <f t="shared" si="136"/>
        <v>1</v>
      </c>
      <c r="P793" s="2994"/>
      <c r="Q793" s="2996">
        <f t="shared" si="137"/>
        <v>1</v>
      </c>
      <c r="R793" s="2997">
        <f t="shared" ca="1" si="138"/>
        <v>17260</v>
      </c>
      <c r="S793" s="2962">
        <f t="shared" ca="1" si="139"/>
        <v>111</v>
      </c>
    </row>
    <row r="794" spans="1:19">
      <c r="A794" s="2992" t="str">
        <f>Sheet1!F775</f>
        <v>4-1134</v>
      </c>
      <c r="B794" s="2992">
        <f>Sheet1!G775</f>
        <v>45.32</v>
      </c>
      <c r="C794" s="2996">
        <f t="shared" si="130"/>
        <v>1</v>
      </c>
      <c r="D794" s="2994"/>
      <c r="E794" s="2996">
        <f t="shared" si="131"/>
        <v>1</v>
      </c>
      <c r="F794" s="2994"/>
      <c r="G794" s="2996">
        <f t="shared" si="132"/>
        <v>1</v>
      </c>
      <c r="H794" s="2994"/>
      <c r="I794" s="2996">
        <f t="shared" si="133"/>
        <v>1</v>
      </c>
      <c r="J794" s="2994"/>
      <c r="K794" s="2996">
        <f t="shared" si="134"/>
        <v>1</v>
      </c>
      <c r="L794" s="2994"/>
      <c r="M794" s="2996">
        <f t="shared" si="135"/>
        <v>1</v>
      </c>
      <c r="N794" s="2994"/>
      <c r="O794" s="2996">
        <f t="shared" si="136"/>
        <v>1</v>
      </c>
      <c r="P794" s="2994"/>
      <c r="Q794" s="2996">
        <f t="shared" si="137"/>
        <v>1</v>
      </c>
      <c r="R794" s="2997">
        <f t="shared" ca="1" si="138"/>
        <v>17260</v>
      </c>
      <c r="S794" s="2962">
        <f t="shared" ca="1" si="139"/>
        <v>78</v>
      </c>
    </row>
    <row r="795" spans="1:19">
      <c r="A795" s="2992" t="str">
        <f>Sheet1!F776</f>
        <v>4-1135</v>
      </c>
      <c r="B795" s="2992">
        <f>Sheet1!G776</f>
        <v>45.2</v>
      </c>
      <c r="C795" s="2996">
        <f t="shared" si="130"/>
        <v>1</v>
      </c>
      <c r="D795" s="2994"/>
      <c r="E795" s="2996">
        <f t="shared" si="131"/>
        <v>1</v>
      </c>
      <c r="F795" s="2994"/>
      <c r="G795" s="2996">
        <f t="shared" si="132"/>
        <v>1</v>
      </c>
      <c r="H795" s="2994"/>
      <c r="I795" s="2996">
        <f t="shared" si="133"/>
        <v>1</v>
      </c>
      <c r="J795" s="2994"/>
      <c r="K795" s="2996">
        <f t="shared" si="134"/>
        <v>1</v>
      </c>
      <c r="L795" s="2994"/>
      <c r="M795" s="2996">
        <f t="shared" si="135"/>
        <v>1</v>
      </c>
      <c r="N795" s="2994"/>
      <c r="O795" s="2996">
        <f t="shared" si="136"/>
        <v>1</v>
      </c>
      <c r="P795" s="2994"/>
      <c r="Q795" s="2996">
        <f t="shared" si="137"/>
        <v>1</v>
      </c>
      <c r="R795" s="2997">
        <f t="shared" ca="1" si="138"/>
        <v>17260</v>
      </c>
      <c r="S795" s="2962">
        <f t="shared" ca="1" si="139"/>
        <v>78</v>
      </c>
    </row>
    <row r="796" spans="1:19">
      <c r="A796" s="2992" t="str">
        <f>Sheet1!F777</f>
        <v>4-1136</v>
      </c>
      <c r="B796" s="2992">
        <f>Sheet1!G777</f>
        <v>45.32</v>
      </c>
      <c r="C796" s="2996">
        <f t="shared" si="130"/>
        <v>1</v>
      </c>
      <c r="D796" s="2994"/>
      <c r="E796" s="2996">
        <f t="shared" si="131"/>
        <v>1</v>
      </c>
      <c r="F796" s="2994"/>
      <c r="G796" s="2996">
        <f t="shared" si="132"/>
        <v>1</v>
      </c>
      <c r="H796" s="2994"/>
      <c r="I796" s="2996">
        <f t="shared" si="133"/>
        <v>1</v>
      </c>
      <c r="J796" s="2994"/>
      <c r="K796" s="2996">
        <f t="shared" si="134"/>
        <v>1</v>
      </c>
      <c r="L796" s="2994"/>
      <c r="M796" s="2996">
        <f t="shared" si="135"/>
        <v>1</v>
      </c>
      <c r="N796" s="2994"/>
      <c r="O796" s="2996">
        <f t="shared" si="136"/>
        <v>1</v>
      </c>
      <c r="P796" s="2994"/>
      <c r="Q796" s="2996">
        <f t="shared" si="137"/>
        <v>1</v>
      </c>
      <c r="R796" s="2997">
        <f t="shared" ca="1" si="138"/>
        <v>17260</v>
      </c>
      <c r="S796" s="2962">
        <f t="shared" ca="1" si="139"/>
        <v>78</v>
      </c>
    </row>
    <row r="797" spans="1:19">
      <c r="A797" s="2992" t="str">
        <f>Sheet1!F778</f>
        <v>4-1137</v>
      </c>
      <c r="B797" s="2992">
        <f>Sheet1!G778</f>
        <v>45.32</v>
      </c>
      <c r="C797" s="2996">
        <f t="shared" si="130"/>
        <v>1</v>
      </c>
      <c r="D797" s="2994"/>
      <c r="E797" s="2996">
        <f t="shared" si="131"/>
        <v>1</v>
      </c>
      <c r="F797" s="2994"/>
      <c r="G797" s="2996">
        <f t="shared" si="132"/>
        <v>1</v>
      </c>
      <c r="H797" s="2994"/>
      <c r="I797" s="2996">
        <f t="shared" si="133"/>
        <v>1</v>
      </c>
      <c r="J797" s="2994"/>
      <c r="K797" s="2996">
        <f t="shared" si="134"/>
        <v>1</v>
      </c>
      <c r="L797" s="2994"/>
      <c r="M797" s="2996">
        <f t="shared" si="135"/>
        <v>1</v>
      </c>
      <c r="N797" s="2994"/>
      <c r="O797" s="2996">
        <f t="shared" si="136"/>
        <v>1</v>
      </c>
      <c r="P797" s="2994"/>
      <c r="Q797" s="2996">
        <f t="shared" si="137"/>
        <v>1</v>
      </c>
      <c r="R797" s="2997">
        <f t="shared" ca="1" si="138"/>
        <v>17260</v>
      </c>
      <c r="S797" s="2962">
        <f t="shared" ca="1" si="139"/>
        <v>78</v>
      </c>
    </row>
    <row r="798" spans="1:19">
      <c r="A798" s="2992" t="str">
        <f>Sheet1!F779</f>
        <v>4-1138</v>
      </c>
      <c r="B798" s="2992">
        <f>Sheet1!G779</f>
        <v>48.86</v>
      </c>
      <c r="C798" s="2996">
        <f t="shared" si="130"/>
        <v>1</v>
      </c>
      <c r="D798" s="2994"/>
      <c r="E798" s="2996">
        <f t="shared" si="131"/>
        <v>1</v>
      </c>
      <c r="F798" s="2994"/>
      <c r="G798" s="2996">
        <f t="shared" si="132"/>
        <v>1</v>
      </c>
      <c r="H798" s="2994"/>
      <c r="I798" s="2996">
        <f t="shared" si="133"/>
        <v>1</v>
      </c>
      <c r="J798" s="2994"/>
      <c r="K798" s="2996">
        <f t="shared" si="134"/>
        <v>1</v>
      </c>
      <c r="L798" s="2994"/>
      <c r="M798" s="2996">
        <f t="shared" si="135"/>
        <v>1</v>
      </c>
      <c r="N798" s="2994"/>
      <c r="O798" s="2996">
        <f t="shared" si="136"/>
        <v>1</v>
      </c>
      <c r="P798" s="2994"/>
      <c r="Q798" s="2996">
        <f t="shared" si="137"/>
        <v>1</v>
      </c>
      <c r="R798" s="2997">
        <f t="shared" ca="1" si="138"/>
        <v>17260</v>
      </c>
      <c r="S798" s="2962">
        <f t="shared" ca="1" si="139"/>
        <v>84</v>
      </c>
    </row>
    <row r="799" spans="1:19">
      <c r="A799" s="2992" t="str">
        <f>Sheet1!F780</f>
        <v>4-1139</v>
      </c>
      <c r="B799" s="2992">
        <f>Sheet1!G780</f>
        <v>44.51</v>
      </c>
      <c r="C799" s="2996">
        <f t="shared" si="130"/>
        <v>1</v>
      </c>
      <c r="D799" s="2994"/>
      <c r="E799" s="2996">
        <f t="shared" si="131"/>
        <v>1</v>
      </c>
      <c r="F799" s="2994"/>
      <c r="G799" s="2996">
        <f t="shared" si="132"/>
        <v>1</v>
      </c>
      <c r="H799" s="2994"/>
      <c r="I799" s="2996">
        <f t="shared" si="133"/>
        <v>1</v>
      </c>
      <c r="J799" s="2994"/>
      <c r="K799" s="2996">
        <f t="shared" si="134"/>
        <v>1</v>
      </c>
      <c r="L799" s="2994"/>
      <c r="M799" s="2996">
        <f t="shared" si="135"/>
        <v>1</v>
      </c>
      <c r="N799" s="2994"/>
      <c r="O799" s="2996">
        <f t="shared" si="136"/>
        <v>1</v>
      </c>
      <c r="P799" s="2994"/>
      <c r="Q799" s="2996">
        <f t="shared" si="137"/>
        <v>1</v>
      </c>
      <c r="R799" s="2997">
        <f t="shared" ca="1" si="138"/>
        <v>17260</v>
      </c>
      <c r="S799" s="2962">
        <f t="shared" ca="1" si="139"/>
        <v>77</v>
      </c>
    </row>
    <row r="800" spans="1:19">
      <c r="A800" s="2992" t="str">
        <f>Sheet1!F781</f>
        <v>4-1140</v>
      </c>
      <c r="B800" s="2992">
        <f>Sheet1!G781</f>
        <v>54.67</v>
      </c>
      <c r="C800" s="2996">
        <f t="shared" si="130"/>
        <v>1</v>
      </c>
      <c r="D800" s="2994"/>
      <c r="E800" s="2996">
        <f t="shared" si="131"/>
        <v>1</v>
      </c>
      <c r="F800" s="2994"/>
      <c r="G800" s="2996">
        <f t="shared" si="132"/>
        <v>1</v>
      </c>
      <c r="H800" s="2994"/>
      <c r="I800" s="2996">
        <f t="shared" si="133"/>
        <v>1</v>
      </c>
      <c r="J800" s="2994"/>
      <c r="K800" s="2996">
        <f t="shared" si="134"/>
        <v>1</v>
      </c>
      <c r="L800" s="2994"/>
      <c r="M800" s="2996">
        <f t="shared" si="135"/>
        <v>1</v>
      </c>
      <c r="N800" s="2994"/>
      <c r="O800" s="2996">
        <f t="shared" si="136"/>
        <v>1</v>
      </c>
      <c r="P800" s="2994"/>
      <c r="Q800" s="2996">
        <f t="shared" si="137"/>
        <v>1</v>
      </c>
      <c r="R800" s="2997">
        <f t="shared" ca="1" si="138"/>
        <v>17260</v>
      </c>
      <c r="S800" s="2962">
        <f t="shared" ca="1" si="139"/>
        <v>94</v>
      </c>
    </row>
    <row r="801" spans="1:19">
      <c r="A801" s="2992" t="str">
        <f>Sheet1!F782</f>
        <v>4-1141</v>
      </c>
      <c r="B801" s="2992">
        <f>Sheet1!G782</f>
        <v>48.86</v>
      </c>
      <c r="C801" s="2996">
        <f t="shared" si="130"/>
        <v>1</v>
      </c>
      <c r="D801" s="2994"/>
      <c r="E801" s="2996">
        <f t="shared" si="131"/>
        <v>1</v>
      </c>
      <c r="F801" s="2994"/>
      <c r="G801" s="2996">
        <f t="shared" si="132"/>
        <v>1</v>
      </c>
      <c r="H801" s="2994"/>
      <c r="I801" s="2996">
        <f t="shared" si="133"/>
        <v>1</v>
      </c>
      <c r="J801" s="2994"/>
      <c r="K801" s="2996">
        <f t="shared" si="134"/>
        <v>1</v>
      </c>
      <c r="L801" s="2994"/>
      <c r="M801" s="2996">
        <f t="shared" si="135"/>
        <v>1</v>
      </c>
      <c r="N801" s="2994"/>
      <c r="O801" s="2996">
        <f t="shared" si="136"/>
        <v>1</v>
      </c>
      <c r="P801" s="2994"/>
      <c r="Q801" s="2996">
        <f t="shared" si="137"/>
        <v>1</v>
      </c>
      <c r="R801" s="2997">
        <f t="shared" ca="1" si="138"/>
        <v>17260</v>
      </c>
      <c r="S801" s="2962">
        <f t="shared" ca="1" si="139"/>
        <v>84</v>
      </c>
    </row>
    <row r="802" spans="1:19">
      <c r="A802" s="2992" t="str">
        <f>Sheet1!F783</f>
        <v>4-1142</v>
      </c>
      <c r="B802" s="2992">
        <f>Sheet1!G783</f>
        <v>48.86</v>
      </c>
      <c r="C802" s="2996">
        <f t="shared" si="130"/>
        <v>1</v>
      </c>
      <c r="D802" s="2994"/>
      <c r="E802" s="2996">
        <f t="shared" si="131"/>
        <v>1</v>
      </c>
      <c r="F802" s="2994"/>
      <c r="G802" s="2996">
        <f t="shared" si="132"/>
        <v>1</v>
      </c>
      <c r="H802" s="2994"/>
      <c r="I802" s="2996">
        <f t="shared" si="133"/>
        <v>1</v>
      </c>
      <c r="J802" s="2994"/>
      <c r="K802" s="2996">
        <f t="shared" si="134"/>
        <v>1</v>
      </c>
      <c r="L802" s="2994"/>
      <c r="M802" s="2996">
        <f t="shared" si="135"/>
        <v>1</v>
      </c>
      <c r="N802" s="2994"/>
      <c r="O802" s="2996">
        <f t="shared" si="136"/>
        <v>1</v>
      </c>
      <c r="P802" s="2994"/>
      <c r="Q802" s="2996">
        <f t="shared" si="137"/>
        <v>1</v>
      </c>
      <c r="R802" s="2997">
        <f t="shared" ca="1" si="138"/>
        <v>17260</v>
      </c>
      <c r="S802" s="2962">
        <f t="shared" ca="1" si="139"/>
        <v>84</v>
      </c>
    </row>
    <row r="803" spans="1:19">
      <c r="A803" s="2992" t="str">
        <f>Sheet1!F784</f>
        <v>4-1143</v>
      </c>
      <c r="B803" s="2992">
        <f>Sheet1!G784</f>
        <v>48.86</v>
      </c>
      <c r="C803" s="2996">
        <f t="shared" si="130"/>
        <v>1</v>
      </c>
      <c r="D803" s="2994"/>
      <c r="E803" s="2996">
        <f t="shared" si="131"/>
        <v>1</v>
      </c>
      <c r="F803" s="2994"/>
      <c r="G803" s="2996">
        <f t="shared" si="132"/>
        <v>1</v>
      </c>
      <c r="H803" s="2994"/>
      <c r="I803" s="2996">
        <f t="shared" si="133"/>
        <v>1</v>
      </c>
      <c r="J803" s="2994"/>
      <c r="K803" s="2996">
        <f t="shared" si="134"/>
        <v>1</v>
      </c>
      <c r="L803" s="2994"/>
      <c r="M803" s="2996">
        <f t="shared" si="135"/>
        <v>1</v>
      </c>
      <c r="N803" s="2994"/>
      <c r="O803" s="2996">
        <f t="shared" si="136"/>
        <v>1</v>
      </c>
      <c r="P803" s="2994"/>
      <c r="Q803" s="2996">
        <f t="shared" si="137"/>
        <v>1</v>
      </c>
      <c r="R803" s="2997">
        <f t="shared" ca="1" si="138"/>
        <v>17260</v>
      </c>
      <c r="S803" s="2962">
        <f t="shared" ca="1" si="139"/>
        <v>84</v>
      </c>
    </row>
    <row r="804" spans="1:19">
      <c r="A804" s="2992" t="str">
        <f>Sheet1!F785</f>
        <v>4-1144</v>
      </c>
      <c r="B804" s="2992">
        <f>Sheet1!G785</f>
        <v>54.87</v>
      </c>
      <c r="C804" s="2996">
        <f t="shared" si="130"/>
        <v>1</v>
      </c>
      <c r="D804" s="2994"/>
      <c r="E804" s="2996">
        <f t="shared" si="131"/>
        <v>1</v>
      </c>
      <c r="F804" s="2994"/>
      <c r="G804" s="2996">
        <f t="shared" si="132"/>
        <v>1</v>
      </c>
      <c r="H804" s="2994"/>
      <c r="I804" s="2996">
        <f t="shared" si="133"/>
        <v>1</v>
      </c>
      <c r="J804" s="2994"/>
      <c r="K804" s="2996">
        <f t="shared" si="134"/>
        <v>1</v>
      </c>
      <c r="L804" s="2994"/>
      <c r="M804" s="2996">
        <f t="shared" si="135"/>
        <v>1</v>
      </c>
      <c r="N804" s="2994"/>
      <c r="O804" s="2996">
        <f t="shared" si="136"/>
        <v>1</v>
      </c>
      <c r="P804" s="2994"/>
      <c r="Q804" s="2996">
        <f t="shared" si="137"/>
        <v>1</v>
      </c>
      <c r="R804" s="2997">
        <f t="shared" ca="1" si="138"/>
        <v>17260</v>
      </c>
      <c r="S804" s="2962">
        <f t="shared" ca="1" si="139"/>
        <v>95</v>
      </c>
    </row>
    <row r="805" spans="1:19">
      <c r="A805" s="2992" t="str">
        <f>Sheet1!F786</f>
        <v>4-1145</v>
      </c>
      <c r="B805" s="2992">
        <f>Sheet1!G786</f>
        <v>88.13</v>
      </c>
      <c r="C805" s="2996">
        <f t="shared" si="130"/>
        <v>1</v>
      </c>
      <c r="D805" s="2994"/>
      <c r="E805" s="2996">
        <f t="shared" si="131"/>
        <v>1</v>
      </c>
      <c r="F805" s="2994"/>
      <c r="G805" s="2996">
        <f t="shared" si="132"/>
        <v>1</v>
      </c>
      <c r="H805" s="2994"/>
      <c r="I805" s="2996">
        <f t="shared" si="133"/>
        <v>1</v>
      </c>
      <c r="J805" s="2994"/>
      <c r="K805" s="2996">
        <f t="shared" si="134"/>
        <v>1</v>
      </c>
      <c r="L805" s="2994"/>
      <c r="M805" s="2996">
        <f t="shared" si="135"/>
        <v>1</v>
      </c>
      <c r="N805" s="2994"/>
      <c r="O805" s="2996">
        <f t="shared" si="136"/>
        <v>1</v>
      </c>
      <c r="P805" s="2994"/>
      <c r="Q805" s="2996">
        <f t="shared" si="137"/>
        <v>1</v>
      </c>
      <c r="R805" s="2997">
        <f t="shared" ca="1" si="138"/>
        <v>17260</v>
      </c>
      <c r="S805" s="2962">
        <f t="shared" ca="1" si="139"/>
        <v>152</v>
      </c>
    </row>
    <row r="806" spans="1:19">
      <c r="A806" s="2992" t="str">
        <f>Sheet1!F787</f>
        <v>1-1201</v>
      </c>
      <c r="B806" s="2992">
        <f>Sheet1!G787</f>
        <v>186.33</v>
      </c>
      <c r="C806" s="2996">
        <f t="shared" si="130"/>
        <v>0.99</v>
      </c>
      <c r="D806" s="2994"/>
      <c r="E806" s="2996">
        <f t="shared" si="131"/>
        <v>1</v>
      </c>
      <c r="F806" s="2994"/>
      <c r="G806" s="2996">
        <f t="shared" si="132"/>
        <v>1</v>
      </c>
      <c r="H806" s="2994"/>
      <c r="I806" s="2996">
        <f t="shared" si="133"/>
        <v>1</v>
      </c>
      <c r="J806" s="2994"/>
      <c r="K806" s="2996">
        <f t="shared" si="134"/>
        <v>1</v>
      </c>
      <c r="L806" s="2994"/>
      <c r="M806" s="2996">
        <f t="shared" si="135"/>
        <v>1</v>
      </c>
      <c r="N806" s="2994"/>
      <c r="O806" s="2996">
        <f t="shared" si="136"/>
        <v>1</v>
      </c>
      <c r="P806" s="2994"/>
      <c r="Q806" s="2996">
        <f t="shared" si="137"/>
        <v>1</v>
      </c>
      <c r="R806" s="2997">
        <f t="shared" ca="1" si="138"/>
        <v>17087</v>
      </c>
      <c r="S806" s="2962">
        <f t="shared" ca="1" si="139"/>
        <v>318</v>
      </c>
    </row>
    <row r="807" spans="1:19">
      <c r="A807" s="2992" t="str">
        <f>Sheet1!F788</f>
        <v>1-1202</v>
      </c>
      <c r="B807" s="2992">
        <f>Sheet1!G788</f>
        <v>188.39</v>
      </c>
      <c r="C807" s="2996">
        <f t="shared" si="130"/>
        <v>0.99</v>
      </c>
      <c r="D807" s="2994"/>
      <c r="E807" s="2996">
        <f t="shared" si="131"/>
        <v>1</v>
      </c>
      <c r="F807" s="2994"/>
      <c r="G807" s="2996">
        <f t="shared" si="132"/>
        <v>1</v>
      </c>
      <c r="H807" s="2994"/>
      <c r="I807" s="2996">
        <f t="shared" si="133"/>
        <v>1</v>
      </c>
      <c r="J807" s="2994"/>
      <c r="K807" s="2996">
        <f t="shared" si="134"/>
        <v>1</v>
      </c>
      <c r="L807" s="2994"/>
      <c r="M807" s="2996">
        <f t="shared" si="135"/>
        <v>1</v>
      </c>
      <c r="N807" s="2994"/>
      <c r="O807" s="2996">
        <f t="shared" si="136"/>
        <v>1</v>
      </c>
      <c r="P807" s="2994"/>
      <c r="Q807" s="2996">
        <f t="shared" si="137"/>
        <v>1</v>
      </c>
      <c r="R807" s="2997">
        <f t="shared" ca="1" si="138"/>
        <v>17087</v>
      </c>
      <c r="S807" s="2962">
        <f t="shared" ca="1" si="139"/>
        <v>322</v>
      </c>
    </row>
    <row r="808" spans="1:19">
      <c r="A808" s="2992" t="str">
        <f>Sheet1!F789</f>
        <v>1-1203</v>
      </c>
      <c r="B808" s="2992">
        <f>Sheet1!G789</f>
        <v>188.39</v>
      </c>
      <c r="C808" s="2996">
        <f t="shared" si="130"/>
        <v>0.99</v>
      </c>
      <c r="D808" s="2994"/>
      <c r="E808" s="2996">
        <f t="shared" si="131"/>
        <v>1</v>
      </c>
      <c r="F808" s="2994"/>
      <c r="G808" s="2996">
        <f t="shared" si="132"/>
        <v>1</v>
      </c>
      <c r="H808" s="2994"/>
      <c r="I808" s="2996">
        <f t="shared" si="133"/>
        <v>1</v>
      </c>
      <c r="J808" s="2994"/>
      <c r="K808" s="2996">
        <f t="shared" si="134"/>
        <v>1</v>
      </c>
      <c r="L808" s="2994"/>
      <c r="M808" s="2996">
        <f t="shared" si="135"/>
        <v>1</v>
      </c>
      <c r="N808" s="2994"/>
      <c r="O808" s="2996">
        <f t="shared" si="136"/>
        <v>1</v>
      </c>
      <c r="P808" s="2994"/>
      <c r="Q808" s="2996">
        <f t="shared" si="137"/>
        <v>1</v>
      </c>
      <c r="R808" s="2997">
        <f t="shared" ca="1" si="138"/>
        <v>17087</v>
      </c>
      <c r="S808" s="2962">
        <f t="shared" ca="1" si="139"/>
        <v>322</v>
      </c>
    </row>
    <row r="809" spans="1:19">
      <c r="A809" s="2992" t="str">
        <f>Sheet1!F790</f>
        <v>1-1204</v>
      </c>
      <c r="B809" s="2992">
        <f>Sheet1!G790</f>
        <v>188.39</v>
      </c>
      <c r="C809" s="2996">
        <f t="shared" si="130"/>
        <v>0.99</v>
      </c>
      <c r="D809" s="2994"/>
      <c r="E809" s="2996">
        <f t="shared" si="131"/>
        <v>1</v>
      </c>
      <c r="F809" s="2994"/>
      <c r="G809" s="2996">
        <f t="shared" si="132"/>
        <v>1</v>
      </c>
      <c r="H809" s="2994"/>
      <c r="I809" s="2996">
        <f t="shared" si="133"/>
        <v>1</v>
      </c>
      <c r="J809" s="2994"/>
      <c r="K809" s="2996">
        <f t="shared" si="134"/>
        <v>1</v>
      </c>
      <c r="L809" s="2994"/>
      <c r="M809" s="2996">
        <f t="shared" si="135"/>
        <v>1</v>
      </c>
      <c r="N809" s="2994"/>
      <c r="O809" s="2996">
        <f t="shared" si="136"/>
        <v>1</v>
      </c>
      <c r="P809" s="2994"/>
      <c r="Q809" s="2996">
        <f t="shared" si="137"/>
        <v>1</v>
      </c>
      <c r="R809" s="2997">
        <f t="shared" ca="1" si="138"/>
        <v>17087</v>
      </c>
      <c r="S809" s="2962">
        <f t="shared" ca="1" si="139"/>
        <v>322</v>
      </c>
    </row>
    <row r="810" spans="1:19">
      <c r="A810" s="2992" t="str">
        <f>Sheet1!F791</f>
        <v>1-1205</v>
      </c>
      <c r="B810" s="2992">
        <f>Sheet1!G791</f>
        <v>188.39</v>
      </c>
      <c r="C810" s="2996">
        <f t="shared" si="130"/>
        <v>0.99</v>
      </c>
      <c r="D810" s="2994"/>
      <c r="E810" s="2996">
        <f t="shared" si="131"/>
        <v>1</v>
      </c>
      <c r="F810" s="2994"/>
      <c r="G810" s="2996">
        <f t="shared" si="132"/>
        <v>1</v>
      </c>
      <c r="H810" s="2994"/>
      <c r="I810" s="2996">
        <f t="shared" si="133"/>
        <v>1</v>
      </c>
      <c r="J810" s="2994"/>
      <c r="K810" s="2996">
        <f t="shared" si="134"/>
        <v>1</v>
      </c>
      <c r="L810" s="2994"/>
      <c r="M810" s="2996">
        <f t="shared" si="135"/>
        <v>1</v>
      </c>
      <c r="N810" s="2994"/>
      <c r="O810" s="2996">
        <f t="shared" si="136"/>
        <v>1</v>
      </c>
      <c r="P810" s="2994"/>
      <c r="Q810" s="2996">
        <f t="shared" si="137"/>
        <v>1</v>
      </c>
      <c r="R810" s="2997">
        <f t="shared" ca="1" si="138"/>
        <v>17087</v>
      </c>
      <c r="S810" s="2962">
        <f t="shared" ca="1" si="139"/>
        <v>322</v>
      </c>
    </row>
    <row r="811" spans="1:19">
      <c r="A811" s="2992" t="str">
        <f>Sheet1!F792</f>
        <v>1-1206</v>
      </c>
      <c r="B811" s="2992">
        <f>Sheet1!G792</f>
        <v>188.39</v>
      </c>
      <c r="C811" s="2996">
        <f t="shared" si="130"/>
        <v>0.99</v>
      </c>
      <c r="D811" s="2994"/>
      <c r="E811" s="2996">
        <f t="shared" si="131"/>
        <v>1</v>
      </c>
      <c r="F811" s="2994"/>
      <c r="G811" s="2996">
        <f t="shared" si="132"/>
        <v>1</v>
      </c>
      <c r="H811" s="2994"/>
      <c r="I811" s="2996">
        <f t="shared" si="133"/>
        <v>1</v>
      </c>
      <c r="J811" s="2994"/>
      <c r="K811" s="2996">
        <f t="shared" si="134"/>
        <v>1</v>
      </c>
      <c r="L811" s="2994"/>
      <c r="M811" s="2996">
        <f t="shared" si="135"/>
        <v>1</v>
      </c>
      <c r="N811" s="2994"/>
      <c r="O811" s="2996">
        <f t="shared" si="136"/>
        <v>1</v>
      </c>
      <c r="P811" s="2994"/>
      <c r="Q811" s="2996">
        <f t="shared" si="137"/>
        <v>1</v>
      </c>
      <c r="R811" s="2997">
        <f t="shared" ca="1" si="138"/>
        <v>17087</v>
      </c>
      <c r="S811" s="2962">
        <f t="shared" ca="1" si="139"/>
        <v>322</v>
      </c>
    </row>
    <row r="812" spans="1:19">
      <c r="A812" s="2992" t="str">
        <f>Sheet1!F793</f>
        <v>1-1207</v>
      </c>
      <c r="B812" s="2992">
        <f>Sheet1!G793</f>
        <v>187.53</v>
      </c>
      <c r="C812" s="2996">
        <f t="shared" si="130"/>
        <v>0.99</v>
      </c>
      <c r="D812" s="2994"/>
      <c r="E812" s="2996">
        <f t="shared" si="131"/>
        <v>1</v>
      </c>
      <c r="F812" s="2994"/>
      <c r="G812" s="2996">
        <f t="shared" si="132"/>
        <v>1</v>
      </c>
      <c r="H812" s="2994"/>
      <c r="I812" s="2996">
        <f t="shared" si="133"/>
        <v>1</v>
      </c>
      <c r="J812" s="2994"/>
      <c r="K812" s="2996">
        <f t="shared" si="134"/>
        <v>1</v>
      </c>
      <c r="L812" s="2994"/>
      <c r="M812" s="2996">
        <f t="shared" si="135"/>
        <v>1</v>
      </c>
      <c r="N812" s="2994"/>
      <c r="O812" s="2996">
        <f t="shared" si="136"/>
        <v>1</v>
      </c>
      <c r="P812" s="2994"/>
      <c r="Q812" s="2996">
        <f t="shared" si="137"/>
        <v>1</v>
      </c>
      <c r="R812" s="2997">
        <f t="shared" ca="1" si="138"/>
        <v>17087</v>
      </c>
      <c r="S812" s="2962">
        <f t="shared" ca="1" si="139"/>
        <v>320</v>
      </c>
    </row>
    <row r="813" spans="1:19">
      <c r="A813" s="2992" t="str">
        <f>Sheet1!F794</f>
        <v>1-1208</v>
      </c>
      <c r="B813" s="2992">
        <f>Sheet1!G794</f>
        <v>210.19</v>
      </c>
      <c r="C813" s="2996">
        <f t="shared" si="130"/>
        <v>0.98</v>
      </c>
      <c r="D813" s="2994"/>
      <c r="E813" s="2996">
        <f t="shared" si="131"/>
        <v>1</v>
      </c>
      <c r="F813" s="2994"/>
      <c r="G813" s="2996">
        <f t="shared" si="132"/>
        <v>1</v>
      </c>
      <c r="H813" s="2994"/>
      <c r="I813" s="2996">
        <f t="shared" si="133"/>
        <v>1</v>
      </c>
      <c r="J813" s="2994"/>
      <c r="K813" s="2996">
        <f t="shared" si="134"/>
        <v>1</v>
      </c>
      <c r="L813" s="2994"/>
      <c r="M813" s="2996">
        <f t="shared" si="135"/>
        <v>1</v>
      </c>
      <c r="N813" s="2994"/>
      <c r="O813" s="2996">
        <f t="shared" si="136"/>
        <v>1</v>
      </c>
      <c r="P813" s="2994"/>
      <c r="Q813" s="2996">
        <f t="shared" si="137"/>
        <v>1</v>
      </c>
      <c r="R813" s="2997">
        <f t="shared" ca="1" si="138"/>
        <v>16915</v>
      </c>
      <c r="S813" s="2962">
        <f t="shared" ca="1" si="139"/>
        <v>356</v>
      </c>
    </row>
    <row r="814" spans="1:19">
      <c r="A814" s="2992" t="str">
        <f>Sheet1!F795</f>
        <v>1-1209</v>
      </c>
      <c r="B814" s="2992">
        <f>Sheet1!G795</f>
        <v>169.2</v>
      </c>
      <c r="C814" s="2996">
        <f t="shared" si="130"/>
        <v>0.99</v>
      </c>
      <c r="D814" s="2994"/>
      <c r="E814" s="2996">
        <f t="shared" si="131"/>
        <v>1</v>
      </c>
      <c r="F814" s="2994"/>
      <c r="G814" s="2996">
        <f t="shared" si="132"/>
        <v>1</v>
      </c>
      <c r="H814" s="2994"/>
      <c r="I814" s="2996">
        <f t="shared" si="133"/>
        <v>1</v>
      </c>
      <c r="J814" s="2994"/>
      <c r="K814" s="2996">
        <f t="shared" si="134"/>
        <v>1</v>
      </c>
      <c r="L814" s="2994"/>
      <c r="M814" s="2996">
        <f t="shared" si="135"/>
        <v>1</v>
      </c>
      <c r="N814" s="2994"/>
      <c r="O814" s="2996">
        <f t="shared" si="136"/>
        <v>1</v>
      </c>
      <c r="P814" s="2994"/>
      <c r="Q814" s="2996">
        <f t="shared" si="137"/>
        <v>1</v>
      </c>
      <c r="R814" s="2997">
        <f t="shared" ca="1" si="138"/>
        <v>17087</v>
      </c>
      <c r="S814" s="2962">
        <f t="shared" ca="1" si="139"/>
        <v>289</v>
      </c>
    </row>
    <row r="815" spans="1:19">
      <c r="A815" s="2992" t="str">
        <f>Sheet1!F796</f>
        <v>1-1210</v>
      </c>
      <c r="B815" s="2992">
        <f>Sheet1!G796</f>
        <v>178.35</v>
      </c>
      <c r="C815" s="2996">
        <f t="shared" si="130"/>
        <v>0.99</v>
      </c>
      <c r="D815" s="2994"/>
      <c r="E815" s="2996">
        <f t="shared" si="131"/>
        <v>1</v>
      </c>
      <c r="F815" s="2994"/>
      <c r="G815" s="2996">
        <f t="shared" si="132"/>
        <v>1</v>
      </c>
      <c r="H815" s="2994"/>
      <c r="I815" s="2996">
        <f t="shared" si="133"/>
        <v>1</v>
      </c>
      <c r="J815" s="2994"/>
      <c r="K815" s="2996">
        <f t="shared" si="134"/>
        <v>1</v>
      </c>
      <c r="L815" s="2994"/>
      <c r="M815" s="2996">
        <f t="shared" si="135"/>
        <v>1</v>
      </c>
      <c r="N815" s="2994"/>
      <c r="O815" s="2996">
        <f t="shared" si="136"/>
        <v>1</v>
      </c>
      <c r="P815" s="2994"/>
      <c r="Q815" s="2996">
        <f t="shared" si="137"/>
        <v>1</v>
      </c>
      <c r="R815" s="2997">
        <f t="shared" ca="1" si="138"/>
        <v>17087</v>
      </c>
      <c r="S815" s="2962">
        <f t="shared" ca="1" si="139"/>
        <v>305</v>
      </c>
    </row>
    <row r="816" spans="1:19">
      <c r="A816" s="2992" t="str">
        <f>Sheet1!F797</f>
        <v>1-1211</v>
      </c>
      <c r="B816" s="2992">
        <f>Sheet1!G797</f>
        <v>208.92</v>
      </c>
      <c r="C816" s="2996">
        <f t="shared" si="130"/>
        <v>0.98</v>
      </c>
      <c r="D816" s="2994"/>
      <c r="E816" s="2996">
        <f t="shared" si="131"/>
        <v>1</v>
      </c>
      <c r="F816" s="2994"/>
      <c r="G816" s="2996">
        <f t="shared" si="132"/>
        <v>1</v>
      </c>
      <c r="H816" s="2994"/>
      <c r="I816" s="2996">
        <f t="shared" si="133"/>
        <v>1</v>
      </c>
      <c r="J816" s="2994"/>
      <c r="K816" s="2996">
        <f t="shared" si="134"/>
        <v>1</v>
      </c>
      <c r="L816" s="2994"/>
      <c r="M816" s="2996">
        <f t="shared" si="135"/>
        <v>1</v>
      </c>
      <c r="N816" s="2994"/>
      <c r="O816" s="2996">
        <f t="shared" si="136"/>
        <v>1</v>
      </c>
      <c r="P816" s="2994"/>
      <c r="Q816" s="2996">
        <f t="shared" si="137"/>
        <v>1</v>
      </c>
      <c r="R816" s="2997">
        <f t="shared" ca="1" si="138"/>
        <v>16915</v>
      </c>
      <c r="S816" s="2962">
        <f t="shared" ca="1" si="139"/>
        <v>353</v>
      </c>
    </row>
    <row r="817" spans="1:19">
      <c r="A817" s="2992" t="str">
        <f>Sheet1!F798</f>
        <v>1-1212</v>
      </c>
      <c r="B817" s="2992">
        <f>Sheet1!G798</f>
        <v>188.35</v>
      </c>
      <c r="C817" s="2996">
        <f t="shared" si="130"/>
        <v>0.99</v>
      </c>
      <c r="D817" s="2994"/>
      <c r="E817" s="2996">
        <f t="shared" si="131"/>
        <v>1</v>
      </c>
      <c r="F817" s="2994"/>
      <c r="G817" s="2996">
        <f t="shared" si="132"/>
        <v>1</v>
      </c>
      <c r="H817" s="2994"/>
      <c r="I817" s="2996">
        <f t="shared" si="133"/>
        <v>1</v>
      </c>
      <c r="J817" s="2994"/>
      <c r="K817" s="2996">
        <f t="shared" si="134"/>
        <v>1</v>
      </c>
      <c r="L817" s="2994"/>
      <c r="M817" s="2996">
        <f t="shared" si="135"/>
        <v>1</v>
      </c>
      <c r="N817" s="2994"/>
      <c r="O817" s="2996">
        <f t="shared" si="136"/>
        <v>1</v>
      </c>
      <c r="P817" s="2994"/>
      <c r="Q817" s="2996">
        <f t="shared" si="137"/>
        <v>1</v>
      </c>
      <c r="R817" s="2997">
        <f t="shared" ca="1" si="138"/>
        <v>17087</v>
      </c>
      <c r="S817" s="2962">
        <f t="shared" ca="1" si="139"/>
        <v>322</v>
      </c>
    </row>
    <row r="818" spans="1:19">
      <c r="A818" s="2992" t="str">
        <f>Sheet1!F799</f>
        <v>1-1213</v>
      </c>
      <c r="B818" s="2992">
        <f>Sheet1!G799</f>
        <v>188.39</v>
      </c>
      <c r="C818" s="2996">
        <f t="shared" si="130"/>
        <v>0.99</v>
      </c>
      <c r="D818" s="2994"/>
      <c r="E818" s="2996">
        <f t="shared" si="131"/>
        <v>1</v>
      </c>
      <c r="F818" s="2994"/>
      <c r="G818" s="2996">
        <f t="shared" si="132"/>
        <v>1</v>
      </c>
      <c r="H818" s="2994"/>
      <c r="I818" s="2996">
        <f t="shared" si="133"/>
        <v>1</v>
      </c>
      <c r="J818" s="2994"/>
      <c r="K818" s="2996">
        <f t="shared" si="134"/>
        <v>1</v>
      </c>
      <c r="L818" s="2994"/>
      <c r="M818" s="2996">
        <f t="shared" si="135"/>
        <v>1</v>
      </c>
      <c r="N818" s="2994"/>
      <c r="O818" s="2996">
        <f t="shared" si="136"/>
        <v>1</v>
      </c>
      <c r="P818" s="2994"/>
      <c r="Q818" s="2996">
        <f t="shared" si="137"/>
        <v>1</v>
      </c>
      <c r="R818" s="2997">
        <f t="shared" ca="1" si="138"/>
        <v>17087</v>
      </c>
      <c r="S818" s="2962">
        <f t="shared" ca="1" si="139"/>
        <v>322</v>
      </c>
    </row>
    <row r="819" spans="1:19">
      <c r="A819" s="2992" t="str">
        <f>Sheet1!F800</f>
        <v>1-1214</v>
      </c>
      <c r="B819" s="2992">
        <f>Sheet1!G800</f>
        <v>188.39</v>
      </c>
      <c r="C819" s="2996">
        <f t="shared" si="130"/>
        <v>0.99</v>
      </c>
      <c r="D819" s="2994"/>
      <c r="E819" s="2996">
        <f t="shared" si="131"/>
        <v>1</v>
      </c>
      <c r="F819" s="2994"/>
      <c r="G819" s="2996">
        <f t="shared" si="132"/>
        <v>1</v>
      </c>
      <c r="H819" s="2994"/>
      <c r="I819" s="2996">
        <f t="shared" si="133"/>
        <v>1</v>
      </c>
      <c r="J819" s="2994"/>
      <c r="K819" s="2996">
        <f t="shared" si="134"/>
        <v>1</v>
      </c>
      <c r="L819" s="2994"/>
      <c r="M819" s="2996">
        <f t="shared" si="135"/>
        <v>1</v>
      </c>
      <c r="N819" s="2994"/>
      <c r="O819" s="2996">
        <f t="shared" si="136"/>
        <v>1</v>
      </c>
      <c r="P819" s="2994"/>
      <c r="Q819" s="2996">
        <f t="shared" si="137"/>
        <v>1</v>
      </c>
      <c r="R819" s="2997">
        <f t="shared" ca="1" si="138"/>
        <v>17087</v>
      </c>
      <c r="S819" s="2962">
        <f t="shared" ca="1" si="139"/>
        <v>322</v>
      </c>
    </row>
    <row r="820" spans="1:19">
      <c r="A820" s="2992" t="str">
        <f>Sheet1!F801</f>
        <v>1-1215</v>
      </c>
      <c r="B820" s="2992">
        <f>Sheet1!G801</f>
        <v>188.39</v>
      </c>
      <c r="C820" s="2996">
        <f t="shared" si="130"/>
        <v>0.99</v>
      </c>
      <c r="D820" s="2994"/>
      <c r="E820" s="2996">
        <f t="shared" si="131"/>
        <v>1</v>
      </c>
      <c r="F820" s="2994"/>
      <c r="G820" s="2996">
        <f t="shared" si="132"/>
        <v>1</v>
      </c>
      <c r="H820" s="2994"/>
      <c r="I820" s="2996">
        <f t="shared" si="133"/>
        <v>1</v>
      </c>
      <c r="J820" s="2994"/>
      <c r="K820" s="2996">
        <f t="shared" si="134"/>
        <v>1</v>
      </c>
      <c r="L820" s="2994"/>
      <c r="M820" s="2996">
        <f t="shared" si="135"/>
        <v>1</v>
      </c>
      <c r="N820" s="2994"/>
      <c r="O820" s="2996">
        <f t="shared" si="136"/>
        <v>1</v>
      </c>
      <c r="P820" s="2994"/>
      <c r="Q820" s="2996">
        <f t="shared" si="137"/>
        <v>1</v>
      </c>
      <c r="R820" s="2997">
        <f t="shared" ca="1" si="138"/>
        <v>17087</v>
      </c>
      <c r="S820" s="2962">
        <f t="shared" ca="1" si="139"/>
        <v>322</v>
      </c>
    </row>
    <row r="821" spans="1:19">
      <c r="A821" s="2992" t="str">
        <f>Sheet1!F802</f>
        <v>1-1216</v>
      </c>
      <c r="B821" s="2992">
        <f>Sheet1!G802</f>
        <v>188.39</v>
      </c>
      <c r="C821" s="2996">
        <f t="shared" si="130"/>
        <v>0.99</v>
      </c>
      <c r="D821" s="2994"/>
      <c r="E821" s="2996">
        <f t="shared" si="131"/>
        <v>1</v>
      </c>
      <c r="F821" s="2994"/>
      <c r="G821" s="2996">
        <f t="shared" si="132"/>
        <v>1</v>
      </c>
      <c r="H821" s="2994"/>
      <c r="I821" s="2996">
        <f t="shared" si="133"/>
        <v>1</v>
      </c>
      <c r="J821" s="2994"/>
      <c r="K821" s="2996">
        <f t="shared" si="134"/>
        <v>1</v>
      </c>
      <c r="L821" s="2994"/>
      <c r="M821" s="2996">
        <f t="shared" si="135"/>
        <v>1</v>
      </c>
      <c r="N821" s="2994"/>
      <c r="O821" s="2996">
        <f t="shared" si="136"/>
        <v>1</v>
      </c>
      <c r="P821" s="2994"/>
      <c r="Q821" s="2996">
        <f t="shared" si="137"/>
        <v>1</v>
      </c>
      <c r="R821" s="2997">
        <f t="shared" ca="1" si="138"/>
        <v>17087</v>
      </c>
      <c r="S821" s="2962">
        <f t="shared" ca="1" si="139"/>
        <v>322</v>
      </c>
    </row>
    <row r="822" spans="1:19">
      <c r="A822" s="2992" t="str">
        <f>Sheet1!F803</f>
        <v>1-1217</v>
      </c>
      <c r="B822" s="2992">
        <f>Sheet1!G803</f>
        <v>188.39</v>
      </c>
      <c r="C822" s="2996">
        <f t="shared" si="130"/>
        <v>0.99</v>
      </c>
      <c r="D822" s="2994"/>
      <c r="E822" s="2996">
        <f t="shared" si="131"/>
        <v>1</v>
      </c>
      <c r="F822" s="2994"/>
      <c r="G822" s="2996">
        <f t="shared" si="132"/>
        <v>1</v>
      </c>
      <c r="H822" s="2994"/>
      <c r="I822" s="2996">
        <f t="shared" si="133"/>
        <v>1</v>
      </c>
      <c r="J822" s="2994"/>
      <c r="K822" s="2996">
        <f t="shared" si="134"/>
        <v>1</v>
      </c>
      <c r="L822" s="2994"/>
      <c r="M822" s="2996">
        <f t="shared" si="135"/>
        <v>1</v>
      </c>
      <c r="N822" s="2994"/>
      <c r="O822" s="2996">
        <f t="shared" si="136"/>
        <v>1</v>
      </c>
      <c r="P822" s="2994"/>
      <c r="Q822" s="2996">
        <f t="shared" si="137"/>
        <v>1</v>
      </c>
      <c r="R822" s="2997">
        <f t="shared" ca="1" si="138"/>
        <v>17087</v>
      </c>
      <c r="S822" s="2962">
        <f t="shared" ca="1" si="139"/>
        <v>322</v>
      </c>
    </row>
    <row r="823" spans="1:19">
      <c r="A823" s="2992" t="str">
        <f>Sheet1!F804</f>
        <v>1-1218</v>
      </c>
      <c r="B823" s="2992">
        <f>Sheet1!G804</f>
        <v>279.91000000000003</v>
      </c>
      <c r="C823" s="2996">
        <f t="shared" si="130"/>
        <v>0.98</v>
      </c>
      <c r="D823" s="2994"/>
      <c r="E823" s="2996">
        <f t="shared" si="131"/>
        <v>1</v>
      </c>
      <c r="F823" s="2994"/>
      <c r="G823" s="2996">
        <f t="shared" si="132"/>
        <v>1</v>
      </c>
      <c r="H823" s="2994"/>
      <c r="I823" s="2996">
        <f t="shared" si="133"/>
        <v>1</v>
      </c>
      <c r="J823" s="2994"/>
      <c r="K823" s="2996">
        <f t="shared" si="134"/>
        <v>1</v>
      </c>
      <c r="L823" s="2994"/>
      <c r="M823" s="2996">
        <f t="shared" si="135"/>
        <v>1</v>
      </c>
      <c r="N823" s="2994"/>
      <c r="O823" s="2996">
        <f t="shared" si="136"/>
        <v>1</v>
      </c>
      <c r="P823" s="2994"/>
      <c r="Q823" s="2996">
        <f t="shared" si="137"/>
        <v>1</v>
      </c>
      <c r="R823" s="2997">
        <f t="shared" ca="1" si="138"/>
        <v>16915</v>
      </c>
      <c r="S823" s="2962">
        <f t="shared" ca="1" si="139"/>
        <v>473</v>
      </c>
    </row>
    <row r="824" spans="1:19">
      <c r="A824" s="2992" t="str">
        <f>Sheet1!F805</f>
        <v>1-1219</v>
      </c>
      <c r="B824" s="2992">
        <f>Sheet1!G805</f>
        <v>175.75</v>
      </c>
      <c r="C824" s="2996">
        <f t="shared" si="130"/>
        <v>0.99</v>
      </c>
      <c r="D824" s="2994"/>
      <c r="E824" s="2996">
        <f t="shared" si="131"/>
        <v>1</v>
      </c>
      <c r="F824" s="2994"/>
      <c r="G824" s="2996">
        <f t="shared" si="132"/>
        <v>1</v>
      </c>
      <c r="H824" s="2994"/>
      <c r="I824" s="2996">
        <f t="shared" si="133"/>
        <v>1</v>
      </c>
      <c r="J824" s="2994"/>
      <c r="K824" s="2996">
        <f t="shared" si="134"/>
        <v>1</v>
      </c>
      <c r="L824" s="2994"/>
      <c r="M824" s="2996">
        <f t="shared" si="135"/>
        <v>1</v>
      </c>
      <c r="N824" s="2994"/>
      <c r="O824" s="2996">
        <f t="shared" si="136"/>
        <v>1</v>
      </c>
      <c r="P824" s="2994"/>
      <c r="Q824" s="2996">
        <f t="shared" si="137"/>
        <v>1</v>
      </c>
      <c r="R824" s="2997">
        <f t="shared" ca="1" si="138"/>
        <v>17087</v>
      </c>
      <c r="S824" s="2962">
        <f t="shared" ca="1" si="139"/>
        <v>300</v>
      </c>
    </row>
    <row r="825" spans="1:19">
      <c r="A825" s="2992" t="str">
        <f>Sheet1!F806</f>
        <v>1-1220</v>
      </c>
      <c r="B825" s="2992">
        <f>Sheet1!G806</f>
        <v>188.32</v>
      </c>
      <c r="C825" s="2996">
        <f t="shared" si="130"/>
        <v>0.99</v>
      </c>
      <c r="D825" s="2994"/>
      <c r="E825" s="2996">
        <f t="shared" si="131"/>
        <v>1</v>
      </c>
      <c r="F825" s="2994"/>
      <c r="G825" s="2996">
        <f t="shared" si="132"/>
        <v>1</v>
      </c>
      <c r="H825" s="2994"/>
      <c r="I825" s="2996">
        <f t="shared" si="133"/>
        <v>1</v>
      </c>
      <c r="J825" s="2994"/>
      <c r="K825" s="2996">
        <f t="shared" si="134"/>
        <v>1</v>
      </c>
      <c r="L825" s="2994"/>
      <c r="M825" s="2996">
        <f t="shared" si="135"/>
        <v>1</v>
      </c>
      <c r="N825" s="2994"/>
      <c r="O825" s="2996">
        <f t="shared" si="136"/>
        <v>1</v>
      </c>
      <c r="P825" s="2994"/>
      <c r="Q825" s="2996">
        <f t="shared" si="137"/>
        <v>1</v>
      </c>
      <c r="R825" s="2997">
        <f t="shared" ca="1" si="138"/>
        <v>17087</v>
      </c>
      <c r="S825" s="2962">
        <f t="shared" ca="1" si="139"/>
        <v>322</v>
      </c>
    </row>
    <row r="826" spans="1:19">
      <c r="A826" s="2992" t="str">
        <f>Sheet1!F807</f>
        <v>2-1201</v>
      </c>
      <c r="B826" s="2992">
        <f>Sheet1!G807</f>
        <v>210.22</v>
      </c>
      <c r="C826" s="2996">
        <f t="shared" si="130"/>
        <v>0.98</v>
      </c>
      <c r="D826" s="2994"/>
      <c r="E826" s="2996">
        <f t="shared" si="131"/>
        <v>1</v>
      </c>
      <c r="F826" s="2994"/>
      <c r="G826" s="2996">
        <f t="shared" si="132"/>
        <v>1</v>
      </c>
      <c r="H826" s="2994"/>
      <c r="I826" s="2996">
        <f t="shared" si="133"/>
        <v>1</v>
      </c>
      <c r="J826" s="2994"/>
      <c r="K826" s="2996">
        <f t="shared" si="134"/>
        <v>1</v>
      </c>
      <c r="L826" s="2994"/>
      <c r="M826" s="2996">
        <f t="shared" si="135"/>
        <v>1</v>
      </c>
      <c r="N826" s="2994"/>
      <c r="O826" s="2996">
        <f t="shared" si="136"/>
        <v>1</v>
      </c>
      <c r="P826" s="2994"/>
      <c r="Q826" s="2996">
        <f t="shared" si="137"/>
        <v>1</v>
      </c>
      <c r="R826" s="2997">
        <f t="shared" ca="1" si="138"/>
        <v>16915</v>
      </c>
      <c r="S826" s="2962">
        <f t="shared" ca="1" si="139"/>
        <v>356</v>
      </c>
    </row>
    <row r="827" spans="1:19">
      <c r="A827" s="2992" t="str">
        <f>Sheet1!F808</f>
        <v>2-1202</v>
      </c>
      <c r="B827" s="2992">
        <f>Sheet1!G808</f>
        <v>187.56</v>
      </c>
      <c r="C827" s="2996">
        <f t="shared" si="130"/>
        <v>0.99</v>
      </c>
      <c r="D827" s="2994"/>
      <c r="E827" s="2996">
        <f t="shared" si="131"/>
        <v>1</v>
      </c>
      <c r="F827" s="2994"/>
      <c r="G827" s="2996">
        <f t="shared" si="132"/>
        <v>1</v>
      </c>
      <c r="H827" s="2994"/>
      <c r="I827" s="2996">
        <f t="shared" si="133"/>
        <v>1</v>
      </c>
      <c r="J827" s="2994"/>
      <c r="K827" s="2996">
        <f t="shared" si="134"/>
        <v>1</v>
      </c>
      <c r="L827" s="2994"/>
      <c r="M827" s="2996">
        <f t="shared" si="135"/>
        <v>1</v>
      </c>
      <c r="N827" s="2994"/>
      <c r="O827" s="2996">
        <f t="shared" si="136"/>
        <v>1</v>
      </c>
      <c r="P827" s="2994"/>
      <c r="Q827" s="2996">
        <f t="shared" si="137"/>
        <v>1</v>
      </c>
      <c r="R827" s="2997">
        <f t="shared" ca="1" si="138"/>
        <v>17087</v>
      </c>
      <c r="S827" s="2962">
        <f t="shared" ca="1" si="139"/>
        <v>320</v>
      </c>
    </row>
    <row r="828" spans="1:19">
      <c r="A828" s="2992" t="str">
        <f>Sheet1!F809</f>
        <v>2-1203</v>
      </c>
      <c r="B828" s="2992">
        <f>Sheet1!G809</f>
        <v>188.42</v>
      </c>
      <c r="C828" s="2996">
        <f t="shared" si="130"/>
        <v>0.99</v>
      </c>
      <c r="D828" s="2994"/>
      <c r="E828" s="2996">
        <f t="shared" si="131"/>
        <v>1</v>
      </c>
      <c r="F828" s="2994"/>
      <c r="G828" s="2996">
        <f t="shared" si="132"/>
        <v>1</v>
      </c>
      <c r="H828" s="2994"/>
      <c r="I828" s="2996">
        <f t="shared" si="133"/>
        <v>1</v>
      </c>
      <c r="J828" s="2994"/>
      <c r="K828" s="2996">
        <f t="shared" si="134"/>
        <v>1</v>
      </c>
      <c r="L828" s="2994"/>
      <c r="M828" s="2996">
        <f t="shared" si="135"/>
        <v>1</v>
      </c>
      <c r="N828" s="2994"/>
      <c r="O828" s="2996">
        <f t="shared" si="136"/>
        <v>1</v>
      </c>
      <c r="P828" s="2994"/>
      <c r="Q828" s="2996">
        <f t="shared" si="137"/>
        <v>1</v>
      </c>
      <c r="R828" s="2997">
        <f t="shared" ca="1" si="138"/>
        <v>17087</v>
      </c>
      <c r="S828" s="2962">
        <f t="shared" ca="1" si="139"/>
        <v>322</v>
      </c>
    </row>
    <row r="829" spans="1:19">
      <c r="A829" s="2992" t="str">
        <f>Sheet1!F810</f>
        <v>2-1204</v>
      </c>
      <c r="B829" s="2992">
        <f>Sheet1!G810</f>
        <v>188.42</v>
      </c>
      <c r="C829" s="2996">
        <f t="shared" si="130"/>
        <v>0.99</v>
      </c>
      <c r="D829" s="2994"/>
      <c r="E829" s="2996">
        <f t="shared" si="131"/>
        <v>1</v>
      </c>
      <c r="F829" s="2994"/>
      <c r="G829" s="2996">
        <f t="shared" si="132"/>
        <v>1</v>
      </c>
      <c r="H829" s="2994"/>
      <c r="I829" s="2996">
        <f t="shared" si="133"/>
        <v>1</v>
      </c>
      <c r="J829" s="2994"/>
      <c r="K829" s="2996">
        <f t="shared" si="134"/>
        <v>1</v>
      </c>
      <c r="L829" s="2994"/>
      <c r="M829" s="2996">
        <f t="shared" si="135"/>
        <v>1</v>
      </c>
      <c r="N829" s="2994"/>
      <c r="O829" s="2996">
        <f t="shared" si="136"/>
        <v>1</v>
      </c>
      <c r="P829" s="2994"/>
      <c r="Q829" s="2996">
        <f t="shared" si="137"/>
        <v>1</v>
      </c>
      <c r="R829" s="2997">
        <f t="shared" ca="1" si="138"/>
        <v>17087</v>
      </c>
      <c r="S829" s="2962">
        <f t="shared" ca="1" si="139"/>
        <v>322</v>
      </c>
    </row>
    <row r="830" spans="1:19">
      <c r="A830" s="2992" t="str">
        <f>Sheet1!F811</f>
        <v>2-1205</v>
      </c>
      <c r="B830" s="2992">
        <f>Sheet1!G811</f>
        <v>188.42</v>
      </c>
      <c r="C830" s="2996">
        <f t="shared" si="130"/>
        <v>0.99</v>
      </c>
      <c r="D830" s="2994"/>
      <c r="E830" s="2996">
        <f t="shared" si="131"/>
        <v>1</v>
      </c>
      <c r="F830" s="2994"/>
      <c r="G830" s="2996">
        <f t="shared" si="132"/>
        <v>1</v>
      </c>
      <c r="H830" s="2994"/>
      <c r="I830" s="2996">
        <f t="shared" si="133"/>
        <v>1</v>
      </c>
      <c r="J830" s="2994"/>
      <c r="K830" s="2996">
        <f t="shared" si="134"/>
        <v>1</v>
      </c>
      <c r="L830" s="2994"/>
      <c r="M830" s="2996">
        <f t="shared" si="135"/>
        <v>1</v>
      </c>
      <c r="N830" s="2994"/>
      <c r="O830" s="2996">
        <f t="shared" si="136"/>
        <v>1</v>
      </c>
      <c r="P830" s="2994"/>
      <c r="Q830" s="2996">
        <f t="shared" si="137"/>
        <v>1</v>
      </c>
      <c r="R830" s="2997">
        <f t="shared" ca="1" si="138"/>
        <v>17087</v>
      </c>
      <c r="S830" s="2962">
        <f t="shared" ca="1" si="139"/>
        <v>322</v>
      </c>
    </row>
    <row r="831" spans="1:19">
      <c r="A831" s="2992" t="str">
        <f>Sheet1!F812</f>
        <v>2-1206</v>
      </c>
      <c r="B831" s="2992">
        <f>Sheet1!G812</f>
        <v>188.42</v>
      </c>
      <c r="C831" s="2996">
        <f t="shared" si="130"/>
        <v>0.99</v>
      </c>
      <c r="D831" s="2994"/>
      <c r="E831" s="2996">
        <f t="shared" si="131"/>
        <v>1</v>
      </c>
      <c r="F831" s="2994"/>
      <c r="G831" s="2996">
        <f t="shared" si="132"/>
        <v>1</v>
      </c>
      <c r="H831" s="2994"/>
      <c r="I831" s="2996">
        <f t="shared" si="133"/>
        <v>1</v>
      </c>
      <c r="J831" s="2994"/>
      <c r="K831" s="2996">
        <f t="shared" si="134"/>
        <v>1</v>
      </c>
      <c r="L831" s="2994"/>
      <c r="M831" s="2996">
        <f t="shared" si="135"/>
        <v>1</v>
      </c>
      <c r="N831" s="2994"/>
      <c r="O831" s="2996">
        <f t="shared" si="136"/>
        <v>1</v>
      </c>
      <c r="P831" s="2994"/>
      <c r="Q831" s="2996">
        <f t="shared" si="137"/>
        <v>1</v>
      </c>
      <c r="R831" s="2997">
        <f t="shared" ca="1" si="138"/>
        <v>17087</v>
      </c>
      <c r="S831" s="2962">
        <f t="shared" ca="1" si="139"/>
        <v>322</v>
      </c>
    </row>
    <row r="832" spans="1:19">
      <c r="A832" s="2992" t="str">
        <f>Sheet1!F813</f>
        <v>2-1207</v>
      </c>
      <c r="B832" s="2992">
        <f>Sheet1!G813</f>
        <v>188.42</v>
      </c>
      <c r="C832" s="2996">
        <f t="shared" si="130"/>
        <v>0.99</v>
      </c>
      <c r="D832" s="2994"/>
      <c r="E832" s="2996">
        <f t="shared" si="131"/>
        <v>1</v>
      </c>
      <c r="F832" s="2994"/>
      <c r="G832" s="2996">
        <f t="shared" si="132"/>
        <v>1</v>
      </c>
      <c r="H832" s="2994"/>
      <c r="I832" s="2996">
        <f t="shared" si="133"/>
        <v>1</v>
      </c>
      <c r="J832" s="2994"/>
      <c r="K832" s="2996">
        <f t="shared" si="134"/>
        <v>1</v>
      </c>
      <c r="L832" s="2994"/>
      <c r="M832" s="2996">
        <f t="shared" si="135"/>
        <v>1</v>
      </c>
      <c r="N832" s="2994"/>
      <c r="O832" s="2996">
        <f t="shared" si="136"/>
        <v>1</v>
      </c>
      <c r="P832" s="2994"/>
      <c r="Q832" s="2996">
        <f t="shared" si="137"/>
        <v>1</v>
      </c>
      <c r="R832" s="2997">
        <f t="shared" ca="1" si="138"/>
        <v>17087</v>
      </c>
      <c r="S832" s="2962">
        <f t="shared" ca="1" si="139"/>
        <v>322</v>
      </c>
    </row>
    <row r="833" spans="1:19">
      <c r="A833" s="2992" t="str">
        <f>Sheet1!F814</f>
        <v>2-1208</v>
      </c>
      <c r="B833" s="2992">
        <f>Sheet1!G814</f>
        <v>186.36</v>
      </c>
      <c r="C833" s="2996">
        <f t="shared" si="130"/>
        <v>0.99</v>
      </c>
      <c r="D833" s="2994"/>
      <c r="E833" s="2996">
        <f t="shared" si="131"/>
        <v>1</v>
      </c>
      <c r="F833" s="2994"/>
      <c r="G833" s="2996">
        <f t="shared" si="132"/>
        <v>1</v>
      </c>
      <c r="H833" s="2994"/>
      <c r="I833" s="2996">
        <f t="shared" si="133"/>
        <v>1</v>
      </c>
      <c r="J833" s="2994"/>
      <c r="K833" s="2996">
        <f t="shared" si="134"/>
        <v>1</v>
      </c>
      <c r="L833" s="2994"/>
      <c r="M833" s="2996">
        <f t="shared" si="135"/>
        <v>1</v>
      </c>
      <c r="N833" s="2994"/>
      <c r="O833" s="2996">
        <f t="shared" si="136"/>
        <v>1</v>
      </c>
      <c r="P833" s="2994"/>
      <c r="Q833" s="2996">
        <f t="shared" si="137"/>
        <v>1</v>
      </c>
      <c r="R833" s="2997">
        <f t="shared" ca="1" si="138"/>
        <v>17087</v>
      </c>
      <c r="S833" s="2962">
        <f t="shared" ca="1" si="139"/>
        <v>318</v>
      </c>
    </row>
    <row r="834" spans="1:19">
      <c r="A834" s="2992" t="str">
        <f>Sheet1!F815</f>
        <v>2-1209</v>
      </c>
      <c r="B834" s="2992">
        <f>Sheet1!G815</f>
        <v>188.36</v>
      </c>
      <c r="C834" s="2996">
        <f t="shared" si="130"/>
        <v>0.99</v>
      </c>
      <c r="D834" s="2994"/>
      <c r="E834" s="2996">
        <f t="shared" si="131"/>
        <v>1</v>
      </c>
      <c r="F834" s="2994"/>
      <c r="G834" s="2996">
        <f t="shared" si="132"/>
        <v>1</v>
      </c>
      <c r="H834" s="2994"/>
      <c r="I834" s="2996">
        <f t="shared" si="133"/>
        <v>1</v>
      </c>
      <c r="J834" s="2994"/>
      <c r="K834" s="2996">
        <f t="shared" si="134"/>
        <v>1</v>
      </c>
      <c r="L834" s="2994"/>
      <c r="M834" s="2996">
        <f t="shared" si="135"/>
        <v>1</v>
      </c>
      <c r="N834" s="2994"/>
      <c r="O834" s="2996">
        <f t="shared" si="136"/>
        <v>1</v>
      </c>
      <c r="P834" s="2994"/>
      <c r="Q834" s="2996">
        <f t="shared" si="137"/>
        <v>1</v>
      </c>
      <c r="R834" s="2997">
        <f t="shared" ca="1" si="138"/>
        <v>17087</v>
      </c>
      <c r="S834" s="2962">
        <f t="shared" ca="1" si="139"/>
        <v>322</v>
      </c>
    </row>
    <row r="835" spans="1:19">
      <c r="A835" s="2992" t="str">
        <f>Sheet1!F816</f>
        <v>2-1210</v>
      </c>
      <c r="B835" s="2992">
        <f>Sheet1!G816</f>
        <v>175.78</v>
      </c>
      <c r="C835" s="2996">
        <f t="shared" si="130"/>
        <v>0.99</v>
      </c>
      <c r="D835" s="2994"/>
      <c r="E835" s="2996">
        <f t="shared" si="131"/>
        <v>1</v>
      </c>
      <c r="F835" s="2994"/>
      <c r="G835" s="2996">
        <f t="shared" si="132"/>
        <v>1</v>
      </c>
      <c r="H835" s="2994"/>
      <c r="I835" s="2996">
        <f t="shared" si="133"/>
        <v>1</v>
      </c>
      <c r="J835" s="2994"/>
      <c r="K835" s="2996">
        <f t="shared" si="134"/>
        <v>1</v>
      </c>
      <c r="L835" s="2994"/>
      <c r="M835" s="2996">
        <f t="shared" si="135"/>
        <v>1</v>
      </c>
      <c r="N835" s="2994"/>
      <c r="O835" s="2996">
        <f t="shared" si="136"/>
        <v>1</v>
      </c>
      <c r="P835" s="2994"/>
      <c r="Q835" s="2996">
        <f t="shared" si="137"/>
        <v>1</v>
      </c>
      <c r="R835" s="2997">
        <f t="shared" ca="1" si="138"/>
        <v>17087</v>
      </c>
      <c r="S835" s="2962">
        <f t="shared" ca="1" si="139"/>
        <v>300</v>
      </c>
    </row>
    <row r="836" spans="1:19">
      <c r="A836" s="2992" t="str">
        <f>Sheet1!F817</f>
        <v>2-1211</v>
      </c>
      <c r="B836" s="2992">
        <f>Sheet1!G817</f>
        <v>279.95999999999998</v>
      </c>
      <c r="C836" s="2996">
        <f t="shared" si="130"/>
        <v>0.98</v>
      </c>
      <c r="D836" s="2994"/>
      <c r="E836" s="2996">
        <f t="shared" si="131"/>
        <v>1</v>
      </c>
      <c r="F836" s="2994"/>
      <c r="G836" s="2996">
        <f t="shared" si="132"/>
        <v>1</v>
      </c>
      <c r="H836" s="2994"/>
      <c r="I836" s="2996">
        <f t="shared" si="133"/>
        <v>1</v>
      </c>
      <c r="J836" s="2994"/>
      <c r="K836" s="2996">
        <f t="shared" si="134"/>
        <v>1</v>
      </c>
      <c r="L836" s="2994"/>
      <c r="M836" s="2996">
        <f t="shared" si="135"/>
        <v>1</v>
      </c>
      <c r="N836" s="2994"/>
      <c r="O836" s="2996">
        <f t="shared" si="136"/>
        <v>1</v>
      </c>
      <c r="P836" s="2994"/>
      <c r="Q836" s="2996">
        <f t="shared" si="137"/>
        <v>1</v>
      </c>
      <c r="R836" s="2997">
        <f t="shared" ca="1" si="138"/>
        <v>16915</v>
      </c>
      <c r="S836" s="2962">
        <f t="shared" ca="1" si="139"/>
        <v>474</v>
      </c>
    </row>
    <row r="837" spans="1:19">
      <c r="A837" s="2992" t="str">
        <f>Sheet1!F818</f>
        <v>2-1212</v>
      </c>
      <c r="B837" s="2992">
        <f>Sheet1!G818</f>
        <v>188.43</v>
      </c>
      <c r="C837" s="2996">
        <f t="shared" si="130"/>
        <v>0.99</v>
      </c>
      <c r="D837" s="2994"/>
      <c r="E837" s="2996">
        <f t="shared" si="131"/>
        <v>1</v>
      </c>
      <c r="F837" s="2994"/>
      <c r="G837" s="2996">
        <f t="shared" si="132"/>
        <v>1</v>
      </c>
      <c r="H837" s="2994"/>
      <c r="I837" s="2996">
        <f t="shared" si="133"/>
        <v>1</v>
      </c>
      <c r="J837" s="2994"/>
      <c r="K837" s="2996">
        <f t="shared" si="134"/>
        <v>1</v>
      </c>
      <c r="L837" s="2994"/>
      <c r="M837" s="2996">
        <f t="shared" si="135"/>
        <v>1</v>
      </c>
      <c r="N837" s="2994"/>
      <c r="O837" s="2996">
        <f t="shared" si="136"/>
        <v>1</v>
      </c>
      <c r="P837" s="2994"/>
      <c r="Q837" s="2996">
        <f t="shared" si="137"/>
        <v>1</v>
      </c>
      <c r="R837" s="2997">
        <f t="shared" ca="1" si="138"/>
        <v>17087</v>
      </c>
      <c r="S837" s="2962">
        <f t="shared" ca="1" si="139"/>
        <v>322</v>
      </c>
    </row>
    <row r="838" spans="1:19">
      <c r="A838" s="2992" t="str">
        <f>Sheet1!F819</f>
        <v>2-1213</v>
      </c>
      <c r="B838" s="2992">
        <f>Sheet1!G819</f>
        <v>188.43</v>
      </c>
      <c r="C838" s="2996">
        <f t="shared" si="130"/>
        <v>0.99</v>
      </c>
      <c r="D838" s="2994"/>
      <c r="E838" s="2996">
        <f t="shared" si="131"/>
        <v>1</v>
      </c>
      <c r="F838" s="2994"/>
      <c r="G838" s="2996">
        <f t="shared" si="132"/>
        <v>1</v>
      </c>
      <c r="H838" s="2994"/>
      <c r="I838" s="2996">
        <f t="shared" si="133"/>
        <v>1</v>
      </c>
      <c r="J838" s="2994"/>
      <c r="K838" s="2996">
        <f t="shared" si="134"/>
        <v>1</v>
      </c>
      <c r="L838" s="2994"/>
      <c r="M838" s="2996">
        <f t="shared" si="135"/>
        <v>1</v>
      </c>
      <c r="N838" s="2994"/>
      <c r="O838" s="2996">
        <f t="shared" si="136"/>
        <v>1</v>
      </c>
      <c r="P838" s="2994"/>
      <c r="Q838" s="2996">
        <f t="shared" si="137"/>
        <v>1</v>
      </c>
      <c r="R838" s="2997">
        <f t="shared" ca="1" si="138"/>
        <v>17087</v>
      </c>
      <c r="S838" s="2962">
        <f t="shared" ca="1" si="139"/>
        <v>322</v>
      </c>
    </row>
    <row r="839" spans="1:19">
      <c r="A839" s="2992" t="str">
        <f>Sheet1!F820</f>
        <v>2-1214</v>
      </c>
      <c r="B839" s="2992">
        <f>Sheet1!G820</f>
        <v>188.43</v>
      </c>
      <c r="C839" s="2996">
        <f t="shared" si="130"/>
        <v>0.99</v>
      </c>
      <c r="D839" s="2994"/>
      <c r="E839" s="2996">
        <f t="shared" si="131"/>
        <v>1</v>
      </c>
      <c r="F839" s="2994"/>
      <c r="G839" s="2996">
        <f t="shared" si="132"/>
        <v>1</v>
      </c>
      <c r="H839" s="2994"/>
      <c r="I839" s="2996">
        <f t="shared" si="133"/>
        <v>1</v>
      </c>
      <c r="J839" s="2994"/>
      <c r="K839" s="2996">
        <f t="shared" si="134"/>
        <v>1</v>
      </c>
      <c r="L839" s="2994"/>
      <c r="M839" s="2996">
        <f t="shared" si="135"/>
        <v>1</v>
      </c>
      <c r="N839" s="2994"/>
      <c r="O839" s="2996">
        <f t="shared" si="136"/>
        <v>1</v>
      </c>
      <c r="P839" s="2994"/>
      <c r="Q839" s="2996">
        <f t="shared" si="137"/>
        <v>1</v>
      </c>
      <c r="R839" s="2997">
        <f t="shared" ca="1" si="138"/>
        <v>17087</v>
      </c>
      <c r="S839" s="2962">
        <f t="shared" ca="1" si="139"/>
        <v>322</v>
      </c>
    </row>
    <row r="840" spans="1:19">
      <c r="A840" s="2992" t="str">
        <f>Sheet1!F821</f>
        <v>2-1215</v>
      </c>
      <c r="B840" s="2992">
        <f>Sheet1!G821</f>
        <v>188.43</v>
      </c>
      <c r="C840" s="2996">
        <f t="shared" si="130"/>
        <v>0.99</v>
      </c>
      <c r="D840" s="2994"/>
      <c r="E840" s="2996">
        <f t="shared" si="131"/>
        <v>1</v>
      </c>
      <c r="F840" s="2994"/>
      <c r="G840" s="2996">
        <f t="shared" si="132"/>
        <v>1</v>
      </c>
      <c r="H840" s="2994"/>
      <c r="I840" s="2996">
        <f t="shared" si="133"/>
        <v>1</v>
      </c>
      <c r="J840" s="2994"/>
      <c r="K840" s="2996">
        <f t="shared" si="134"/>
        <v>1</v>
      </c>
      <c r="L840" s="2994"/>
      <c r="M840" s="2996">
        <f t="shared" si="135"/>
        <v>1</v>
      </c>
      <c r="N840" s="2994"/>
      <c r="O840" s="2996">
        <f t="shared" si="136"/>
        <v>1</v>
      </c>
      <c r="P840" s="2994"/>
      <c r="Q840" s="2996">
        <f t="shared" si="137"/>
        <v>1</v>
      </c>
      <c r="R840" s="2997">
        <f t="shared" ca="1" si="138"/>
        <v>17087</v>
      </c>
      <c r="S840" s="2962">
        <f t="shared" ca="1" si="139"/>
        <v>322</v>
      </c>
    </row>
    <row r="841" spans="1:19">
      <c r="A841" s="2992" t="str">
        <f>Sheet1!F822</f>
        <v>2-1216</v>
      </c>
      <c r="B841" s="2992">
        <f>Sheet1!G822</f>
        <v>188.43</v>
      </c>
      <c r="C841" s="2996">
        <f t="shared" si="130"/>
        <v>0.99</v>
      </c>
      <c r="D841" s="2994"/>
      <c r="E841" s="2996">
        <f t="shared" si="131"/>
        <v>1</v>
      </c>
      <c r="F841" s="2994"/>
      <c r="G841" s="2996">
        <f t="shared" si="132"/>
        <v>1</v>
      </c>
      <c r="H841" s="2994"/>
      <c r="I841" s="2996">
        <f t="shared" si="133"/>
        <v>1</v>
      </c>
      <c r="J841" s="2994"/>
      <c r="K841" s="2996">
        <f t="shared" si="134"/>
        <v>1</v>
      </c>
      <c r="L841" s="2994"/>
      <c r="M841" s="2996">
        <f t="shared" si="135"/>
        <v>1</v>
      </c>
      <c r="N841" s="2994"/>
      <c r="O841" s="2996">
        <f t="shared" si="136"/>
        <v>1</v>
      </c>
      <c r="P841" s="2994"/>
      <c r="Q841" s="2996">
        <f t="shared" si="137"/>
        <v>1</v>
      </c>
      <c r="R841" s="2997">
        <f t="shared" ca="1" si="138"/>
        <v>17087</v>
      </c>
      <c r="S841" s="2962">
        <f t="shared" ca="1" si="139"/>
        <v>322</v>
      </c>
    </row>
    <row r="842" spans="1:19">
      <c r="A842" s="2992" t="str">
        <f>Sheet1!F823</f>
        <v>2-1217</v>
      </c>
      <c r="B842" s="2992">
        <f>Sheet1!G823</f>
        <v>188.38</v>
      </c>
      <c r="C842" s="2996">
        <f t="shared" si="130"/>
        <v>0.99</v>
      </c>
      <c r="D842" s="2994"/>
      <c r="E842" s="2996">
        <f t="shared" si="131"/>
        <v>1</v>
      </c>
      <c r="F842" s="2994"/>
      <c r="G842" s="2996">
        <f t="shared" si="132"/>
        <v>1</v>
      </c>
      <c r="H842" s="2994"/>
      <c r="I842" s="2996">
        <f t="shared" si="133"/>
        <v>1</v>
      </c>
      <c r="J842" s="2994"/>
      <c r="K842" s="2996">
        <f t="shared" si="134"/>
        <v>1</v>
      </c>
      <c r="L842" s="2994"/>
      <c r="M842" s="2996">
        <f t="shared" si="135"/>
        <v>1</v>
      </c>
      <c r="N842" s="2994"/>
      <c r="O842" s="2996">
        <f t="shared" si="136"/>
        <v>1</v>
      </c>
      <c r="P842" s="2994"/>
      <c r="Q842" s="2996">
        <f t="shared" si="137"/>
        <v>1</v>
      </c>
      <c r="R842" s="2997">
        <f t="shared" ca="1" si="138"/>
        <v>17087</v>
      </c>
      <c r="S842" s="2962">
        <f t="shared" ca="1" si="139"/>
        <v>322</v>
      </c>
    </row>
    <row r="843" spans="1:19">
      <c r="A843" s="2992" t="str">
        <f>Sheet1!F824</f>
        <v>2-1218</v>
      </c>
      <c r="B843" s="2992">
        <f>Sheet1!G824</f>
        <v>208.95</v>
      </c>
      <c r="C843" s="2996">
        <f t="shared" si="130"/>
        <v>0.98</v>
      </c>
      <c r="D843" s="2994"/>
      <c r="E843" s="2996">
        <f t="shared" si="131"/>
        <v>1</v>
      </c>
      <c r="F843" s="2994"/>
      <c r="G843" s="2996">
        <f t="shared" si="132"/>
        <v>1</v>
      </c>
      <c r="H843" s="2994"/>
      <c r="I843" s="2996">
        <f t="shared" si="133"/>
        <v>1</v>
      </c>
      <c r="J843" s="2994"/>
      <c r="K843" s="2996">
        <f t="shared" si="134"/>
        <v>1</v>
      </c>
      <c r="L843" s="2994"/>
      <c r="M843" s="2996">
        <f t="shared" si="135"/>
        <v>1</v>
      </c>
      <c r="N843" s="2994"/>
      <c r="O843" s="2996">
        <f t="shared" si="136"/>
        <v>1</v>
      </c>
      <c r="P843" s="2994"/>
      <c r="Q843" s="2996">
        <f t="shared" si="137"/>
        <v>1</v>
      </c>
      <c r="R843" s="2997">
        <f t="shared" ca="1" si="138"/>
        <v>16915</v>
      </c>
      <c r="S843" s="2962">
        <f t="shared" ca="1" si="139"/>
        <v>353</v>
      </c>
    </row>
    <row r="844" spans="1:19">
      <c r="A844" s="2992" t="str">
        <f>Sheet1!F825</f>
        <v>2-1219</v>
      </c>
      <c r="B844" s="2992">
        <f>Sheet1!G825</f>
        <v>189.85</v>
      </c>
      <c r="C844" s="2996">
        <f t="shared" si="130"/>
        <v>0.99</v>
      </c>
      <c r="D844" s="2994"/>
      <c r="E844" s="2996">
        <f t="shared" si="131"/>
        <v>1</v>
      </c>
      <c r="F844" s="2994"/>
      <c r="G844" s="2996">
        <f t="shared" si="132"/>
        <v>1</v>
      </c>
      <c r="H844" s="2994"/>
      <c r="I844" s="2996">
        <f t="shared" si="133"/>
        <v>1</v>
      </c>
      <c r="J844" s="2994"/>
      <c r="K844" s="2996">
        <f t="shared" si="134"/>
        <v>1</v>
      </c>
      <c r="L844" s="2994"/>
      <c r="M844" s="2996">
        <f t="shared" si="135"/>
        <v>1</v>
      </c>
      <c r="N844" s="2994"/>
      <c r="O844" s="2996">
        <f t="shared" si="136"/>
        <v>1</v>
      </c>
      <c r="P844" s="2994"/>
      <c r="Q844" s="2996">
        <f t="shared" si="137"/>
        <v>1</v>
      </c>
      <c r="R844" s="2997">
        <f t="shared" ca="1" si="138"/>
        <v>17087</v>
      </c>
      <c r="S844" s="2962">
        <f t="shared" ca="1" si="139"/>
        <v>324</v>
      </c>
    </row>
    <row r="845" spans="1:19">
      <c r="A845" s="2992" t="str">
        <f>Sheet1!F826</f>
        <v>2-1220</v>
      </c>
      <c r="B845" s="2992">
        <f>Sheet1!G826</f>
        <v>169.23</v>
      </c>
      <c r="C845" s="2996">
        <f t="shared" ref="C845:C908" si="140">IF(B845="",1,(LOOKUP(B845,$3:$3,$4:$4)-LOOKUP($B$24,$3:$3,$4:$4)+100)/100)</f>
        <v>0.99</v>
      </c>
      <c r="D845" s="2994"/>
      <c r="E845" s="2996">
        <f t="shared" ref="E845:E908" si="141">(SUMIF($5:$5,D845,$6:$6)-SUMIF($5:$5,$D$24,$6:$6)+100)/100</f>
        <v>1</v>
      </c>
      <c r="F845" s="2994"/>
      <c r="G845" s="2996">
        <f t="shared" ref="G845:G908" si="142">(SUMIF($7:$7,F845,$8:$8)-SUMIF($7:$7,$F$24,$8:$8)+100)/100</f>
        <v>1</v>
      </c>
      <c r="H845" s="2994"/>
      <c r="I845" s="2996">
        <f t="shared" ref="I845:I908" si="143">(SUMIF($9:$9,H845,$10:$10)-SUMIF($9:$9,$H$24,$10:$10)+100)/100</f>
        <v>1</v>
      </c>
      <c r="J845" s="2994"/>
      <c r="K845" s="2996">
        <f t="shared" ref="K845:K908" si="144">(SUMIF($11:$11,J845,$12:$12)-SUMIF($11:$11,$J$24,$12:$12)+100)/100</f>
        <v>1</v>
      </c>
      <c r="L845" s="2994"/>
      <c r="M845" s="2996">
        <f t="shared" ref="M845:M908" si="145">(SUMIF($13:$13,L845,$14:$14)-SUMIF($13:$13,$L$24,$14:$14)+100)/100</f>
        <v>1</v>
      </c>
      <c r="N845" s="2994"/>
      <c r="O845" s="2996">
        <f t="shared" ref="O845:O908" si="146">(SUMIF($15:$15,N845,$16:$16)-SUMIF($15:$15,$N$24,$16:$16)+100)/100</f>
        <v>1</v>
      </c>
      <c r="P845" s="2994"/>
      <c r="Q845" s="2996">
        <f t="shared" ref="Q845:Q908" si="147">(SUMIF($17:$17,P845,$18:$18)-SUMIF($17:$17,$P$24,$18:$18)+100)/100</f>
        <v>1</v>
      </c>
      <c r="R845" s="2997">
        <f t="shared" ref="R845:R908" ca="1" si="148">IF(B845="",0,ROUND($R$24*C845*E845*G845*I845*K845*M845*O845*Q845,0))</f>
        <v>17087</v>
      </c>
      <c r="S845" s="2962">
        <f t="shared" ref="S845:S908" ca="1" si="149">ROUND(R845*B845/10000,0)</f>
        <v>289</v>
      </c>
    </row>
    <row r="846" spans="1:19">
      <c r="A846" s="2992" t="str">
        <f>Sheet1!F827</f>
        <v>3-1201</v>
      </c>
      <c r="B846" s="2992">
        <f>Sheet1!G827</f>
        <v>55.7</v>
      </c>
      <c r="C846" s="2996">
        <f t="shared" si="140"/>
        <v>1</v>
      </c>
      <c r="D846" s="2994"/>
      <c r="E846" s="2996">
        <f t="shared" si="141"/>
        <v>1</v>
      </c>
      <c r="F846" s="2994"/>
      <c r="G846" s="2996">
        <f t="shared" si="142"/>
        <v>1</v>
      </c>
      <c r="H846" s="2994"/>
      <c r="I846" s="2996">
        <f t="shared" si="143"/>
        <v>1</v>
      </c>
      <c r="J846" s="2994"/>
      <c r="K846" s="2996">
        <f t="shared" si="144"/>
        <v>1</v>
      </c>
      <c r="L846" s="2994"/>
      <c r="M846" s="2996">
        <f t="shared" si="145"/>
        <v>1</v>
      </c>
      <c r="N846" s="2994"/>
      <c r="O846" s="2996">
        <f t="shared" si="146"/>
        <v>1</v>
      </c>
      <c r="P846" s="2994"/>
      <c r="Q846" s="2996">
        <f t="shared" si="147"/>
        <v>1</v>
      </c>
      <c r="R846" s="2997">
        <f t="shared" ca="1" si="148"/>
        <v>17260</v>
      </c>
      <c r="S846" s="2962">
        <f t="shared" ca="1" si="149"/>
        <v>96</v>
      </c>
    </row>
    <row r="847" spans="1:19">
      <c r="A847" s="2992" t="str">
        <f>Sheet1!F828</f>
        <v>3-1202</v>
      </c>
      <c r="B847" s="2992">
        <f>Sheet1!G828</f>
        <v>49.53</v>
      </c>
      <c r="C847" s="2996">
        <f t="shared" si="140"/>
        <v>1</v>
      </c>
      <c r="D847" s="2994"/>
      <c r="E847" s="2996">
        <f t="shared" si="141"/>
        <v>1</v>
      </c>
      <c r="F847" s="2994"/>
      <c r="G847" s="2996">
        <f t="shared" si="142"/>
        <v>1</v>
      </c>
      <c r="H847" s="2994"/>
      <c r="I847" s="2996">
        <f t="shared" si="143"/>
        <v>1</v>
      </c>
      <c r="J847" s="2994"/>
      <c r="K847" s="2996">
        <f t="shared" si="144"/>
        <v>1</v>
      </c>
      <c r="L847" s="2994"/>
      <c r="M847" s="2996">
        <f t="shared" si="145"/>
        <v>1</v>
      </c>
      <c r="N847" s="2994"/>
      <c r="O847" s="2996">
        <f t="shared" si="146"/>
        <v>1</v>
      </c>
      <c r="P847" s="2994"/>
      <c r="Q847" s="2996">
        <f t="shared" si="147"/>
        <v>1</v>
      </c>
      <c r="R847" s="2997">
        <f t="shared" ca="1" si="148"/>
        <v>17260</v>
      </c>
      <c r="S847" s="2962">
        <f t="shared" ca="1" si="149"/>
        <v>85</v>
      </c>
    </row>
    <row r="848" spans="1:19">
      <c r="A848" s="2992" t="str">
        <f>Sheet1!F829</f>
        <v>3-1203</v>
      </c>
      <c r="B848" s="2992">
        <f>Sheet1!G829</f>
        <v>50.63</v>
      </c>
      <c r="C848" s="2996">
        <f t="shared" si="140"/>
        <v>1</v>
      </c>
      <c r="D848" s="2994"/>
      <c r="E848" s="2996">
        <f t="shared" si="141"/>
        <v>1</v>
      </c>
      <c r="F848" s="2994"/>
      <c r="G848" s="2996">
        <f t="shared" si="142"/>
        <v>1</v>
      </c>
      <c r="H848" s="2994"/>
      <c r="I848" s="2996">
        <f t="shared" si="143"/>
        <v>1</v>
      </c>
      <c r="J848" s="2994"/>
      <c r="K848" s="2996">
        <f t="shared" si="144"/>
        <v>1</v>
      </c>
      <c r="L848" s="2994"/>
      <c r="M848" s="2996">
        <f t="shared" si="145"/>
        <v>1</v>
      </c>
      <c r="N848" s="2994"/>
      <c r="O848" s="2996">
        <f t="shared" si="146"/>
        <v>1</v>
      </c>
      <c r="P848" s="2994"/>
      <c r="Q848" s="2996">
        <f t="shared" si="147"/>
        <v>1</v>
      </c>
      <c r="R848" s="2997">
        <f t="shared" ca="1" si="148"/>
        <v>17260</v>
      </c>
      <c r="S848" s="2962">
        <f t="shared" ca="1" si="149"/>
        <v>87</v>
      </c>
    </row>
    <row r="849" spans="1:19">
      <c r="A849" s="2992" t="str">
        <f>Sheet1!F830</f>
        <v>3-1204</v>
      </c>
      <c r="B849" s="2992">
        <f>Sheet1!G830</f>
        <v>50.63</v>
      </c>
      <c r="C849" s="2996">
        <f t="shared" si="140"/>
        <v>1</v>
      </c>
      <c r="D849" s="2994"/>
      <c r="E849" s="2996">
        <f t="shared" si="141"/>
        <v>1</v>
      </c>
      <c r="F849" s="2994"/>
      <c r="G849" s="2996">
        <f t="shared" si="142"/>
        <v>1</v>
      </c>
      <c r="H849" s="2994"/>
      <c r="I849" s="2996">
        <f t="shared" si="143"/>
        <v>1</v>
      </c>
      <c r="J849" s="2994"/>
      <c r="K849" s="2996">
        <f t="shared" si="144"/>
        <v>1</v>
      </c>
      <c r="L849" s="2994"/>
      <c r="M849" s="2996">
        <f t="shared" si="145"/>
        <v>1</v>
      </c>
      <c r="N849" s="2994"/>
      <c r="O849" s="2996">
        <f t="shared" si="146"/>
        <v>1</v>
      </c>
      <c r="P849" s="2994"/>
      <c r="Q849" s="2996">
        <f t="shared" si="147"/>
        <v>1</v>
      </c>
      <c r="R849" s="2997">
        <f t="shared" ca="1" si="148"/>
        <v>17260</v>
      </c>
      <c r="S849" s="2962">
        <f t="shared" ca="1" si="149"/>
        <v>87</v>
      </c>
    </row>
    <row r="850" spans="1:19">
      <c r="A850" s="2992" t="str">
        <f>Sheet1!F831</f>
        <v>3-1205</v>
      </c>
      <c r="B850" s="2992">
        <f>Sheet1!G831</f>
        <v>50.63</v>
      </c>
      <c r="C850" s="2996">
        <f t="shared" si="140"/>
        <v>1</v>
      </c>
      <c r="D850" s="2994"/>
      <c r="E850" s="2996">
        <f t="shared" si="141"/>
        <v>1</v>
      </c>
      <c r="F850" s="2994"/>
      <c r="G850" s="2996">
        <f t="shared" si="142"/>
        <v>1</v>
      </c>
      <c r="H850" s="2994"/>
      <c r="I850" s="2996">
        <f t="shared" si="143"/>
        <v>1</v>
      </c>
      <c r="J850" s="2994"/>
      <c r="K850" s="2996">
        <f t="shared" si="144"/>
        <v>1</v>
      </c>
      <c r="L850" s="2994"/>
      <c r="M850" s="2996">
        <f t="shared" si="145"/>
        <v>1</v>
      </c>
      <c r="N850" s="2994"/>
      <c r="O850" s="2996">
        <f t="shared" si="146"/>
        <v>1</v>
      </c>
      <c r="P850" s="2994"/>
      <c r="Q850" s="2996">
        <f t="shared" si="147"/>
        <v>1</v>
      </c>
      <c r="R850" s="2997">
        <f t="shared" ca="1" si="148"/>
        <v>17260</v>
      </c>
      <c r="S850" s="2962">
        <f t="shared" ca="1" si="149"/>
        <v>87</v>
      </c>
    </row>
    <row r="851" spans="1:19">
      <c r="A851" s="2992" t="str">
        <f>Sheet1!F832</f>
        <v>3-1206</v>
      </c>
      <c r="B851" s="2992">
        <f>Sheet1!G832</f>
        <v>50.63</v>
      </c>
      <c r="C851" s="2996">
        <f t="shared" si="140"/>
        <v>1</v>
      </c>
      <c r="D851" s="2994"/>
      <c r="E851" s="2996">
        <f t="shared" si="141"/>
        <v>1</v>
      </c>
      <c r="F851" s="2994"/>
      <c r="G851" s="2996">
        <f t="shared" si="142"/>
        <v>1</v>
      </c>
      <c r="H851" s="2994"/>
      <c r="I851" s="2996">
        <f t="shared" si="143"/>
        <v>1</v>
      </c>
      <c r="J851" s="2994"/>
      <c r="K851" s="2996">
        <f t="shared" si="144"/>
        <v>1</v>
      </c>
      <c r="L851" s="2994"/>
      <c r="M851" s="2996">
        <f t="shared" si="145"/>
        <v>1</v>
      </c>
      <c r="N851" s="2994"/>
      <c r="O851" s="2996">
        <f t="shared" si="146"/>
        <v>1</v>
      </c>
      <c r="P851" s="2994"/>
      <c r="Q851" s="2996">
        <f t="shared" si="147"/>
        <v>1</v>
      </c>
      <c r="R851" s="2997">
        <f t="shared" ca="1" si="148"/>
        <v>17260</v>
      </c>
      <c r="S851" s="2962">
        <f t="shared" ca="1" si="149"/>
        <v>87</v>
      </c>
    </row>
    <row r="852" spans="1:19">
      <c r="A852" s="2992" t="str">
        <f>Sheet1!F833</f>
        <v>3-1207</v>
      </c>
      <c r="B852" s="2992">
        <f>Sheet1!G833</f>
        <v>50.63</v>
      </c>
      <c r="C852" s="2996">
        <f t="shared" si="140"/>
        <v>1</v>
      </c>
      <c r="D852" s="2994"/>
      <c r="E852" s="2996">
        <f t="shared" si="141"/>
        <v>1</v>
      </c>
      <c r="F852" s="2994"/>
      <c r="G852" s="2996">
        <f t="shared" si="142"/>
        <v>1</v>
      </c>
      <c r="H852" s="2994"/>
      <c r="I852" s="2996">
        <f t="shared" si="143"/>
        <v>1</v>
      </c>
      <c r="J852" s="2994"/>
      <c r="K852" s="2996">
        <f t="shared" si="144"/>
        <v>1</v>
      </c>
      <c r="L852" s="2994"/>
      <c r="M852" s="2996">
        <f t="shared" si="145"/>
        <v>1</v>
      </c>
      <c r="N852" s="2994"/>
      <c r="O852" s="2996">
        <f t="shared" si="146"/>
        <v>1</v>
      </c>
      <c r="P852" s="2994"/>
      <c r="Q852" s="2996">
        <f t="shared" si="147"/>
        <v>1</v>
      </c>
      <c r="R852" s="2997">
        <f t="shared" ca="1" si="148"/>
        <v>17260</v>
      </c>
      <c r="S852" s="2962">
        <f t="shared" ca="1" si="149"/>
        <v>87</v>
      </c>
    </row>
    <row r="853" spans="1:19">
      <c r="A853" s="2992" t="str">
        <f>Sheet1!F834</f>
        <v>3-1208</v>
      </c>
      <c r="B853" s="2992">
        <f>Sheet1!G834</f>
        <v>50.63</v>
      </c>
      <c r="C853" s="2996">
        <f t="shared" si="140"/>
        <v>1</v>
      </c>
      <c r="D853" s="2994"/>
      <c r="E853" s="2996">
        <f t="shared" si="141"/>
        <v>1</v>
      </c>
      <c r="F853" s="2994"/>
      <c r="G853" s="2996">
        <f t="shared" si="142"/>
        <v>1</v>
      </c>
      <c r="H853" s="2994"/>
      <c r="I853" s="2996">
        <f t="shared" si="143"/>
        <v>1</v>
      </c>
      <c r="J853" s="2994"/>
      <c r="K853" s="2996">
        <f t="shared" si="144"/>
        <v>1</v>
      </c>
      <c r="L853" s="2994"/>
      <c r="M853" s="2996">
        <f t="shared" si="145"/>
        <v>1</v>
      </c>
      <c r="N853" s="2994"/>
      <c r="O853" s="2996">
        <f t="shared" si="146"/>
        <v>1</v>
      </c>
      <c r="P853" s="2994"/>
      <c r="Q853" s="2996">
        <f t="shared" si="147"/>
        <v>1</v>
      </c>
      <c r="R853" s="2997">
        <f t="shared" ca="1" si="148"/>
        <v>17260</v>
      </c>
      <c r="S853" s="2962">
        <f t="shared" ca="1" si="149"/>
        <v>87</v>
      </c>
    </row>
    <row r="854" spans="1:19">
      <c r="A854" s="2992" t="str">
        <f>Sheet1!F835</f>
        <v>3-1209</v>
      </c>
      <c r="B854" s="2992">
        <f>Sheet1!G835</f>
        <v>50.63</v>
      </c>
      <c r="C854" s="2996">
        <f t="shared" si="140"/>
        <v>1</v>
      </c>
      <c r="D854" s="2994"/>
      <c r="E854" s="2996">
        <f t="shared" si="141"/>
        <v>1</v>
      </c>
      <c r="F854" s="2994"/>
      <c r="G854" s="2996">
        <f t="shared" si="142"/>
        <v>1</v>
      </c>
      <c r="H854" s="2994"/>
      <c r="I854" s="2996">
        <f t="shared" si="143"/>
        <v>1</v>
      </c>
      <c r="J854" s="2994"/>
      <c r="K854" s="2996">
        <f t="shared" si="144"/>
        <v>1</v>
      </c>
      <c r="L854" s="2994"/>
      <c r="M854" s="2996">
        <f t="shared" si="145"/>
        <v>1</v>
      </c>
      <c r="N854" s="2994"/>
      <c r="O854" s="2996">
        <f t="shared" si="146"/>
        <v>1</v>
      </c>
      <c r="P854" s="2994"/>
      <c r="Q854" s="2996">
        <f t="shared" si="147"/>
        <v>1</v>
      </c>
      <c r="R854" s="2997">
        <f t="shared" ca="1" si="148"/>
        <v>17260</v>
      </c>
      <c r="S854" s="2962">
        <f t="shared" ca="1" si="149"/>
        <v>87</v>
      </c>
    </row>
    <row r="855" spans="1:19">
      <c r="A855" s="2992" t="str">
        <f>Sheet1!F836</f>
        <v>3-1210</v>
      </c>
      <c r="B855" s="2992">
        <f>Sheet1!G836</f>
        <v>50.63</v>
      </c>
      <c r="C855" s="2996">
        <f t="shared" si="140"/>
        <v>1</v>
      </c>
      <c r="D855" s="2994"/>
      <c r="E855" s="2996">
        <f t="shared" si="141"/>
        <v>1</v>
      </c>
      <c r="F855" s="2994"/>
      <c r="G855" s="2996">
        <f t="shared" si="142"/>
        <v>1</v>
      </c>
      <c r="H855" s="2994"/>
      <c r="I855" s="2996">
        <f t="shared" si="143"/>
        <v>1</v>
      </c>
      <c r="J855" s="2994"/>
      <c r="K855" s="2996">
        <f t="shared" si="144"/>
        <v>1</v>
      </c>
      <c r="L855" s="2994"/>
      <c r="M855" s="2996">
        <f t="shared" si="145"/>
        <v>1</v>
      </c>
      <c r="N855" s="2994"/>
      <c r="O855" s="2996">
        <f t="shared" si="146"/>
        <v>1</v>
      </c>
      <c r="P855" s="2994"/>
      <c r="Q855" s="2996">
        <f t="shared" si="147"/>
        <v>1</v>
      </c>
      <c r="R855" s="2997">
        <f t="shared" ca="1" si="148"/>
        <v>17260</v>
      </c>
      <c r="S855" s="2962">
        <f t="shared" ca="1" si="149"/>
        <v>87</v>
      </c>
    </row>
    <row r="856" spans="1:19">
      <c r="A856" s="2992" t="str">
        <f>Sheet1!F837</f>
        <v>3-1211</v>
      </c>
      <c r="B856" s="2992">
        <f>Sheet1!G837</f>
        <v>50.63</v>
      </c>
      <c r="C856" s="2996">
        <f t="shared" si="140"/>
        <v>1</v>
      </c>
      <c r="D856" s="2994"/>
      <c r="E856" s="2996">
        <f t="shared" si="141"/>
        <v>1</v>
      </c>
      <c r="F856" s="2994"/>
      <c r="G856" s="2996">
        <f t="shared" si="142"/>
        <v>1</v>
      </c>
      <c r="H856" s="2994"/>
      <c r="I856" s="2996">
        <f t="shared" si="143"/>
        <v>1</v>
      </c>
      <c r="J856" s="2994"/>
      <c r="K856" s="2996">
        <f t="shared" si="144"/>
        <v>1</v>
      </c>
      <c r="L856" s="2994"/>
      <c r="M856" s="2996">
        <f t="shared" si="145"/>
        <v>1</v>
      </c>
      <c r="N856" s="2994"/>
      <c r="O856" s="2996">
        <f t="shared" si="146"/>
        <v>1</v>
      </c>
      <c r="P856" s="2994"/>
      <c r="Q856" s="2996">
        <f t="shared" si="147"/>
        <v>1</v>
      </c>
      <c r="R856" s="2997">
        <f t="shared" ca="1" si="148"/>
        <v>17260</v>
      </c>
      <c r="S856" s="2962">
        <f t="shared" ca="1" si="149"/>
        <v>87</v>
      </c>
    </row>
    <row r="857" spans="1:19">
      <c r="A857" s="2992" t="str">
        <f>Sheet1!F838</f>
        <v>3-1212</v>
      </c>
      <c r="B857" s="2992">
        <f>Sheet1!G838</f>
        <v>50.63</v>
      </c>
      <c r="C857" s="2996">
        <f t="shared" si="140"/>
        <v>1</v>
      </c>
      <c r="D857" s="2994"/>
      <c r="E857" s="2996">
        <f t="shared" si="141"/>
        <v>1</v>
      </c>
      <c r="F857" s="2994"/>
      <c r="G857" s="2996">
        <f t="shared" si="142"/>
        <v>1</v>
      </c>
      <c r="H857" s="2994"/>
      <c r="I857" s="2996">
        <f t="shared" si="143"/>
        <v>1</v>
      </c>
      <c r="J857" s="2994"/>
      <c r="K857" s="2996">
        <f t="shared" si="144"/>
        <v>1</v>
      </c>
      <c r="L857" s="2994"/>
      <c r="M857" s="2996">
        <f t="shared" si="145"/>
        <v>1</v>
      </c>
      <c r="N857" s="2994"/>
      <c r="O857" s="2996">
        <f t="shared" si="146"/>
        <v>1</v>
      </c>
      <c r="P857" s="2994"/>
      <c r="Q857" s="2996">
        <f t="shared" si="147"/>
        <v>1</v>
      </c>
      <c r="R857" s="2997">
        <f t="shared" ca="1" si="148"/>
        <v>17260</v>
      </c>
      <c r="S857" s="2962">
        <f t="shared" ca="1" si="149"/>
        <v>87</v>
      </c>
    </row>
    <row r="858" spans="1:19">
      <c r="A858" s="2992" t="str">
        <f>Sheet1!F839</f>
        <v>3-1213</v>
      </c>
      <c r="B858" s="2992">
        <f>Sheet1!G839</f>
        <v>49.61</v>
      </c>
      <c r="C858" s="2996">
        <f t="shared" si="140"/>
        <v>1</v>
      </c>
      <c r="D858" s="2994"/>
      <c r="E858" s="2996">
        <f t="shared" si="141"/>
        <v>1</v>
      </c>
      <c r="F858" s="2994"/>
      <c r="G858" s="2996">
        <f t="shared" si="142"/>
        <v>1</v>
      </c>
      <c r="H858" s="2994"/>
      <c r="I858" s="2996">
        <f t="shared" si="143"/>
        <v>1</v>
      </c>
      <c r="J858" s="2994"/>
      <c r="K858" s="2996">
        <f t="shared" si="144"/>
        <v>1</v>
      </c>
      <c r="L858" s="2994"/>
      <c r="M858" s="2996">
        <f t="shared" si="145"/>
        <v>1</v>
      </c>
      <c r="N858" s="2994"/>
      <c r="O858" s="2996">
        <f t="shared" si="146"/>
        <v>1</v>
      </c>
      <c r="P858" s="2994"/>
      <c r="Q858" s="2996">
        <f t="shared" si="147"/>
        <v>1</v>
      </c>
      <c r="R858" s="2997">
        <f t="shared" ca="1" si="148"/>
        <v>17260</v>
      </c>
      <c r="S858" s="2962">
        <f t="shared" ca="1" si="149"/>
        <v>86</v>
      </c>
    </row>
    <row r="859" spans="1:19">
      <c r="A859" s="2992" t="str">
        <f>Sheet1!F840</f>
        <v>3-1214</v>
      </c>
      <c r="B859" s="2992">
        <f>Sheet1!G840</f>
        <v>46.31</v>
      </c>
      <c r="C859" s="2996">
        <f t="shared" si="140"/>
        <v>1</v>
      </c>
      <c r="D859" s="2994"/>
      <c r="E859" s="2996">
        <f t="shared" si="141"/>
        <v>1</v>
      </c>
      <c r="F859" s="2994"/>
      <c r="G859" s="2996">
        <f t="shared" si="142"/>
        <v>1</v>
      </c>
      <c r="H859" s="2994"/>
      <c r="I859" s="2996">
        <f t="shared" si="143"/>
        <v>1</v>
      </c>
      <c r="J859" s="2994"/>
      <c r="K859" s="2996">
        <f t="shared" si="144"/>
        <v>1</v>
      </c>
      <c r="L859" s="2994"/>
      <c r="M859" s="2996">
        <f t="shared" si="145"/>
        <v>1</v>
      </c>
      <c r="N859" s="2994"/>
      <c r="O859" s="2996">
        <f t="shared" si="146"/>
        <v>1</v>
      </c>
      <c r="P859" s="2994"/>
      <c r="Q859" s="2996">
        <f t="shared" si="147"/>
        <v>1</v>
      </c>
      <c r="R859" s="2997">
        <f t="shared" ca="1" si="148"/>
        <v>17260</v>
      </c>
      <c r="S859" s="2962">
        <f t="shared" ca="1" si="149"/>
        <v>80</v>
      </c>
    </row>
    <row r="860" spans="1:19">
      <c r="A860" s="2992" t="str">
        <f>Sheet1!F841</f>
        <v>3-1215</v>
      </c>
      <c r="B860" s="2992">
        <f>Sheet1!G841</f>
        <v>50.63</v>
      </c>
      <c r="C860" s="2996">
        <f t="shared" si="140"/>
        <v>1</v>
      </c>
      <c r="D860" s="2994"/>
      <c r="E860" s="2996">
        <f t="shared" si="141"/>
        <v>1</v>
      </c>
      <c r="F860" s="2994"/>
      <c r="G860" s="2996">
        <f t="shared" si="142"/>
        <v>1</v>
      </c>
      <c r="H860" s="2994"/>
      <c r="I860" s="2996">
        <f t="shared" si="143"/>
        <v>1</v>
      </c>
      <c r="J860" s="2994"/>
      <c r="K860" s="2996">
        <f t="shared" si="144"/>
        <v>1</v>
      </c>
      <c r="L860" s="2994"/>
      <c r="M860" s="2996">
        <f t="shared" si="145"/>
        <v>1</v>
      </c>
      <c r="N860" s="2994"/>
      <c r="O860" s="2996">
        <f t="shared" si="146"/>
        <v>1</v>
      </c>
      <c r="P860" s="2994"/>
      <c r="Q860" s="2996">
        <f t="shared" si="147"/>
        <v>1</v>
      </c>
      <c r="R860" s="2997">
        <f t="shared" ca="1" si="148"/>
        <v>17260</v>
      </c>
      <c r="S860" s="2962">
        <f t="shared" ca="1" si="149"/>
        <v>87</v>
      </c>
    </row>
    <row r="861" spans="1:19">
      <c r="A861" s="2992" t="str">
        <f>Sheet1!F842</f>
        <v>3-1216</v>
      </c>
      <c r="B861" s="2992">
        <f>Sheet1!G842</f>
        <v>50.63</v>
      </c>
      <c r="C861" s="2996">
        <f t="shared" si="140"/>
        <v>1</v>
      </c>
      <c r="D861" s="2994"/>
      <c r="E861" s="2996">
        <f t="shared" si="141"/>
        <v>1</v>
      </c>
      <c r="F861" s="2994"/>
      <c r="G861" s="2996">
        <f t="shared" si="142"/>
        <v>1</v>
      </c>
      <c r="H861" s="2994"/>
      <c r="I861" s="2996">
        <f t="shared" si="143"/>
        <v>1</v>
      </c>
      <c r="J861" s="2994"/>
      <c r="K861" s="2996">
        <f t="shared" si="144"/>
        <v>1</v>
      </c>
      <c r="L861" s="2994"/>
      <c r="M861" s="2996">
        <f t="shared" si="145"/>
        <v>1</v>
      </c>
      <c r="N861" s="2994"/>
      <c r="O861" s="2996">
        <f t="shared" si="146"/>
        <v>1</v>
      </c>
      <c r="P861" s="2994"/>
      <c r="Q861" s="2996">
        <f t="shared" si="147"/>
        <v>1</v>
      </c>
      <c r="R861" s="2997">
        <f t="shared" ca="1" si="148"/>
        <v>17260</v>
      </c>
      <c r="S861" s="2962">
        <f t="shared" ca="1" si="149"/>
        <v>87</v>
      </c>
    </row>
    <row r="862" spans="1:19">
      <c r="A862" s="2992" t="str">
        <f>Sheet1!F843</f>
        <v>3-1217</v>
      </c>
      <c r="B862" s="2992">
        <f>Sheet1!G843</f>
        <v>62.54</v>
      </c>
      <c r="C862" s="2996">
        <f t="shared" si="140"/>
        <v>1</v>
      </c>
      <c r="D862" s="2994"/>
      <c r="E862" s="2996">
        <f t="shared" si="141"/>
        <v>1</v>
      </c>
      <c r="F862" s="2994"/>
      <c r="G862" s="2996">
        <f t="shared" si="142"/>
        <v>1</v>
      </c>
      <c r="H862" s="2994"/>
      <c r="I862" s="2996">
        <f t="shared" si="143"/>
        <v>1</v>
      </c>
      <c r="J862" s="2994"/>
      <c r="K862" s="2996">
        <f t="shared" si="144"/>
        <v>1</v>
      </c>
      <c r="L862" s="2994"/>
      <c r="M862" s="2996">
        <f t="shared" si="145"/>
        <v>1</v>
      </c>
      <c r="N862" s="2994"/>
      <c r="O862" s="2996">
        <f t="shared" si="146"/>
        <v>1</v>
      </c>
      <c r="P862" s="2994"/>
      <c r="Q862" s="2996">
        <f t="shared" si="147"/>
        <v>1</v>
      </c>
      <c r="R862" s="2997">
        <f t="shared" ca="1" si="148"/>
        <v>17260</v>
      </c>
      <c r="S862" s="2962">
        <f t="shared" ca="1" si="149"/>
        <v>108</v>
      </c>
    </row>
    <row r="863" spans="1:19">
      <c r="A863" s="2992" t="str">
        <f>Sheet1!F844</f>
        <v>3-1218</v>
      </c>
      <c r="B863" s="2992">
        <f>Sheet1!G844</f>
        <v>62.56</v>
      </c>
      <c r="C863" s="2996">
        <f t="shared" si="140"/>
        <v>1</v>
      </c>
      <c r="D863" s="2994"/>
      <c r="E863" s="2996">
        <f t="shared" si="141"/>
        <v>1</v>
      </c>
      <c r="F863" s="2994"/>
      <c r="G863" s="2996">
        <f t="shared" si="142"/>
        <v>1</v>
      </c>
      <c r="H863" s="2994"/>
      <c r="I863" s="2996">
        <f t="shared" si="143"/>
        <v>1</v>
      </c>
      <c r="J863" s="2994"/>
      <c r="K863" s="2996">
        <f t="shared" si="144"/>
        <v>1</v>
      </c>
      <c r="L863" s="2994"/>
      <c r="M863" s="2996">
        <f t="shared" si="145"/>
        <v>1</v>
      </c>
      <c r="N863" s="2994"/>
      <c r="O863" s="2996">
        <f t="shared" si="146"/>
        <v>1</v>
      </c>
      <c r="P863" s="2994"/>
      <c r="Q863" s="2996">
        <f t="shared" si="147"/>
        <v>1</v>
      </c>
      <c r="R863" s="2997">
        <f t="shared" ca="1" si="148"/>
        <v>17260</v>
      </c>
      <c r="S863" s="2962">
        <f t="shared" ca="1" si="149"/>
        <v>108</v>
      </c>
    </row>
    <row r="864" spans="1:19">
      <c r="A864" s="2992" t="str">
        <f>Sheet1!F845</f>
        <v>3-1219</v>
      </c>
      <c r="B864" s="2992">
        <f>Sheet1!G845</f>
        <v>62.56</v>
      </c>
      <c r="C864" s="2996">
        <f t="shared" si="140"/>
        <v>1</v>
      </c>
      <c r="D864" s="2994"/>
      <c r="E864" s="2996">
        <f t="shared" si="141"/>
        <v>1</v>
      </c>
      <c r="F864" s="2994"/>
      <c r="G864" s="2996">
        <f t="shared" si="142"/>
        <v>1</v>
      </c>
      <c r="H864" s="2994"/>
      <c r="I864" s="2996">
        <f t="shared" si="143"/>
        <v>1</v>
      </c>
      <c r="J864" s="2994"/>
      <c r="K864" s="2996">
        <f t="shared" si="144"/>
        <v>1</v>
      </c>
      <c r="L864" s="2994"/>
      <c r="M864" s="2996">
        <f t="shared" si="145"/>
        <v>1</v>
      </c>
      <c r="N864" s="2994"/>
      <c r="O864" s="2996">
        <f t="shared" si="146"/>
        <v>1</v>
      </c>
      <c r="P864" s="2994"/>
      <c r="Q864" s="2996">
        <f t="shared" si="147"/>
        <v>1</v>
      </c>
      <c r="R864" s="2997">
        <f t="shared" ca="1" si="148"/>
        <v>17260</v>
      </c>
      <c r="S864" s="2962">
        <f t="shared" ca="1" si="149"/>
        <v>108</v>
      </c>
    </row>
    <row r="865" spans="1:19">
      <c r="A865" s="2992" t="str">
        <f>Sheet1!F846</f>
        <v>3-1220</v>
      </c>
      <c r="B865" s="2992">
        <f>Sheet1!G846</f>
        <v>62.54</v>
      </c>
      <c r="C865" s="2996">
        <f t="shared" si="140"/>
        <v>1</v>
      </c>
      <c r="D865" s="2994"/>
      <c r="E865" s="2996">
        <f t="shared" si="141"/>
        <v>1</v>
      </c>
      <c r="F865" s="2994"/>
      <c r="G865" s="2996">
        <f t="shared" si="142"/>
        <v>1</v>
      </c>
      <c r="H865" s="2994"/>
      <c r="I865" s="2996">
        <f t="shared" si="143"/>
        <v>1</v>
      </c>
      <c r="J865" s="2994"/>
      <c r="K865" s="2996">
        <f t="shared" si="144"/>
        <v>1</v>
      </c>
      <c r="L865" s="2994"/>
      <c r="M865" s="2996">
        <f t="shared" si="145"/>
        <v>1</v>
      </c>
      <c r="N865" s="2994"/>
      <c r="O865" s="2996">
        <f t="shared" si="146"/>
        <v>1</v>
      </c>
      <c r="P865" s="2994"/>
      <c r="Q865" s="2996">
        <f t="shared" si="147"/>
        <v>1</v>
      </c>
      <c r="R865" s="2997">
        <f t="shared" ca="1" si="148"/>
        <v>17260</v>
      </c>
      <c r="S865" s="2962">
        <f t="shared" ca="1" si="149"/>
        <v>108</v>
      </c>
    </row>
    <row r="866" spans="1:19">
      <c r="A866" s="2992" t="str">
        <f>Sheet1!F847</f>
        <v>3-1221</v>
      </c>
      <c r="B866" s="2992">
        <f>Sheet1!G847</f>
        <v>50.63</v>
      </c>
      <c r="C866" s="2996">
        <f t="shared" si="140"/>
        <v>1</v>
      </c>
      <c r="D866" s="2994"/>
      <c r="E866" s="2996">
        <f t="shared" si="141"/>
        <v>1</v>
      </c>
      <c r="F866" s="2994"/>
      <c r="G866" s="2996">
        <f t="shared" si="142"/>
        <v>1</v>
      </c>
      <c r="H866" s="2994"/>
      <c r="I866" s="2996">
        <f t="shared" si="143"/>
        <v>1</v>
      </c>
      <c r="J866" s="2994"/>
      <c r="K866" s="2996">
        <f t="shared" si="144"/>
        <v>1</v>
      </c>
      <c r="L866" s="2994"/>
      <c r="M866" s="2996">
        <f t="shared" si="145"/>
        <v>1</v>
      </c>
      <c r="N866" s="2994"/>
      <c r="O866" s="2996">
        <f t="shared" si="146"/>
        <v>1</v>
      </c>
      <c r="P866" s="2994"/>
      <c r="Q866" s="2996">
        <f t="shared" si="147"/>
        <v>1</v>
      </c>
      <c r="R866" s="2997">
        <f t="shared" ca="1" si="148"/>
        <v>17260</v>
      </c>
      <c r="S866" s="2962">
        <f t="shared" ca="1" si="149"/>
        <v>87</v>
      </c>
    </row>
    <row r="867" spans="1:19">
      <c r="A867" s="2992" t="str">
        <f>Sheet1!F848</f>
        <v>3-1222</v>
      </c>
      <c r="B867" s="2992">
        <f>Sheet1!G848</f>
        <v>50.63</v>
      </c>
      <c r="C867" s="2996">
        <f t="shared" si="140"/>
        <v>1</v>
      </c>
      <c r="D867" s="2994"/>
      <c r="E867" s="2996">
        <f t="shared" si="141"/>
        <v>1</v>
      </c>
      <c r="F867" s="2994"/>
      <c r="G867" s="2996">
        <f t="shared" si="142"/>
        <v>1</v>
      </c>
      <c r="H867" s="2994"/>
      <c r="I867" s="2996">
        <f t="shared" si="143"/>
        <v>1</v>
      </c>
      <c r="J867" s="2994"/>
      <c r="K867" s="2996">
        <f t="shared" si="144"/>
        <v>1</v>
      </c>
      <c r="L867" s="2994"/>
      <c r="M867" s="2996">
        <f t="shared" si="145"/>
        <v>1</v>
      </c>
      <c r="N867" s="2994"/>
      <c r="O867" s="2996">
        <f t="shared" si="146"/>
        <v>1</v>
      </c>
      <c r="P867" s="2994"/>
      <c r="Q867" s="2996">
        <f t="shared" si="147"/>
        <v>1</v>
      </c>
      <c r="R867" s="2997">
        <f t="shared" ca="1" si="148"/>
        <v>17260</v>
      </c>
      <c r="S867" s="2962">
        <f t="shared" ca="1" si="149"/>
        <v>87</v>
      </c>
    </row>
    <row r="868" spans="1:19">
      <c r="A868" s="2992" t="str">
        <f>Sheet1!F849</f>
        <v>3-1223</v>
      </c>
      <c r="B868" s="2992">
        <f>Sheet1!G849</f>
        <v>50.63</v>
      </c>
      <c r="C868" s="2996">
        <f t="shared" si="140"/>
        <v>1</v>
      </c>
      <c r="D868" s="2994"/>
      <c r="E868" s="2996">
        <f t="shared" si="141"/>
        <v>1</v>
      </c>
      <c r="F868" s="2994"/>
      <c r="G868" s="2996">
        <f t="shared" si="142"/>
        <v>1</v>
      </c>
      <c r="H868" s="2994"/>
      <c r="I868" s="2996">
        <f t="shared" si="143"/>
        <v>1</v>
      </c>
      <c r="J868" s="2994"/>
      <c r="K868" s="2996">
        <f t="shared" si="144"/>
        <v>1</v>
      </c>
      <c r="L868" s="2994"/>
      <c r="M868" s="2996">
        <f t="shared" si="145"/>
        <v>1</v>
      </c>
      <c r="N868" s="2994"/>
      <c r="O868" s="2996">
        <f t="shared" si="146"/>
        <v>1</v>
      </c>
      <c r="P868" s="2994"/>
      <c r="Q868" s="2996">
        <f t="shared" si="147"/>
        <v>1</v>
      </c>
      <c r="R868" s="2997">
        <f t="shared" ca="1" si="148"/>
        <v>17260</v>
      </c>
      <c r="S868" s="2962">
        <f t="shared" ca="1" si="149"/>
        <v>87</v>
      </c>
    </row>
    <row r="869" spans="1:19">
      <c r="A869" s="2992" t="str">
        <f>Sheet1!F850</f>
        <v>3-1224</v>
      </c>
      <c r="B869" s="2992">
        <f>Sheet1!G850</f>
        <v>50.63</v>
      </c>
      <c r="C869" s="2996">
        <f t="shared" si="140"/>
        <v>1</v>
      </c>
      <c r="D869" s="2994"/>
      <c r="E869" s="2996">
        <f t="shared" si="141"/>
        <v>1</v>
      </c>
      <c r="F869" s="2994"/>
      <c r="G869" s="2996">
        <f t="shared" si="142"/>
        <v>1</v>
      </c>
      <c r="H869" s="2994"/>
      <c r="I869" s="2996">
        <f t="shared" si="143"/>
        <v>1</v>
      </c>
      <c r="J869" s="2994"/>
      <c r="K869" s="2996">
        <f t="shared" si="144"/>
        <v>1</v>
      </c>
      <c r="L869" s="2994"/>
      <c r="M869" s="2996">
        <f t="shared" si="145"/>
        <v>1</v>
      </c>
      <c r="N869" s="2994"/>
      <c r="O869" s="2996">
        <f t="shared" si="146"/>
        <v>1</v>
      </c>
      <c r="P869" s="2994"/>
      <c r="Q869" s="2996">
        <f t="shared" si="147"/>
        <v>1</v>
      </c>
      <c r="R869" s="2997">
        <f t="shared" ca="1" si="148"/>
        <v>17260</v>
      </c>
      <c r="S869" s="2962">
        <f t="shared" ca="1" si="149"/>
        <v>87</v>
      </c>
    </row>
    <row r="870" spans="1:19">
      <c r="A870" s="2992" t="str">
        <f>Sheet1!F851</f>
        <v>3-1225</v>
      </c>
      <c r="B870" s="2992">
        <f>Sheet1!G851</f>
        <v>50.63</v>
      </c>
      <c r="C870" s="2996">
        <f t="shared" si="140"/>
        <v>1</v>
      </c>
      <c r="D870" s="2994"/>
      <c r="E870" s="2996">
        <f t="shared" si="141"/>
        <v>1</v>
      </c>
      <c r="F870" s="2994"/>
      <c r="G870" s="2996">
        <f t="shared" si="142"/>
        <v>1</v>
      </c>
      <c r="H870" s="2994"/>
      <c r="I870" s="2996">
        <f t="shared" si="143"/>
        <v>1</v>
      </c>
      <c r="J870" s="2994"/>
      <c r="K870" s="2996">
        <f t="shared" si="144"/>
        <v>1</v>
      </c>
      <c r="L870" s="2994"/>
      <c r="M870" s="2996">
        <f t="shared" si="145"/>
        <v>1</v>
      </c>
      <c r="N870" s="2994"/>
      <c r="O870" s="2996">
        <f t="shared" si="146"/>
        <v>1</v>
      </c>
      <c r="P870" s="2994"/>
      <c r="Q870" s="2996">
        <f t="shared" si="147"/>
        <v>1</v>
      </c>
      <c r="R870" s="2997">
        <f t="shared" ca="1" si="148"/>
        <v>17260</v>
      </c>
      <c r="S870" s="2962">
        <f t="shared" ca="1" si="149"/>
        <v>87</v>
      </c>
    </row>
    <row r="871" spans="1:19">
      <c r="A871" s="2992" t="str">
        <f>Sheet1!F852</f>
        <v>3-1226</v>
      </c>
      <c r="B871" s="2992">
        <f>Sheet1!G852</f>
        <v>50.63</v>
      </c>
      <c r="C871" s="2996">
        <f t="shared" si="140"/>
        <v>1</v>
      </c>
      <c r="D871" s="2994"/>
      <c r="E871" s="2996">
        <f t="shared" si="141"/>
        <v>1</v>
      </c>
      <c r="F871" s="2994"/>
      <c r="G871" s="2996">
        <f t="shared" si="142"/>
        <v>1</v>
      </c>
      <c r="H871" s="2994"/>
      <c r="I871" s="2996">
        <f t="shared" si="143"/>
        <v>1</v>
      </c>
      <c r="J871" s="2994"/>
      <c r="K871" s="2996">
        <f t="shared" si="144"/>
        <v>1</v>
      </c>
      <c r="L871" s="2994"/>
      <c r="M871" s="2996">
        <f t="shared" si="145"/>
        <v>1</v>
      </c>
      <c r="N871" s="2994"/>
      <c r="O871" s="2996">
        <f t="shared" si="146"/>
        <v>1</v>
      </c>
      <c r="P871" s="2994"/>
      <c r="Q871" s="2996">
        <f t="shared" si="147"/>
        <v>1</v>
      </c>
      <c r="R871" s="2997">
        <f t="shared" ca="1" si="148"/>
        <v>17260</v>
      </c>
      <c r="S871" s="2962">
        <f t="shared" ca="1" si="149"/>
        <v>87</v>
      </c>
    </row>
    <row r="872" spans="1:19">
      <c r="A872" s="2992" t="str">
        <f>Sheet1!F853</f>
        <v>3-1227</v>
      </c>
      <c r="B872" s="2992">
        <f>Sheet1!G853</f>
        <v>50.63</v>
      </c>
      <c r="C872" s="2996">
        <f t="shared" si="140"/>
        <v>1</v>
      </c>
      <c r="D872" s="2994"/>
      <c r="E872" s="2996">
        <f t="shared" si="141"/>
        <v>1</v>
      </c>
      <c r="F872" s="2994"/>
      <c r="G872" s="2996">
        <f t="shared" si="142"/>
        <v>1</v>
      </c>
      <c r="H872" s="2994"/>
      <c r="I872" s="2996">
        <f t="shared" si="143"/>
        <v>1</v>
      </c>
      <c r="J872" s="2994"/>
      <c r="K872" s="2996">
        <f t="shared" si="144"/>
        <v>1</v>
      </c>
      <c r="L872" s="2994"/>
      <c r="M872" s="2996">
        <f t="shared" si="145"/>
        <v>1</v>
      </c>
      <c r="N872" s="2994"/>
      <c r="O872" s="2996">
        <f t="shared" si="146"/>
        <v>1</v>
      </c>
      <c r="P872" s="2994"/>
      <c r="Q872" s="2996">
        <f t="shared" si="147"/>
        <v>1</v>
      </c>
      <c r="R872" s="2997">
        <f t="shared" ca="1" si="148"/>
        <v>17260</v>
      </c>
      <c r="S872" s="2962">
        <f t="shared" ca="1" si="149"/>
        <v>87</v>
      </c>
    </row>
    <row r="873" spans="1:19">
      <c r="A873" s="2992" t="str">
        <f>Sheet1!F854</f>
        <v>3-1228</v>
      </c>
      <c r="B873" s="2992">
        <f>Sheet1!G854</f>
        <v>50.63</v>
      </c>
      <c r="C873" s="2996">
        <f t="shared" si="140"/>
        <v>1</v>
      </c>
      <c r="D873" s="2994"/>
      <c r="E873" s="2996">
        <f t="shared" si="141"/>
        <v>1</v>
      </c>
      <c r="F873" s="2994"/>
      <c r="G873" s="2996">
        <f t="shared" si="142"/>
        <v>1</v>
      </c>
      <c r="H873" s="2994"/>
      <c r="I873" s="2996">
        <f t="shared" si="143"/>
        <v>1</v>
      </c>
      <c r="J873" s="2994"/>
      <c r="K873" s="2996">
        <f t="shared" si="144"/>
        <v>1</v>
      </c>
      <c r="L873" s="2994"/>
      <c r="M873" s="2996">
        <f t="shared" si="145"/>
        <v>1</v>
      </c>
      <c r="N873" s="2994"/>
      <c r="O873" s="2996">
        <f t="shared" si="146"/>
        <v>1</v>
      </c>
      <c r="P873" s="2994"/>
      <c r="Q873" s="2996">
        <f t="shared" si="147"/>
        <v>1</v>
      </c>
      <c r="R873" s="2997">
        <f t="shared" ca="1" si="148"/>
        <v>17260</v>
      </c>
      <c r="S873" s="2962">
        <f t="shared" ca="1" si="149"/>
        <v>87</v>
      </c>
    </row>
    <row r="874" spans="1:19">
      <c r="A874" s="2992" t="str">
        <f>Sheet1!F855</f>
        <v>3-1229</v>
      </c>
      <c r="B874" s="2992">
        <f>Sheet1!G855</f>
        <v>50.63</v>
      </c>
      <c r="C874" s="2996">
        <f t="shared" si="140"/>
        <v>1</v>
      </c>
      <c r="D874" s="2994"/>
      <c r="E874" s="2996">
        <f t="shared" si="141"/>
        <v>1</v>
      </c>
      <c r="F874" s="2994"/>
      <c r="G874" s="2996">
        <f t="shared" si="142"/>
        <v>1</v>
      </c>
      <c r="H874" s="2994"/>
      <c r="I874" s="2996">
        <f t="shared" si="143"/>
        <v>1</v>
      </c>
      <c r="J874" s="2994"/>
      <c r="K874" s="2996">
        <f t="shared" si="144"/>
        <v>1</v>
      </c>
      <c r="L874" s="2994"/>
      <c r="M874" s="2996">
        <f t="shared" si="145"/>
        <v>1</v>
      </c>
      <c r="N874" s="2994"/>
      <c r="O874" s="2996">
        <f t="shared" si="146"/>
        <v>1</v>
      </c>
      <c r="P874" s="2994"/>
      <c r="Q874" s="2996">
        <f t="shared" si="147"/>
        <v>1</v>
      </c>
      <c r="R874" s="2997">
        <f t="shared" ca="1" si="148"/>
        <v>17260</v>
      </c>
      <c r="S874" s="2962">
        <f t="shared" ca="1" si="149"/>
        <v>87</v>
      </c>
    </row>
    <row r="875" spans="1:19">
      <c r="A875" s="2992" t="str">
        <f>Sheet1!F856</f>
        <v>3-1230</v>
      </c>
      <c r="B875" s="2992">
        <f>Sheet1!G856</f>
        <v>50.63</v>
      </c>
      <c r="C875" s="2996">
        <f t="shared" si="140"/>
        <v>1</v>
      </c>
      <c r="D875" s="2994"/>
      <c r="E875" s="2996">
        <f t="shared" si="141"/>
        <v>1</v>
      </c>
      <c r="F875" s="2994"/>
      <c r="G875" s="2996">
        <f t="shared" si="142"/>
        <v>1</v>
      </c>
      <c r="H875" s="2994"/>
      <c r="I875" s="2996">
        <f t="shared" si="143"/>
        <v>1</v>
      </c>
      <c r="J875" s="2994"/>
      <c r="K875" s="2996">
        <f t="shared" si="144"/>
        <v>1</v>
      </c>
      <c r="L875" s="2994"/>
      <c r="M875" s="2996">
        <f t="shared" si="145"/>
        <v>1</v>
      </c>
      <c r="N875" s="2994"/>
      <c r="O875" s="2996">
        <f t="shared" si="146"/>
        <v>1</v>
      </c>
      <c r="P875" s="2994"/>
      <c r="Q875" s="2996">
        <f t="shared" si="147"/>
        <v>1</v>
      </c>
      <c r="R875" s="2997">
        <f t="shared" ca="1" si="148"/>
        <v>17260</v>
      </c>
      <c r="S875" s="2962">
        <f t="shared" ca="1" si="149"/>
        <v>87</v>
      </c>
    </row>
    <row r="876" spans="1:19">
      <c r="A876" s="2992" t="str">
        <f>Sheet1!F857</f>
        <v>3-1231</v>
      </c>
      <c r="B876" s="2992">
        <f>Sheet1!G857</f>
        <v>50.63</v>
      </c>
      <c r="C876" s="2996">
        <f t="shared" si="140"/>
        <v>1</v>
      </c>
      <c r="D876" s="2994"/>
      <c r="E876" s="2996">
        <f t="shared" si="141"/>
        <v>1</v>
      </c>
      <c r="F876" s="2994"/>
      <c r="G876" s="2996">
        <f t="shared" si="142"/>
        <v>1</v>
      </c>
      <c r="H876" s="2994"/>
      <c r="I876" s="2996">
        <f t="shared" si="143"/>
        <v>1</v>
      </c>
      <c r="J876" s="2994"/>
      <c r="K876" s="2996">
        <f t="shared" si="144"/>
        <v>1</v>
      </c>
      <c r="L876" s="2994"/>
      <c r="M876" s="2996">
        <f t="shared" si="145"/>
        <v>1</v>
      </c>
      <c r="N876" s="2994"/>
      <c r="O876" s="2996">
        <f t="shared" si="146"/>
        <v>1</v>
      </c>
      <c r="P876" s="2994"/>
      <c r="Q876" s="2996">
        <f t="shared" si="147"/>
        <v>1</v>
      </c>
      <c r="R876" s="2997">
        <f t="shared" ca="1" si="148"/>
        <v>17260</v>
      </c>
      <c r="S876" s="2962">
        <f t="shared" ca="1" si="149"/>
        <v>87</v>
      </c>
    </row>
    <row r="877" spans="1:19">
      <c r="A877" s="2992" t="str">
        <f>Sheet1!F858</f>
        <v>3-1232</v>
      </c>
      <c r="B877" s="2992">
        <f>Sheet1!G858</f>
        <v>50.63</v>
      </c>
      <c r="C877" s="2996">
        <f t="shared" si="140"/>
        <v>1</v>
      </c>
      <c r="D877" s="2994"/>
      <c r="E877" s="2996">
        <f t="shared" si="141"/>
        <v>1</v>
      </c>
      <c r="F877" s="2994"/>
      <c r="G877" s="2996">
        <f t="shared" si="142"/>
        <v>1</v>
      </c>
      <c r="H877" s="2994"/>
      <c r="I877" s="2996">
        <f t="shared" si="143"/>
        <v>1</v>
      </c>
      <c r="J877" s="2994"/>
      <c r="K877" s="2996">
        <f t="shared" si="144"/>
        <v>1</v>
      </c>
      <c r="L877" s="2994"/>
      <c r="M877" s="2996">
        <f t="shared" si="145"/>
        <v>1</v>
      </c>
      <c r="N877" s="2994"/>
      <c r="O877" s="2996">
        <f t="shared" si="146"/>
        <v>1</v>
      </c>
      <c r="P877" s="2994"/>
      <c r="Q877" s="2996">
        <f t="shared" si="147"/>
        <v>1</v>
      </c>
      <c r="R877" s="2997">
        <f t="shared" ca="1" si="148"/>
        <v>17260</v>
      </c>
      <c r="S877" s="2962">
        <f t="shared" ca="1" si="149"/>
        <v>87</v>
      </c>
    </row>
    <row r="878" spans="1:19">
      <c r="A878" s="2992" t="str">
        <f>Sheet1!F859</f>
        <v>3-1233</v>
      </c>
      <c r="B878" s="2992">
        <f>Sheet1!G859</f>
        <v>50.38</v>
      </c>
      <c r="C878" s="2996">
        <f t="shared" si="140"/>
        <v>1</v>
      </c>
      <c r="D878" s="2994"/>
      <c r="E878" s="2996">
        <f t="shared" si="141"/>
        <v>1</v>
      </c>
      <c r="F878" s="2994"/>
      <c r="G878" s="2996">
        <f t="shared" si="142"/>
        <v>1</v>
      </c>
      <c r="H878" s="2994"/>
      <c r="I878" s="2996">
        <f t="shared" si="143"/>
        <v>1</v>
      </c>
      <c r="J878" s="2994"/>
      <c r="K878" s="2996">
        <f t="shared" si="144"/>
        <v>1</v>
      </c>
      <c r="L878" s="2994"/>
      <c r="M878" s="2996">
        <f t="shared" si="145"/>
        <v>1</v>
      </c>
      <c r="N878" s="2994"/>
      <c r="O878" s="2996">
        <f t="shared" si="146"/>
        <v>1</v>
      </c>
      <c r="P878" s="2994"/>
      <c r="Q878" s="2996">
        <f t="shared" si="147"/>
        <v>1</v>
      </c>
      <c r="R878" s="2997">
        <f t="shared" ca="1" si="148"/>
        <v>17260</v>
      </c>
      <c r="S878" s="2962">
        <f t="shared" ca="1" si="149"/>
        <v>87</v>
      </c>
    </row>
    <row r="879" spans="1:19">
      <c r="A879" s="2992" t="str">
        <f>Sheet1!F860</f>
        <v>3-1234</v>
      </c>
      <c r="B879" s="2992">
        <f>Sheet1!G860</f>
        <v>51.12</v>
      </c>
      <c r="C879" s="2996">
        <f t="shared" si="140"/>
        <v>1</v>
      </c>
      <c r="D879" s="2994"/>
      <c r="E879" s="2996">
        <f t="shared" si="141"/>
        <v>1</v>
      </c>
      <c r="F879" s="2994"/>
      <c r="G879" s="2996">
        <f t="shared" si="142"/>
        <v>1</v>
      </c>
      <c r="H879" s="2994"/>
      <c r="I879" s="2996">
        <f t="shared" si="143"/>
        <v>1</v>
      </c>
      <c r="J879" s="2994"/>
      <c r="K879" s="2996">
        <f t="shared" si="144"/>
        <v>1</v>
      </c>
      <c r="L879" s="2994"/>
      <c r="M879" s="2996">
        <f t="shared" si="145"/>
        <v>1</v>
      </c>
      <c r="N879" s="2994"/>
      <c r="O879" s="2996">
        <f t="shared" si="146"/>
        <v>1</v>
      </c>
      <c r="P879" s="2994"/>
      <c r="Q879" s="2996">
        <f t="shared" si="147"/>
        <v>1</v>
      </c>
      <c r="R879" s="2997">
        <f t="shared" ca="1" si="148"/>
        <v>17260</v>
      </c>
      <c r="S879" s="2962">
        <f t="shared" ca="1" si="149"/>
        <v>88</v>
      </c>
    </row>
    <row r="880" spans="1:19">
      <c r="A880" s="2992" t="str">
        <f>Sheet1!F861</f>
        <v>3-1235</v>
      </c>
      <c r="B880" s="2992">
        <f>Sheet1!G861</f>
        <v>68.760000000000005</v>
      </c>
      <c r="C880" s="2996">
        <f t="shared" si="140"/>
        <v>1</v>
      </c>
      <c r="D880" s="2994"/>
      <c r="E880" s="2996">
        <f t="shared" si="141"/>
        <v>1</v>
      </c>
      <c r="F880" s="2994"/>
      <c r="G880" s="2996">
        <f t="shared" si="142"/>
        <v>1</v>
      </c>
      <c r="H880" s="2994"/>
      <c r="I880" s="2996">
        <f t="shared" si="143"/>
        <v>1</v>
      </c>
      <c r="J880" s="2994"/>
      <c r="K880" s="2996">
        <f t="shared" si="144"/>
        <v>1</v>
      </c>
      <c r="L880" s="2994"/>
      <c r="M880" s="2996">
        <f t="shared" si="145"/>
        <v>1</v>
      </c>
      <c r="N880" s="2994"/>
      <c r="O880" s="2996">
        <f t="shared" si="146"/>
        <v>1</v>
      </c>
      <c r="P880" s="2994"/>
      <c r="Q880" s="2996">
        <f t="shared" si="147"/>
        <v>1</v>
      </c>
      <c r="R880" s="2997">
        <f t="shared" ca="1" si="148"/>
        <v>17260</v>
      </c>
      <c r="S880" s="2962">
        <f t="shared" ca="1" si="149"/>
        <v>119</v>
      </c>
    </row>
    <row r="881" spans="1:19">
      <c r="A881" s="2992" t="str">
        <f>Sheet1!F862</f>
        <v>3-1236</v>
      </c>
      <c r="B881" s="2992">
        <f>Sheet1!G862</f>
        <v>69.319999999999993</v>
      </c>
      <c r="C881" s="2996">
        <f t="shared" si="140"/>
        <v>1</v>
      </c>
      <c r="D881" s="2994"/>
      <c r="E881" s="2996">
        <f t="shared" si="141"/>
        <v>1</v>
      </c>
      <c r="F881" s="2994"/>
      <c r="G881" s="2996">
        <f t="shared" si="142"/>
        <v>1</v>
      </c>
      <c r="H881" s="2994"/>
      <c r="I881" s="2996">
        <f t="shared" si="143"/>
        <v>1</v>
      </c>
      <c r="J881" s="2994"/>
      <c r="K881" s="2996">
        <f t="shared" si="144"/>
        <v>1</v>
      </c>
      <c r="L881" s="2994"/>
      <c r="M881" s="2996">
        <f t="shared" si="145"/>
        <v>1</v>
      </c>
      <c r="N881" s="2994"/>
      <c r="O881" s="2996">
        <f t="shared" si="146"/>
        <v>1</v>
      </c>
      <c r="P881" s="2994"/>
      <c r="Q881" s="2996">
        <f t="shared" si="147"/>
        <v>1</v>
      </c>
      <c r="R881" s="2997">
        <f t="shared" ca="1" si="148"/>
        <v>17260</v>
      </c>
      <c r="S881" s="2962">
        <f t="shared" ca="1" si="149"/>
        <v>120</v>
      </c>
    </row>
    <row r="882" spans="1:19">
      <c r="A882" s="2992" t="str">
        <f>Sheet1!F863</f>
        <v>3-1237</v>
      </c>
      <c r="B882" s="2992">
        <f>Sheet1!G863</f>
        <v>61.41</v>
      </c>
      <c r="C882" s="2996">
        <f t="shared" si="140"/>
        <v>1</v>
      </c>
      <c r="D882" s="2994"/>
      <c r="E882" s="2996">
        <f t="shared" si="141"/>
        <v>1</v>
      </c>
      <c r="F882" s="2994"/>
      <c r="G882" s="2996">
        <f t="shared" si="142"/>
        <v>1</v>
      </c>
      <c r="H882" s="2994"/>
      <c r="I882" s="2996">
        <f t="shared" si="143"/>
        <v>1</v>
      </c>
      <c r="J882" s="2994"/>
      <c r="K882" s="2996">
        <f t="shared" si="144"/>
        <v>1</v>
      </c>
      <c r="L882" s="2994"/>
      <c r="M882" s="2996">
        <f t="shared" si="145"/>
        <v>1</v>
      </c>
      <c r="N882" s="2994"/>
      <c r="O882" s="2996">
        <f t="shared" si="146"/>
        <v>1</v>
      </c>
      <c r="P882" s="2994"/>
      <c r="Q882" s="2996">
        <f t="shared" si="147"/>
        <v>1</v>
      </c>
      <c r="R882" s="2997">
        <f t="shared" ca="1" si="148"/>
        <v>17260</v>
      </c>
      <c r="S882" s="2962">
        <f t="shared" ca="1" si="149"/>
        <v>106</v>
      </c>
    </row>
    <row r="883" spans="1:19">
      <c r="A883" s="2992" t="str">
        <f>Sheet1!F864</f>
        <v>3-1238</v>
      </c>
      <c r="B883" s="2992">
        <f>Sheet1!G864</f>
        <v>61.41</v>
      </c>
      <c r="C883" s="2996">
        <f t="shared" si="140"/>
        <v>1</v>
      </c>
      <c r="D883" s="2994"/>
      <c r="E883" s="2996">
        <f t="shared" si="141"/>
        <v>1</v>
      </c>
      <c r="F883" s="2994"/>
      <c r="G883" s="2996">
        <f t="shared" si="142"/>
        <v>1</v>
      </c>
      <c r="H883" s="2994"/>
      <c r="I883" s="2996">
        <f t="shared" si="143"/>
        <v>1</v>
      </c>
      <c r="J883" s="2994"/>
      <c r="K883" s="2996">
        <f t="shared" si="144"/>
        <v>1</v>
      </c>
      <c r="L883" s="2994"/>
      <c r="M883" s="2996">
        <f t="shared" si="145"/>
        <v>1</v>
      </c>
      <c r="N883" s="2994"/>
      <c r="O883" s="2996">
        <f t="shared" si="146"/>
        <v>1</v>
      </c>
      <c r="P883" s="2994"/>
      <c r="Q883" s="2996">
        <f t="shared" si="147"/>
        <v>1</v>
      </c>
      <c r="R883" s="2997">
        <f t="shared" ca="1" si="148"/>
        <v>17260</v>
      </c>
      <c r="S883" s="2962">
        <f t="shared" ca="1" si="149"/>
        <v>106</v>
      </c>
    </row>
    <row r="884" spans="1:19">
      <c r="A884" s="2992" t="str">
        <f>Sheet1!F865</f>
        <v>3-1239</v>
      </c>
      <c r="B884" s="2992">
        <f>Sheet1!G865</f>
        <v>61.41</v>
      </c>
      <c r="C884" s="2996">
        <f t="shared" si="140"/>
        <v>1</v>
      </c>
      <c r="D884" s="2994"/>
      <c r="E884" s="2996">
        <f t="shared" si="141"/>
        <v>1</v>
      </c>
      <c r="F884" s="2994"/>
      <c r="G884" s="2996">
        <f t="shared" si="142"/>
        <v>1</v>
      </c>
      <c r="H884" s="2994"/>
      <c r="I884" s="2996">
        <f t="shared" si="143"/>
        <v>1</v>
      </c>
      <c r="J884" s="2994"/>
      <c r="K884" s="2996">
        <f t="shared" si="144"/>
        <v>1</v>
      </c>
      <c r="L884" s="2994"/>
      <c r="M884" s="2996">
        <f t="shared" si="145"/>
        <v>1</v>
      </c>
      <c r="N884" s="2994"/>
      <c r="O884" s="2996">
        <f t="shared" si="146"/>
        <v>1</v>
      </c>
      <c r="P884" s="2994"/>
      <c r="Q884" s="2996">
        <f t="shared" si="147"/>
        <v>1</v>
      </c>
      <c r="R884" s="2997">
        <f t="shared" ca="1" si="148"/>
        <v>17260</v>
      </c>
      <c r="S884" s="2962">
        <f t="shared" ca="1" si="149"/>
        <v>106</v>
      </c>
    </row>
    <row r="885" spans="1:19">
      <c r="A885" s="2992" t="str">
        <f>Sheet1!F866</f>
        <v>3-1240</v>
      </c>
      <c r="B885" s="2992">
        <f>Sheet1!G866</f>
        <v>61.41</v>
      </c>
      <c r="C885" s="2996">
        <f t="shared" si="140"/>
        <v>1</v>
      </c>
      <c r="D885" s="2994"/>
      <c r="E885" s="2996">
        <f t="shared" si="141"/>
        <v>1</v>
      </c>
      <c r="F885" s="2994"/>
      <c r="G885" s="2996">
        <f t="shared" si="142"/>
        <v>1</v>
      </c>
      <c r="H885" s="2994"/>
      <c r="I885" s="2996">
        <f t="shared" si="143"/>
        <v>1</v>
      </c>
      <c r="J885" s="2994"/>
      <c r="K885" s="2996">
        <f t="shared" si="144"/>
        <v>1</v>
      </c>
      <c r="L885" s="2994"/>
      <c r="M885" s="2996">
        <f t="shared" si="145"/>
        <v>1</v>
      </c>
      <c r="N885" s="2994"/>
      <c r="O885" s="2996">
        <f t="shared" si="146"/>
        <v>1</v>
      </c>
      <c r="P885" s="2994"/>
      <c r="Q885" s="2996">
        <f t="shared" si="147"/>
        <v>1</v>
      </c>
      <c r="R885" s="2997">
        <f t="shared" ca="1" si="148"/>
        <v>17260</v>
      </c>
      <c r="S885" s="2962">
        <f t="shared" ca="1" si="149"/>
        <v>106</v>
      </c>
    </row>
    <row r="886" spans="1:19">
      <c r="A886" s="2992" t="str">
        <f>Sheet1!F867</f>
        <v>3-1241</v>
      </c>
      <c r="B886" s="2992">
        <f>Sheet1!G867</f>
        <v>61.41</v>
      </c>
      <c r="C886" s="2996">
        <f t="shared" si="140"/>
        <v>1</v>
      </c>
      <c r="D886" s="2994"/>
      <c r="E886" s="2996">
        <f t="shared" si="141"/>
        <v>1</v>
      </c>
      <c r="F886" s="2994"/>
      <c r="G886" s="2996">
        <f t="shared" si="142"/>
        <v>1</v>
      </c>
      <c r="H886" s="2994"/>
      <c r="I886" s="2996">
        <f t="shared" si="143"/>
        <v>1</v>
      </c>
      <c r="J886" s="2994"/>
      <c r="K886" s="2996">
        <f t="shared" si="144"/>
        <v>1</v>
      </c>
      <c r="L886" s="2994"/>
      <c r="M886" s="2996">
        <f t="shared" si="145"/>
        <v>1</v>
      </c>
      <c r="N886" s="2994"/>
      <c r="O886" s="2996">
        <f t="shared" si="146"/>
        <v>1</v>
      </c>
      <c r="P886" s="2994"/>
      <c r="Q886" s="2996">
        <f t="shared" si="147"/>
        <v>1</v>
      </c>
      <c r="R886" s="2997">
        <f t="shared" ca="1" si="148"/>
        <v>17260</v>
      </c>
      <c r="S886" s="2962">
        <f t="shared" ca="1" si="149"/>
        <v>106</v>
      </c>
    </row>
    <row r="887" spans="1:19">
      <c r="A887" s="2992" t="str">
        <f>Sheet1!F868</f>
        <v>3-1242</v>
      </c>
      <c r="B887" s="2992">
        <f>Sheet1!G868</f>
        <v>72.87</v>
      </c>
      <c r="C887" s="2996">
        <f t="shared" si="140"/>
        <v>1</v>
      </c>
      <c r="D887" s="2994"/>
      <c r="E887" s="2996">
        <f t="shared" si="141"/>
        <v>1</v>
      </c>
      <c r="F887" s="2994"/>
      <c r="G887" s="2996">
        <f t="shared" si="142"/>
        <v>1</v>
      </c>
      <c r="H887" s="2994"/>
      <c r="I887" s="2996">
        <f t="shared" si="143"/>
        <v>1</v>
      </c>
      <c r="J887" s="2994"/>
      <c r="K887" s="2996">
        <f t="shared" si="144"/>
        <v>1</v>
      </c>
      <c r="L887" s="2994"/>
      <c r="M887" s="2996">
        <f t="shared" si="145"/>
        <v>1</v>
      </c>
      <c r="N887" s="2994"/>
      <c r="O887" s="2996">
        <f t="shared" si="146"/>
        <v>1</v>
      </c>
      <c r="P887" s="2994"/>
      <c r="Q887" s="2996">
        <f t="shared" si="147"/>
        <v>1</v>
      </c>
      <c r="R887" s="2997">
        <f t="shared" ca="1" si="148"/>
        <v>17260</v>
      </c>
      <c r="S887" s="2962">
        <f t="shared" ca="1" si="149"/>
        <v>126</v>
      </c>
    </row>
    <row r="888" spans="1:19">
      <c r="A888" s="2992" t="str">
        <f>Sheet1!F869</f>
        <v>3-1243</v>
      </c>
      <c r="B888" s="2992">
        <f>Sheet1!G869</f>
        <v>81.069999999999993</v>
      </c>
      <c r="C888" s="2996">
        <f t="shared" si="140"/>
        <v>1</v>
      </c>
      <c r="D888" s="2994"/>
      <c r="E888" s="2996">
        <f t="shared" si="141"/>
        <v>1</v>
      </c>
      <c r="F888" s="2994"/>
      <c r="G888" s="2996">
        <f t="shared" si="142"/>
        <v>1</v>
      </c>
      <c r="H888" s="2994"/>
      <c r="I888" s="2996">
        <f t="shared" si="143"/>
        <v>1</v>
      </c>
      <c r="J888" s="2994"/>
      <c r="K888" s="2996">
        <f t="shared" si="144"/>
        <v>1</v>
      </c>
      <c r="L888" s="2994"/>
      <c r="M888" s="2996">
        <f t="shared" si="145"/>
        <v>1</v>
      </c>
      <c r="N888" s="2994"/>
      <c r="O888" s="2996">
        <f t="shared" si="146"/>
        <v>1</v>
      </c>
      <c r="P888" s="2994"/>
      <c r="Q888" s="2996">
        <f t="shared" si="147"/>
        <v>1</v>
      </c>
      <c r="R888" s="2997">
        <f t="shared" ca="1" si="148"/>
        <v>17260</v>
      </c>
      <c r="S888" s="2962">
        <f t="shared" ca="1" si="149"/>
        <v>140</v>
      </c>
    </row>
    <row r="889" spans="1:19">
      <c r="A889" s="2992" t="str">
        <f>Sheet1!F870</f>
        <v>3-1244</v>
      </c>
      <c r="B889" s="2992">
        <f>Sheet1!G870</f>
        <v>61.41</v>
      </c>
      <c r="C889" s="2996">
        <f t="shared" si="140"/>
        <v>1</v>
      </c>
      <c r="D889" s="2994"/>
      <c r="E889" s="2996">
        <f t="shared" si="141"/>
        <v>1</v>
      </c>
      <c r="F889" s="2994"/>
      <c r="G889" s="2996">
        <f t="shared" si="142"/>
        <v>1</v>
      </c>
      <c r="H889" s="2994"/>
      <c r="I889" s="2996">
        <f t="shared" si="143"/>
        <v>1</v>
      </c>
      <c r="J889" s="2994"/>
      <c r="K889" s="2996">
        <f t="shared" si="144"/>
        <v>1</v>
      </c>
      <c r="L889" s="2994"/>
      <c r="M889" s="2996">
        <f t="shared" si="145"/>
        <v>1</v>
      </c>
      <c r="N889" s="2994"/>
      <c r="O889" s="2996">
        <f t="shared" si="146"/>
        <v>1</v>
      </c>
      <c r="P889" s="2994"/>
      <c r="Q889" s="2996">
        <f t="shared" si="147"/>
        <v>1</v>
      </c>
      <c r="R889" s="2997">
        <f t="shared" ca="1" si="148"/>
        <v>17260</v>
      </c>
      <c r="S889" s="2962">
        <f t="shared" ca="1" si="149"/>
        <v>106</v>
      </c>
    </row>
    <row r="890" spans="1:19">
      <c r="A890" s="2992" t="str">
        <f>Sheet1!F871</f>
        <v>3-1245</v>
      </c>
      <c r="B890" s="2992">
        <f>Sheet1!G871</f>
        <v>54.6</v>
      </c>
      <c r="C890" s="2996">
        <f t="shared" si="140"/>
        <v>1</v>
      </c>
      <c r="D890" s="2994"/>
      <c r="E890" s="2996">
        <f t="shared" si="141"/>
        <v>1</v>
      </c>
      <c r="F890" s="2994"/>
      <c r="G890" s="2996">
        <f t="shared" si="142"/>
        <v>1</v>
      </c>
      <c r="H890" s="2994"/>
      <c r="I890" s="2996">
        <f t="shared" si="143"/>
        <v>1</v>
      </c>
      <c r="J890" s="2994"/>
      <c r="K890" s="2996">
        <f t="shared" si="144"/>
        <v>1</v>
      </c>
      <c r="L890" s="2994"/>
      <c r="M890" s="2996">
        <f t="shared" si="145"/>
        <v>1</v>
      </c>
      <c r="N890" s="2994"/>
      <c r="O890" s="2996">
        <f t="shared" si="146"/>
        <v>1</v>
      </c>
      <c r="P890" s="2994"/>
      <c r="Q890" s="2996">
        <f t="shared" si="147"/>
        <v>1</v>
      </c>
      <c r="R890" s="2997">
        <f t="shared" ca="1" si="148"/>
        <v>17260</v>
      </c>
      <c r="S890" s="2962">
        <f t="shared" ca="1" si="149"/>
        <v>94</v>
      </c>
    </row>
    <row r="891" spans="1:19">
      <c r="A891" s="2992" t="str">
        <f>Sheet1!F872</f>
        <v>3-1246</v>
      </c>
      <c r="B891" s="2992">
        <f>Sheet1!G872</f>
        <v>71.23</v>
      </c>
      <c r="C891" s="2996">
        <f t="shared" si="140"/>
        <v>1</v>
      </c>
      <c r="D891" s="2994"/>
      <c r="E891" s="2996">
        <f t="shared" si="141"/>
        <v>1</v>
      </c>
      <c r="F891" s="2994"/>
      <c r="G891" s="2996">
        <f t="shared" si="142"/>
        <v>1</v>
      </c>
      <c r="H891" s="2994"/>
      <c r="I891" s="2996">
        <f t="shared" si="143"/>
        <v>1</v>
      </c>
      <c r="J891" s="2994"/>
      <c r="K891" s="2996">
        <f t="shared" si="144"/>
        <v>1</v>
      </c>
      <c r="L891" s="2994"/>
      <c r="M891" s="2996">
        <f t="shared" si="145"/>
        <v>1</v>
      </c>
      <c r="N891" s="2994"/>
      <c r="O891" s="2996">
        <f t="shared" si="146"/>
        <v>1</v>
      </c>
      <c r="P891" s="2994"/>
      <c r="Q891" s="2996">
        <f t="shared" si="147"/>
        <v>1</v>
      </c>
      <c r="R891" s="2997">
        <f t="shared" ca="1" si="148"/>
        <v>17260</v>
      </c>
      <c r="S891" s="2962">
        <f t="shared" ca="1" si="149"/>
        <v>123</v>
      </c>
    </row>
    <row r="892" spans="1:19">
      <c r="A892" s="2992" t="str">
        <f>Sheet1!F873</f>
        <v>3-1247</v>
      </c>
      <c r="B892" s="2992">
        <f>Sheet1!G873</f>
        <v>61.41</v>
      </c>
      <c r="C892" s="2996">
        <f t="shared" si="140"/>
        <v>1</v>
      </c>
      <c r="D892" s="2994"/>
      <c r="E892" s="2996">
        <f t="shared" si="141"/>
        <v>1</v>
      </c>
      <c r="F892" s="2994"/>
      <c r="G892" s="2996">
        <f t="shared" si="142"/>
        <v>1</v>
      </c>
      <c r="H892" s="2994"/>
      <c r="I892" s="2996">
        <f t="shared" si="143"/>
        <v>1</v>
      </c>
      <c r="J892" s="2994"/>
      <c r="K892" s="2996">
        <f t="shared" si="144"/>
        <v>1</v>
      </c>
      <c r="L892" s="2994"/>
      <c r="M892" s="2996">
        <f t="shared" si="145"/>
        <v>1</v>
      </c>
      <c r="N892" s="2994"/>
      <c r="O892" s="2996">
        <f t="shared" si="146"/>
        <v>1</v>
      </c>
      <c r="P892" s="2994"/>
      <c r="Q892" s="2996">
        <f t="shared" si="147"/>
        <v>1</v>
      </c>
      <c r="R892" s="2997">
        <f t="shared" ca="1" si="148"/>
        <v>17260</v>
      </c>
      <c r="S892" s="2962">
        <f t="shared" ca="1" si="149"/>
        <v>106</v>
      </c>
    </row>
    <row r="893" spans="1:19">
      <c r="A893" s="2992" t="str">
        <f>Sheet1!F874</f>
        <v>3-1248</v>
      </c>
      <c r="B893" s="2992">
        <f>Sheet1!G874</f>
        <v>61.41</v>
      </c>
      <c r="C893" s="2996">
        <f t="shared" si="140"/>
        <v>1</v>
      </c>
      <c r="D893" s="2994"/>
      <c r="E893" s="2996">
        <f t="shared" si="141"/>
        <v>1</v>
      </c>
      <c r="F893" s="2994"/>
      <c r="G893" s="2996">
        <f t="shared" si="142"/>
        <v>1</v>
      </c>
      <c r="H893" s="2994"/>
      <c r="I893" s="2996">
        <f t="shared" si="143"/>
        <v>1</v>
      </c>
      <c r="J893" s="2994"/>
      <c r="K893" s="2996">
        <f t="shared" si="144"/>
        <v>1</v>
      </c>
      <c r="L893" s="2994"/>
      <c r="M893" s="2996">
        <f t="shared" si="145"/>
        <v>1</v>
      </c>
      <c r="N893" s="2994"/>
      <c r="O893" s="2996">
        <f t="shared" si="146"/>
        <v>1</v>
      </c>
      <c r="P893" s="2994"/>
      <c r="Q893" s="2996">
        <f t="shared" si="147"/>
        <v>1</v>
      </c>
      <c r="R893" s="2997">
        <f t="shared" ca="1" si="148"/>
        <v>17260</v>
      </c>
      <c r="S893" s="2962">
        <f t="shared" ca="1" si="149"/>
        <v>106</v>
      </c>
    </row>
    <row r="894" spans="1:19">
      <c r="A894" s="2992" t="str">
        <f>Sheet1!F875</f>
        <v>3-1249</v>
      </c>
      <c r="B894" s="2992">
        <f>Sheet1!G875</f>
        <v>61.41</v>
      </c>
      <c r="C894" s="2996">
        <f t="shared" si="140"/>
        <v>1</v>
      </c>
      <c r="D894" s="2994"/>
      <c r="E894" s="2996">
        <f t="shared" si="141"/>
        <v>1</v>
      </c>
      <c r="F894" s="2994"/>
      <c r="G894" s="2996">
        <f t="shared" si="142"/>
        <v>1</v>
      </c>
      <c r="H894" s="2994"/>
      <c r="I894" s="2996">
        <f t="shared" si="143"/>
        <v>1</v>
      </c>
      <c r="J894" s="2994"/>
      <c r="K894" s="2996">
        <f t="shared" si="144"/>
        <v>1</v>
      </c>
      <c r="L894" s="2994"/>
      <c r="M894" s="2996">
        <f t="shared" si="145"/>
        <v>1</v>
      </c>
      <c r="N894" s="2994"/>
      <c r="O894" s="2996">
        <f t="shared" si="146"/>
        <v>1</v>
      </c>
      <c r="P894" s="2994"/>
      <c r="Q894" s="2996">
        <f t="shared" si="147"/>
        <v>1</v>
      </c>
      <c r="R894" s="2997">
        <f t="shared" ca="1" si="148"/>
        <v>17260</v>
      </c>
      <c r="S894" s="2962">
        <f t="shared" ca="1" si="149"/>
        <v>106</v>
      </c>
    </row>
    <row r="895" spans="1:19">
      <c r="A895" s="2992" t="str">
        <f>Sheet1!F876</f>
        <v>3-1250</v>
      </c>
      <c r="B895" s="2992">
        <f>Sheet1!G876</f>
        <v>61.88</v>
      </c>
      <c r="C895" s="2996">
        <f t="shared" si="140"/>
        <v>1</v>
      </c>
      <c r="D895" s="2994"/>
      <c r="E895" s="2996">
        <f t="shared" si="141"/>
        <v>1</v>
      </c>
      <c r="F895" s="2994"/>
      <c r="G895" s="2996">
        <f t="shared" si="142"/>
        <v>1</v>
      </c>
      <c r="H895" s="2994"/>
      <c r="I895" s="2996">
        <f t="shared" si="143"/>
        <v>1</v>
      </c>
      <c r="J895" s="2994"/>
      <c r="K895" s="2996">
        <f t="shared" si="144"/>
        <v>1</v>
      </c>
      <c r="L895" s="2994"/>
      <c r="M895" s="2996">
        <f t="shared" si="145"/>
        <v>1</v>
      </c>
      <c r="N895" s="2994"/>
      <c r="O895" s="2996">
        <f t="shared" si="146"/>
        <v>1</v>
      </c>
      <c r="P895" s="2994"/>
      <c r="Q895" s="2996">
        <f t="shared" si="147"/>
        <v>1</v>
      </c>
      <c r="R895" s="2997">
        <f t="shared" ca="1" si="148"/>
        <v>17260</v>
      </c>
      <c r="S895" s="2962">
        <f t="shared" ca="1" si="149"/>
        <v>107</v>
      </c>
    </row>
    <row r="896" spans="1:19">
      <c r="A896" s="2992" t="str">
        <f>Sheet1!F877</f>
        <v>3-1251</v>
      </c>
      <c r="B896" s="2992">
        <f>Sheet1!G877</f>
        <v>58.8</v>
      </c>
      <c r="C896" s="2996">
        <f t="shared" si="140"/>
        <v>1</v>
      </c>
      <c r="D896" s="2994"/>
      <c r="E896" s="2996">
        <f t="shared" si="141"/>
        <v>1</v>
      </c>
      <c r="F896" s="2994"/>
      <c r="G896" s="2996">
        <f t="shared" si="142"/>
        <v>1</v>
      </c>
      <c r="H896" s="2994"/>
      <c r="I896" s="2996">
        <f t="shared" si="143"/>
        <v>1</v>
      </c>
      <c r="J896" s="2994"/>
      <c r="K896" s="2996">
        <f t="shared" si="144"/>
        <v>1</v>
      </c>
      <c r="L896" s="2994"/>
      <c r="M896" s="2996">
        <f t="shared" si="145"/>
        <v>1</v>
      </c>
      <c r="N896" s="2994"/>
      <c r="O896" s="2996">
        <f t="shared" si="146"/>
        <v>1</v>
      </c>
      <c r="P896" s="2994"/>
      <c r="Q896" s="2996">
        <f t="shared" si="147"/>
        <v>1</v>
      </c>
      <c r="R896" s="2997">
        <f t="shared" ca="1" si="148"/>
        <v>17260</v>
      </c>
      <c r="S896" s="2962">
        <f t="shared" ca="1" si="149"/>
        <v>101</v>
      </c>
    </row>
    <row r="897" spans="1:19">
      <c r="A897" s="2992" t="str">
        <f>Sheet1!F878</f>
        <v>3-1252</v>
      </c>
      <c r="B897" s="2992">
        <f>Sheet1!G878</f>
        <v>60.21</v>
      </c>
      <c r="C897" s="2996">
        <f t="shared" si="140"/>
        <v>1</v>
      </c>
      <c r="D897" s="2994"/>
      <c r="E897" s="2996">
        <f t="shared" si="141"/>
        <v>1</v>
      </c>
      <c r="F897" s="2994"/>
      <c r="G897" s="2996">
        <f t="shared" si="142"/>
        <v>1</v>
      </c>
      <c r="H897" s="2994"/>
      <c r="I897" s="2996">
        <f t="shared" si="143"/>
        <v>1</v>
      </c>
      <c r="J897" s="2994"/>
      <c r="K897" s="2996">
        <f t="shared" si="144"/>
        <v>1</v>
      </c>
      <c r="L897" s="2994"/>
      <c r="M897" s="2996">
        <f t="shared" si="145"/>
        <v>1</v>
      </c>
      <c r="N897" s="2994"/>
      <c r="O897" s="2996">
        <f t="shared" si="146"/>
        <v>1</v>
      </c>
      <c r="P897" s="2994"/>
      <c r="Q897" s="2996">
        <f t="shared" si="147"/>
        <v>1</v>
      </c>
      <c r="R897" s="2997">
        <f t="shared" ca="1" si="148"/>
        <v>17260</v>
      </c>
      <c r="S897" s="2962">
        <f t="shared" ca="1" si="149"/>
        <v>104</v>
      </c>
    </row>
    <row r="898" spans="1:19">
      <c r="A898" s="2992" t="str">
        <f>Sheet1!F879</f>
        <v>4-1201</v>
      </c>
      <c r="B898" s="2992">
        <f>Sheet1!G879</f>
        <v>65.760000000000005</v>
      </c>
      <c r="C898" s="2996">
        <f t="shared" si="140"/>
        <v>1</v>
      </c>
      <c r="D898" s="2994"/>
      <c r="E898" s="2996">
        <f t="shared" si="141"/>
        <v>1</v>
      </c>
      <c r="F898" s="2994"/>
      <c r="G898" s="2996">
        <f t="shared" si="142"/>
        <v>1</v>
      </c>
      <c r="H898" s="2994"/>
      <c r="I898" s="2996">
        <f t="shared" si="143"/>
        <v>1</v>
      </c>
      <c r="J898" s="2994"/>
      <c r="K898" s="2996">
        <f t="shared" si="144"/>
        <v>1</v>
      </c>
      <c r="L898" s="2994"/>
      <c r="M898" s="2996">
        <f t="shared" si="145"/>
        <v>1</v>
      </c>
      <c r="N898" s="2994"/>
      <c r="O898" s="2996">
        <f t="shared" si="146"/>
        <v>1</v>
      </c>
      <c r="P898" s="2994"/>
      <c r="Q898" s="2996">
        <f t="shared" si="147"/>
        <v>1</v>
      </c>
      <c r="R898" s="2997">
        <f t="shared" ca="1" si="148"/>
        <v>17260</v>
      </c>
      <c r="S898" s="2962">
        <f t="shared" ca="1" si="149"/>
        <v>114</v>
      </c>
    </row>
    <row r="899" spans="1:19">
      <c r="A899" s="2992" t="str">
        <f>Sheet1!F880</f>
        <v>4-1202</v>
      </c>
      <c r="B899" s="2992">
        <f>Sheet1!G880</f>
        <v>59.41</v>
      </c>
      <c r="C899" s="2996">
        <f t="shared" si="140"/>
        <v>1</v>
      </c>
      <c r="D899" s="2994"/>
      <c r="E899" s="2996">
        <f t="shared" si="141"/>
        <v>1</v>
      </c>
      <c r="F899" s="2994"/>
      <c r="G899" s="2996">
        <f t="shared" si="142"/>
        <v>1</v>
      </c>
      <c r="H899" s="2994"/>
      <c r="I899" s="2996">
        <f t="shared" si="143"/>
        <v>1</v>
      </c>
      <c r="J899" s="2994"/>
      <c r="K899" s="2996">
        <f t="shared" si="144"/>
        <v>1</v>
      </c>
      <c r="L899" s="2994"/>
      <c r="M899" s="2996">
        <f t="shared" si="145"/>
        <v>1</v>
      </c>
      <c r="N899" s="2994"/>
      <c r="O899" s="2996">
        <f t="shared" si="146"/>
        <v>1</v>
      </c>
      <c r="P899" s="2994"/>
      <c r="Q899" s="2996">
        <f t="shared" si="147"/>
        <v>1</v>
      </c>
      <c r="R899" s="2997">
        <f t="shared" ca="1" si="148"/>
        <v>17260</v>
      </c>
      <c r="S899" s="2962">
        <f t="shared" ca="1" si="149"/>
        <v>103</v>
      </c>
    </row>
    <row r="900" spans="1:19">
      <c r="A900" s="2992" t="str">
        <f>Sheet1!F881</f>
        <v>4-1203</v>
      </c>
      <c r="B900" s="2992">
        <f>Sheet1!G881</f>
        <v>60.69</v>
      </c>
      <c r="C900" s="2996">
        <f t="shared" si="140"/>
        <v>1</v>
      </c>
      <c r="D900" s="2994"/>
      <c r="E900" s="2996">
        <f t="shared" si="141"/>
        <v>1</v>
      </c>
      <c r="F900" s="2994"/>
      <c r="G900" s="2996">
        <f t="shared" si="142"/>
        <v>1</v>
      </c>
      <c r="H900" s="2994"/>
      <c r="I900" s="2996">
        <f t="shared" si="143"/>
        <v>1</v>
      </c>
      <c r="J900" s="2994"/>
      <c r="K900" s="2996">
        <f t="shared" si="144"/>
        <v>1</v>
      </c>
      <c r="L900" s="2994"/>
      <c r="M900" s="2996">
        <f t="shared" si="145"/>
        <v>1</v>
      </c>
      <c r="N900" s="2994"/>
      <c r="O900" s="2996">
        <f t="shared" si="146"/>
        <v>1</v>
      </c>
      <c r="P900" s="2994"/>
      <c r="Q900" s="2996">
        <f t="shared" si="147"/>
        <v>1</v>
      </c>
      <c r="R900" s="2997">
        <f t="shared" ca="1" si="148"/>
        <v>17260</v>
      </c>
      <c r="S900" s="2962">
        <f t="shared" ca="1" si="149"/>
        <v>105</v>
      </c>
    </row>
    <row r="901" spans="1:19">
      <c r="A901" s="2992" t="str">
        <f>Sheet1!F882</f>
        <v>4-1204</v>
      </c>
      <c r="B901" s="2992">
        <f>Sheet1!G882</f>
        <v>60.69</v>
      </c>
      <c r="C901" s="2996">
        <f t="shared" si="140"/>
        <v>1</v>
      </c>
      <c r="D901" s="2994"/>
      <c r="E901" s="2996">
        <f t="shared" si="141"/>
        <v>1</v>
      </c>
      <c r="F901" s="2994"/>
      <c r="G901" s="2996">
        <f t="shared" si="142"/>
        <v>1</v>
      </c>
      <c r="H901" s="2994"/>
      <c r="I901" s="2996">
        <f t="shared" si="143"/>
        <v>1</v>
      </c>
      <c r="J901" s="2994"/>
      <c r="K901" s="2996">
        <f t="shared" si="144"/>
        <v>1</v>
      </c>
      <c r="L901" s="2994"/>
      <c r="M901" s="2996">
        <f t="shared" si="145"/>
        <v>1</v>
      </c>
      <c r="N901" s="2994"/>
      <c r="O901" s="2996">
        <f t="shared" si="146"/>
        <v>1</v>
      </c>
      <c r="P901" s="2994"/>
      <c r="Q901" s="2996">
        <f t="shared" si="147"/>
        <v>1</v>
      </c>
      <c r="R901" s="2997">
        <f t="shared" ca="1" si="148"/>
        <v>17260</v>
      </c>
      <c r="S901" s="2962">
        <f t="shared" ca="1" si="149"/>
        <v>105</v>
      </c>
    </row>
    <row r="902" spans="1:19">
      <c r="A902" s="2992" t="str">
        <f>Sheet1!F883</f>
        <v>4-1205</v>
      </c>
      <c r="B902" s="2992">
        <f>Sheet1!G883</f>
        <v>60.69</v>
      </c>
      <c r="C902" s="2996">
        <f t="shared" si="140"/>
        <v>1</v>
      </c>
      <c r="D902" s="2994"/>
      <c r="E902" s="2996">
        <f t="shared" si="141"/>
        <v>1</v>
      </c>
      <c r="F902" s="2994"/>
      <c r="G902" s="2996">
        <f t="shared" si="142"/>
        <v>1</v>
      </c>
      <c r="H902" s="2994"/>
      <c r="I902" s="2996">
        <f t="shared" si="143"/>
        <v>1</v>
      </c>
      <c r="J902" s="2994"/>
      <c r="K902" s="2996">
        <f t="shared" si="144"/>
        <v>1</v>
      </c>
      <c r="L902" s="2994"/>
      <c r="M902" s="2996">
        <f t="shared" si="145"/>
        <v>1</v>
      </c>
      <c r="N902" s="2994"/>
      <c r="O902" s="2996">
        <f t="shared" si="146"/>
        <v>1</v>
      </c>
      <c r="P902" s="2994"/>
      <c r="Q902" s="2996">
        <f t="shared" si="147"/>
        <v>1</v>
      </c>
      <c r="R902" s="2997">
        <f t="shared" ca="1" si="148"/>
        <v>17260</v>
      </c>
      <c r="S902" s="2962">
        <f t="shared" ca="1" si="149"/>
        <v>105</v>
      </c>
    </row>
    <row r="903" spans="1:19">
      <c r="A903" s="2992" t="str">
        <f>Sheet1!F884</f>
        <v>4-1206</v>
      </c>
      <c r="B903" s="2992">
        <f>Sheet1!G884</f>
        <v>60.69</v>
      </c>
      <c r="C903" s="2996">
        <f t="shared" si="140"/>
        <v>1</v>
      </c>
      <c r="D903" s="2994"/>
      <c r="E903" s="2996">
        <f t="shared" si="141"/>
        <v>1</v>
      </c>
      <c r="F903" s="2994"/>
      <c r="G903" s="2996">
        <f t="shared" si="142"/>
        <v>1</v>
      </c>
      <c r="H903" s="2994"/>
      <c r="I903" s="2996">
        <f t="shared" si="143"/>
        <v>1</v>
      </c>
      <c r="J903" s="2994"/>
      <c r="K903" s="2996">
        <f t="shared" si="144"/>
        <v>1</v>
      </c>
      <c r="L903" s="2994"/>
      <c r="M903" s="2996">
        <f t="shared" si="145"/>
        <v>1</v>
      </c>
      <c r="N903" s="2994"/>
      <c r="O903" s="2996">
        <f t="shared" si="146"/>
        <v>1</v>
      </c>
      <c r="P903" s="2994"/>
      <c r="Q903" s="2996">
        <f t="shared" si="147"/>
        <v>1</v>
      </c>
      <c r="R903" s="2997">
        <f t="shared" ca="1" si="148"/>
        <v>17260</v>
      </c>
      <c r="S903" s="2962">
        <f t="shared" ca="1" si="149"/>
        <v>105</v>
      </c>
    </row>
    <row r="904" spans="1:19">
      <c r="A904" s="2992" t="str">
        <f>Sheet1!F885</f>
        <v>4-1207</v>
      </c>
      <c r="B904" s="2992">
        <f>Sheet1!G885</f>
        <v>60.69</v>
      </c>
      <c r="C904" s="2996">
        <f t="shared" si="140"/>
        <v>1</v>
      </c>
      <c r="D904" s="2994"/>
      <c r="E904" s="2996">
        <f t="shared" si="141"/>
        <v>1</v>
      </c>
      <c r="F904" s="2994"/>
      <c r="G904" s="2996">
        <f t="shared" si="142"/>
        <v>1</v>
      </c>
      <c r="H904" s="2994"/>
      <c r="I904" s="2996">
        <f t="shared" si="143"/>
        <v>1</v>
      </c>
      <c r="J904" s="2994"/>
      <c r="K904" s="2996">
        <f t="shared" si="144"/>
        <v>1</v>
      </c>
      <c r="L904" s="2994"/>
      <c r="M904" s="2996">
        <f t="shared" si="145"/>
        <v>1</v>
      </c>
      <c r="N904" s="2994"/>
      <c r="O904" s="2996">
        <f t="shared" si="146"/>
        <v>1</v>
      </c>
      <c r="P904" s="2994"/>
      <c r="Q904" s="2996">
        <f t="shared" si="147"/>
        <v>1</v>
      </c>
      <c r="R904" s="2997">
        <f t="shared" ca="1" si="148"/>
        <v>17260</v>
      </c>
      <c r="S904" s="2962">
        <f t="shared" ca="1" si="149"/>
        <v>105</v>
      </c>
    </row>
    <row r="905" spans="1:19">
      <c r="A905" s="2992" t="str">
        <f>Sheet1!F886</f>
        <v>4-1208</v>
      </c>
      <c r="B905" s="2992">
        <f>Sheet1!G886</f>
        <v>60.69</v>
      </c>
      <c r="C905" s="2996">
        <f t="shared" si="140"/>
        <v>1</v>
      </c>
      <c r="D905" s="2994"/>
      <c r="E905" s="2996">
        <f t="shared" si="141"/>
        <v>1</v>
      </c>
      <c r="F905" s="2994"/>
      <c r="G905" s="2996">
        <f t="shared" si="142"/>
        <v>1</v>
      </c>
      <c r="H905" s="2994"/>
      <c r="I905" s="2996">
        <f t="shared" si="143"/>
        <v>1</v>
      </c>
      <c r="J905" s="2994"/>
      <c r="K905" s="2996">
        <f t="shared" si="144"/>
        <v>1</v>
      </c>
      <c r="L905" s="2994"/>
      <c r="M905" s="2996">
        <f t="shared" si="145"/>
        <v>1</v>
      </c>
      <c r="N905" s="2994"/>
      <c r="O905" s="2996">
        <f t="shared" si="146"/>
        <v>1</v>
      </c>
      <c r="P905" s="2994"/>
      <c r="Q905" s="2996">
        <f t="shared" si="147"/>
        <v>1</v>
      </c>
      <c r="R905" s="2997">
        <f t="shared" ca="1" si="148"/>
        <v>17260</v>
      </c>
      <c r="S905" s="2962">
        <f t="shared" ca="1" si="149"/>
        <v>105</v>
      </c>
    </row>
    <row r="906" spans="1:19">
      <c r="A906" s="2992" t="str">
        <f>Sheet1!F887</f>
        <v>4-1209</v>
      </c>
      <c r="B906" s="2992">
        <f>Sheet1!G887</f>
        <v>60.69</v>
      </c>
      <c r="C906" s="2996">
        <f t="shared" si="140"/>
        <v>1</v>
      </c>
      <c r="D906" s="2994"/>
      <c r="E906" s="2996">
        <f t="shared" si="141"/>
        <v>1</v>
      </c>
      <c r="F906" s="2994"/>
      <c r="G906" s="2996">
        <f t="shared" si="142"/>
        <v>1</v>
      </c>
      <c r="H906" s="2994"/>
      <c r="I906" s="2996">
        <f t="shared" si="143"/>
        <v>1</v>
      </c>
      <c r="J906" s="2994"/>
      <c r="K906" s="2996">
        <f t="shared" si="144"/>
        <v>1</v>
      </c>
      <c r="L906" s="2994"/>
      <c r="M906" s="2996">
        <f t="shared" si="145"/>
        <v>1</v>
      </c>
      <c r="N906" s="2994"/>
      <c r="O906" s="2996">
        <f t="shared" si="146"/>
        <v>1</v>
      </c>
      <c r="P906" s="2994"/>
      <c r="Q906" s="2996">
        <f t="shared" si="147"/>
        <v>1</v>
      </c>
      <c r="R906" s="2997">
        <f t="shared" ca="1" si="148"/>
        <v>17260</v>
      </c>
      <c r="S906" s="2962">
        <f t="shared" ca="1" si="149"/>
        <v>105</v>
      </c>
    </row>
    <row r="907" spans="1:19">
      <c r="A907" s="2992" t="str">
        <f>Sheet1!F888</f>
        <v>4-1210</v>
      </c>
      <c r="B907" s="2992">
        <f>Sheet1!G888</f>
        <v>60.69</v>
      </c>
      <c r="C907" s="2996">
        <f t="shared" si="140"/>
        <v>1</v>
      </c>
      <c r="D907" s="2994"/>
      <c r="E907" s="2996">
        <f t="shared" si="141"/>
        <v>1</v>
      </c>
      <c r="F907" s="2994"/>
      <c r="G907" s="2996">
        <f t="shared" si="142"/>
        <v>1</v>
      </c>
      <c r="H907" s="2994"/>
      <c r="I907" s="2996">
        <f t="shared" si="143"/>
        <v>1</v>
      </c>
      <c r="J907" s="2994"/>
      <c r="K907" s="2996">
        <f t="shared" si="144"/>
        <v>1</v>
      </c>
      <c r="L907" s="2994"/>
      <c r="M907" s="2996">
        <f t="shared" si="145"/>
        <v>1</v>
      </c>
      <c r="N907" s="2994"/>
      <c r="O907" s="2996">
        <f t="shared" si="146"/>
        <v>1</v>
      </c>
      <c r="P907" s="2994"/>
      <c r="Q907" s="2996">
        <f t="shared" si="147"/>
        <v>1</v>
      </c>
      <c r="R907" s="2997">
        <f t="shared" ca="1" si="148"/>
        <v>17260</v>
      </c>
      <c r="S907" s="2962">
        <f t="shared" ca="1" si="149"/>
        <v>105</v>
      </c>
    </row>
    <row r="908" spans="1:19">
      <c r="A908" s="2992" t="str">
        <f>Sheet1!F889</f>
        <v>4-1211</v>
      </c>
      <c r="B908" s="2992">
        <f>Sheet1!G889</f>
        <v>60.69</v>
      </c>
      <c r="C908" s="2996">
        <f t="shared" si="140"/>
        <v>1</v>
      </c>
      <c r="D908" s="2994"/>
      <c r="E908" s="2996">
        <f t="shared" si="141"/>
        <v>1</v>
      </c>
      <c r="F908" s="2994"/>
      <c r="G908" s="2996">
        <f t="shared" si="142"/>
        <v>1</v>
      </c>
      <c r="H908" s="2994"/>
      <c r="I908" s="2996">
        <f t="shared" si="143"/>
        <v>1</v>
      </c>
      <c r="J908" s="2994"/>
      <c r="K908" s="2996">
        <f t="shared" si="144"/>
        <v>1</v>
      </c>
      <c r="L908" s="2994"/>
      <c r="M908" s="2996">
        <f t="shared" si="145"/>
        <v>1</v>
      </c>
      <c r="N908" s="2994"/>
      <c r="O908" s="2996">
        <f t="shared" si="146"/>
        <v>1</v>
      </c>
      <c r="P908" s="2994"/>
      <c r="Q908" s="2996">
        <f t="shared" si="147"/>
        <v>1</v>
      </c>
      <c r="R908" s="2997">
        <f t="shared" ca="1" si="148"/>
        <v>17260</v>
      </c>
      <c r="S908" s="2962">
        <f t="shared" ca="1" si="149"/>
        <v>105</v>
      </c>
    </row>
    <row r="909" spans="1:19">
      <c r="A909" s="2992" t="str">
        <f>Sheet1!F890</f>
        <v>4-1212</v>
      </c>
      <c r="B909" s="2992">
        <f>Sheet1!G890</f>
        <v>54.3</v>
      </c>
      <c r="C909" s="2996">
        <f t="shared" ref="C909:C972" si="150">IF(B909="",1,(LOOKUP(B909,$3:$3,$4:$4)-LOOKUP($B$24,$3:$3,$4:$4)+100)/100)</f>
        <v>1</v>
      </c>
      <c r="D909" s="2994"/>
      <c r="E909" s="2996">
        <f t="shared" ref="E909:E972" si="151">(SUMIF($5:$5,D909,$6:$6)-SUMIF($5:$5,$D$24,$6:$6)+100)/100</f>
        <v>1</v>
      </c>
      <c r="F909" s="2994"/>
      <c r="G909" s="2996">
        <f t="shared" ref="G909:G972" si="152">(SUMIF($7:$7,F909,$8:$8)-SUMIF($7:$7,$F$24,$8:$8)+100)/100</f>
        <v>1</v>
      </c>
      <c r="H909" s="2994"/>
      <c r="I909" s="2996">
        <f t="shared" ref="I909:I972" si="153">(SUMIF($9:$9,H909,$10:$10)-SUMIF($9:$9,$H$24,$10:$10)+100)/100</f>
        <v>1</v>
      </c>
      <c r="J909" s="2994"/>
      <c r="K909" s="2996">
        <f t="shared" ref="K909:K972" si="154">(SUMIF($11:$11,J909,$12:$12)-SUMIF($11:$11,$J$24,$12:$12)+100)/100</f>
        <v>1</v>
      </c>
      <c r="L909" s="2994"/>
      <c r="M909" s="2996">
        <f t="shared" ref="M909:M972" si="155">(SUMIF($13:$13,L909,$14:$14)-SUMIF($13:$13,$L$24,$14:$14)+100)/100</f>
        <v>1</v>
      </c>
      <c r="N909" s="2994"/>
      <c r="O909" s="2996">
        <f t="shared" ref="O909:O972" si="156">(SUMIF($15:$15,N909,$16:$16)-SUMIF($15:$15,$N$24,$16:$16)+100)/100</f>
        <v>1</v>
      </c>
      <c r="P909" s="2994"/>
      <c r="Q909" s="2996">
        <f t="shared" ref="Q909:Q972" si="157">(SUMIF($17:$17,P909,$18:$18)-SUMIF($17:$17,$P$24,$18:$18)+100)/100</f>
        <v>1</v>
      </c>
      <c r="R909" s="2997">
        <f t="shared" ref="R909:R972" ca="1" si="158">IF(B909="",0,ROUND($R$24*C909*E909*G909*I909*K909*M909*O909*Q909,0))</f>
        <v>17260</v>
      </c>
      <c r="S909" s="2962">
        <f t="shared" ref="S909:S972" ca="1" si="159">ROUND(R909*B909/10000,0)</f>
        <v>94</v>
      </c>
    </row>
    <row r="910" spans="1:19">
      <c r="A910" s="2992" t="str">
        <f>Sheet1!F891</f>
        <v>4-1213</v>
      </c>
      <c r="B910" s="2992">
        <f>Sheet1!G891</f>
        <v>60.68</v>
      </c>
      <c r="C910" s="2996">
        <f t="shared" si="150"/>
        <v>1</v>
      </c>
      <c r="D910" s="2994"/>
      <c r="E910" s="2996">
        <f t="shared" si="151"/>
        <v>1</v>
      </c>
      <c r="F910" s="2994"/>
      <c r="G910" s="2996">
        <f t="shared" si="152"/>
        <v>1</v>
      </c>
      <c r="H910" s="2994"/>
      <c r="I910" s="2996">
        <f t="shared" si="153"/>
        <v>1</v>
      </c>
      <c r="J910" s="2994"/>
      <c r="K910" s="2996">
        <f t="shared" si="154"/>
        <v>1</v>
      </c>
      <c r="L910" s="2994"/>
      <c r="M910" s="2996">
        <f t="shared" si="155"/>
        <v>1</v>
      </c>
      <c r="N910" s="2994"/>
      <c r="O910" s="2996">
        <f t="shared" si="156"/>
        <v>1</v>
      </c>
      <c r="P910" s="2994"/>
      <c r="Q910" s="2996">
        <f t="shared" si="157"/>
        <v>1</v>
      </c>
      <c r="R910" s="2997">
        <f t="shared" ca="1" si="158"/>
        <v>17260</v>
      </c>
      <c r="S910" s="2962">
        <f t="shared" ca="1" si="159"/>
        <v>105</v>
      </c>
    </row>
    <row r="911" spans="1:19">
      <c r="A911" s="2992" t="str">
        <f>Sheet1!F892</f>
        <v>4-1214</v>
      </c>
      <c r="B911" s="2992">
        <f>Sheet1!G892</f>
        <v>80.459999999999994</v>
      </c>
      <c r="C911" s="2996">
        <f t="shared" si="150"/>
        <v>1</v>
      </c>
      <c r="D911" s="2994"/>
      <c r="E911" s="2996">
        <f t="shared" si="151"/>
        <v>1</v>
      </c>
      <c r="F911" s="2994"/>
      <c r="G911" s="2996">
        <f t="shared" si="152"/>
        <v>1</v>
      </c>
      <c r="H911" s="2994"/>
      <c r="I911" s="2996">
        <f t="shared" si="153"/>
        <v>1</v>
      </c>
      <c r="J911" s="2994"/>
      <c r="K911" s="2996">
        <f t="shared" si="154"/>
        <v>1</v>
      </c>
      <c r="L911" s="2994"/>
      <c r="M911" s="2996">
        <f t="shared" si="155"/>
        <v>1</v>
      </c>
      <c r="N911" s="2994"/>
      <c r="O911" s="2996">
        <f t="shared" si="156"/>
        <v>1</v>
      </c>
      <c r="P911" s="2994"/>
      <c r="Q911" s="2996">
        <f t="shared" si="157"/>
        <v>1</v>
      </c>
      <c r="R911" s="2997">
        <f t="shared" ca="1" si="158"/>
        <v>17260</v>
      </c>
      <c r="S911" s="2962">
        <f t="shared" ca="1" si="159"/>
        <v>139</v>
      </c>
    </row>
    <row r="912" spans="1:19">
      <c r="A912" s="2992" t="str">
        <f>Sheet1!F893</f>
        <v>4-1215</v>
      </c>
      <c r="B912" s="2992">
        <f>Sheet1!G893</f>
        <v>80.45</v>
      </c>
      <c r="C912" s="2996">
        <f t="shared" si="150"/>
        <v>1</v>
      </c>
      <c r="D912" s="2994"/>
      <c r="E912" s="2996">
        <f t="shared" si="151"/>
        <v>1</v>
      </c>
      <c r="F912" s="2994"/>
      <c r="G912" s="2996">
        <f t="shared" si="152"/>
        <v>1</v>
      </c>
      <c r="H912" s="2994"/>
      <c r="I912" s="2996">
        <f t="shared" si="153"/>
        <v>1</v>
      </c>
      <c r="J912" s="2994"/>
      <c r="K912" s="2996">
        <f t="shared" si="154"/>
        <v>1</v>
      </c>
      <c r="L912" s="2994"/>
      <c r="M912" s="2996">
        <f t="shared" si="155"/>
        <v>1</v>
      </c>
      <c r="N912" s="2994"/>
      <c r="O912" s="2996">
        <f t="shared" si="156"/>
        <v>1</v>
      </c>
      <c r="P912" s="2994"/>
      <c r="Q912" s="2996">
        <f t="shared" si="157"/>
        <v>1</v>
      </c>
      <c r="R912" s="2997">
        <f t="shared" ca="1" si="158"/>
        <v>17260</v>
      </c>
      <c r="S912" s="2962">
        <f t="shared" ca="1" si="159"/>
        <v>139</v>
      </c>
    </row>
    <row r="913" spans="1:19">
      <c r="A913" s="2992" t="str">
        <f>Sheet1!F894</f>
        <v>4-1216</v>
      </c>
      <c r="B913" s="2992">
        <f>Sheet1!G894</f>
        <v>60.69</v>
      </c>
      <c r="C913" s="2996">
        <f t="shared" si="150"/>
        <v>1</v>
      </c>
      <c r="D913" s="2994"/>
      <c r="E913" s="2996">
        <f t="shared" si="151"/>
        <v>1</v>
      </c>
      <c r="F913" s="2994"/>
      <c r="G913" s="2996">
        <f t="shared" si="152"/>
        <v>1</v>
      </c>
      <c r="H913" s="2994"/>
      <c r="I913" s="2996">
        <f t="shared" si="153"/>
        <v>1</v>
      </c>
      <c r="J913" s="2994"/>
      <c r="K913" s="2996">
        <f t="shared" si="154"/>
        <v>1</v>
      </c>
      <c r="L913" s="2994"/>
      <c r="M913" s="2996">
        <f t="shared" si="155"/>
        <v>1</v>
      </c>
      <c r="N913" s="2994"/>
      <c r="O913" s="2996">
        <f t="shared" si="156"/>
        <v>1</v>
      </c>
      <c r="P913" s="2994"/>
      <c r="Q913" s="2996">
        <f t="shared" si="157"/>
        <v>1</v>
      </c>
      <c r="R913" s="2997">
        <f t="shared" ca="1" si="158"/>
        <v>17260</v>
      </c>
      <c r="S913" s="2962">
        <f t="shared" ca="1" si="159"/>
        <v>105</v>
      </c>
    </row>
    <row r="914" spans="1:19">
      <c r="A914" s="2992" t="str">
        <f>Sheet1!F895</f>
        <v>4-1217</v>
      </c>
      <c r="B914" s="2992">
        <f>Sheet1!G895</f>
        <v>60.69</v>
      </c>
      <c r="C914" s="2996">
        <f t="shared" si="150"/>
        <v>1</v>
      </c>
      <c r="D914" s="2994"/>
      <c r="E914" s="2996">
        <f t="shared" si="151"/>
        <v>1</v>
      </c>
      <c r="F914" s="2994"/>
      <c r="G914" s="2996">
        <f t="shared" si="152"/>
        <v>1</v>
      </c>
      <c r="H914" s="2994"/>
      <c r="I914" s="2996">
        <f t="shared" si="153"/>
        <v>1</v>
      </c>
      <c r="J914" s="2994"/>
      <c r="K914" s="2996">
        <f t="shared" si="154"/>
        <v>1</v>
      </c>
      <c r="L914" s="2994"/>
      <c r="M914" s="2996">
        <f t="shared" si="155"/>
        <v>1</v>
      </c>
      <c r="N914" s="2994"/>
      <c r="O914" s="2996">
        <f t="shared" si="156"/>
        <v>1</v>
      </c>
      <c r="P914" s="2994"/>
      <c r="Q914" s="2996">
        <f t="shared" si="157"/>
        <v>1</v>
      </c>
      <c r="R914" s="2997">
        <f t="shared" ca="1" si="158"/>
        <v>17260</v>
      </c>
      <c r="S914" s="2962">
        <f t="shared" ca="1" si="159"/>
        <v>105</v>
      </c>
    </row>
    <row r="915" spans="1:19">
      <c r="A915" s="2992" t="str">
        <f>Sheet1!F896</f>
        <v>4-1218</v>
      </c>
      <c r="B915" s="2992">
        <f>Sheet1!G896</f>
        <v>60.68</v>
      </c>
      <c r="C915" s="2996">
        <f t="shared" si="150"/>
        <v>1</v>
      </c>
      <c r="D915" s="2994"/>
      <c r="E915" s="2996">
        <f t="shared" si="151"/>
        <v>1</v>
      </c>
      <c r="F915" s="2994"/>
      <c r="G915" s="2996">
        <f t="shared" si="152"/>
        <v>1</v>
      </c>
      <c r="H915" s="2994"/>
      <c r="I915" s="2996">
        <f t="shared" si="153"/>
        <v>1</v>
      </c>
      <c r="J915" s="2994"/>
      <c r="K915" s="2996">
        <f t="shared" si="154"/>
        <v>1</v>
      </c>
      <c r="L915" s="2994"/>
      <c r="M915" s="2996">
        <f t="shared" si="155"/>
        <v>1</v>
      </c>
      <c r="N915" s="2994"/>
      <c r="O915" s="2996">
        <f t="shared" si="156"/>
        <v>1</v>
      </c>
      <c r="P915" s="2994"/>
      <c r="Q915" s="2996">
        <f t="shared" si="157"/>
        <v>1</v>
      </c>
      <c r="R915" s="2997">
        <f t="shared" ca="1" si="158"/>
        <v>17260</v>
      </c>
      <c r="S915" s="2962">
        <f t="shared" ca="1" si="159"/>
        <v>105</v>
      </c>
    </row>
    <row r="916" spans="1:19">
      <c r="A916" s="2992" t="str">
        <f>Sheet1!F897</f>
        <v>4-1219</v>
      </c>
      <c r="B916" s="2992">
        <f>Sheet1!G897</f>
        <v>60.69</v>
      </c>
      <c r="C916" s="2996">
        <f t="shared" si="150"/>
        <v>1</v>
      </c>
      <c r="D916" s="2994"/>
      <c r="E916" s="2996">
        <f t="shared" si="151"/>
        <v>1</v>
      </c>
      <c r="F916" s="2994"/>
      <c r="G916" s="2996">
        <f t="shared" si="152"/>
        <v>1</v>
      </c>
      <c r="H916" s="2994"/>
      <c r="I916" s="2996">
        <f t="shared" si="153"/>
        <v>1</v>
      </c>
      <c r="J916" s="2994"/>
      <c r="K916" s="2996">
        <f t="shared" si="154"/>
        <v>1</v>
      </c>
      <c r="L916" s="2994"/>
      <c r="M916" s="2996">
        <f t="shared" si="155"/>
        <v>1</v>
      </c>
      <c r="N916" s="2994"/>
      <c r="O916" s="2996">
        <f t="shared" si="156"/>
        <v>1</v>
      </c>
      <c r="P916" s="2994"/>
      <c r="Q916" s="2996">
        <f t="shared" si="157"/>
        <v>1</v>
      </c>
      <c r="R916" s="2997">
        <f t="shared" ca="1" si="158"/>
        <v>17260</v>
      </c>
      <c r="S916" s="2962">
        <f t="shared" ca="1" si="159"/>
        <v>105</v>
      </c>
    </row>
    <row r="917" spans="1:19">
      <c r="A917" s="2992" t="str">
        <f>Sheet1!F898</f>
        <v>4-1220</v>
      </c>
      <c r="B917" s="2992">
        <f>Sheet1!G898</f>
        <v>60.69</v>
      </c>
      <c r="C917" s="2996">
        <f t="shared" si="150"/>
        <v>1</v>
      </c>
      <c r="D917" s="2994"/>
      <c r="E917" s="2996">
        <f t="shared" si="151"/>
        <v>1</v>
      </c>
      <c r="F917" s="2994"/>
      <c r="G917" s="2996">
        <f t="shared" si="152"/>
        <v>1</v>
      </c>
      <c r="H917" s="2994"/>
      <c r="I917" s="2996">
        <f t="shared" si="153"/>
        <v>1</v>
      </c>
      <c r="J917" s="2994"/>
      <c r="K917" s="2996">
        <f t="shared" si="154"/>
        <v>1</v>
      </c>
      <c r="L917" s="2994"/>
      <c r="M917" s="2996">
        <f t="shared" si="155"/>
        <v>1</v>
      </c>
      <c r="N917" s="2994"/>
      <c r="O917" s="2996">
        <f t="shared" si="156"/>
        <v>1</v>
      </c>
      <c r="P917" s="2994"/>
      <c r="Q917" s="2996">
        <f t="shared" si="157"/>
        <v>1</v>
      </c>
      <c r="R917" s="2997">
        <f t="shared" ca="1" si="158"/>
        <v>17260</v>
      </c>
      <c r="S917" s="2962">
        <f t="shared" ca="1" si="159"/>
        <v>105</v>
      </c>
    </row>
    <row r="918" spans="1:19">
      <c r="A918" s="2992" t="str">
        <f>Sheet1!F899</f>
        <v>4-1221</v>
      </c>
      <c r="B918" s="2992">
        <f>Sheet1!G899</f>
        <v>60.69</v>
      </c>
      <c r="C918" s="2996">
        <f t="shared" si="150"/>
        <v>1</v>
      </c>
      <c r="D918" s="2994"/>
      <c r="E918" s="2996">
        <f t="shared" si="151"/>
        <v>1</v>
      </c>
      <c r="F918" s="2994"/>
      <c r="G918" s="2996">
        <f t="shared" si="152"/>
        <v>1</v>
      </c>
      <c r="H918" s="2994"/>
      <c r="I918" s="2996">
        <f t="shared" si="153"/>
        <v>1</v>
      </c>
      <c r="J918" s="2994"/>
      <c r="K918" s="2996">
        <f t="shared" si="154"/>
        <v>1</v>
      </c>
      <c r="L918" s="2994"/>
      <c r="M918" s="2996">
        <f t="shared" si="155"/>
        <v>1</v>
      </c>
      <c r="N918" s="2994"/>
      <c r="O918" s="2996">
        <f t="shared" si="156"/>
        <v>1</v>
      </c>
      <c r="P918" s="2994"/>
      <c r="Q918" s="2996">
        <f t="shared" si="157"/>
        <v>1</v>
      </c>
      <c r="R918" s="2997">
        <f t="shared" ca="1" si="158"/>
        <v>17260</v>
      </c>
      <c r="S918" s="2962">
        <f t="shared" ca="1" si="159"/>
        <v>105</v>
      </c>
    </row>
    <row r="919" spans="1:19">
      <c r="A919" s="2992" t="str">
        <f>Sheet1!F900</f>
        <v>4-1222</v>
      </c>
      <c r="B919" s="2992">
        <f>Sheet1!G900</f>
        <v>60.69</v>
      </c>
      <c r="C919" s="2996">
        <f t="shared" si="150"/>
        <v>1</v>
      </c>
      <c r="D919" s="2994"/>
      <c r="E919" s="2996">
        <f t="shared" si="151"/>
        <v>1</v>
      </c>
      <c r="F919" s="2994"/>
      <c r="G919" s="2996">
        <f t="shared" si="152"/>
        <v>1</v>
      </c>
      <c r="H919" s="2994"/>
      <c r="I919" s="2996">
        <f t="shared" si="153"/>
        <v>1</v>
      </c>
      <c r="J919" s="2994"/>
      <c r="K919" s="2996">
        <f t="shared" si="154"/>
        <v>1</v>
      </c>
      <c r="L919" s="2994"/>
      <c r="M919" s="2996">
        <f t="shared" si="155"/>
        <v>1</v>
      </c>
      <c r="N919" s="2994"/>
      <c r="O919" s="2996">
        <f t="shared" si="156"/>
        <v>1</v>
      </c>
      <c r="P919" s="2994"/>
      <c r="Q919" s="2996">
        <f t="shared" si="157"/>
        <v>1</v>
      </c>
      <c r="R919" s="2997">
        <f t="shared" ca="1" si="158"/>
        <v>17260</v>
      </c>
      <c r="S919" s="2962">
        <f t="shared" ca="1" si="159"/>
        <v>105</v>
      </c>
    </row>
    <row r="920" spans="1:19">
      <c r="A920" s="2992" t="str">
        <f>Sheet1!F901</f>
        <v>4-1223</v>
      </c>
      <c r="B920" s="2992">
        <f>Sheet1!G901</f>
        <v>60.69</v>
      </c>
      <c r="C920" s="2996">
        <f t="shared" si="150"/>
        <v>1</v>
      </c>
      <c r="D920" s="2994"/>
      <c r="E920" s="2996">
        <f t="shared" si="151"/>
        <v>1</v>
      </c>
      <c r="F920" s="2994"/>
      <c r="G920" s="2996">
        <f t="shared" si="152"/>
        <v>1</v>
      </c>
      <c r="H920" s="2994"/>
      <c r="I920" s="2996">
        <f t="shared" si="153"/>
        <v>1</v>
      </c>
      <c r="J920" s="2994"/>
      <c r="K920" s="2996">
        <f t="shared" si="154"/>
        <v>1</v>
      </c>
      <c r="L920" s="2994"/>
      <c r="M920" s="2996">
        <f t="shared" si="155"/>
        <v>1</v>
      </c>
      <c r="N920" s="2994"/>
      <c r="O920" s="2996">
        <f t="shared" si="156"/>
        <v>1</v>
      </c>
      <c r="P920" s="2994"/>
      <c r="Q920" s="2996">
        <f t="shared" si="157"/>
        <v>1</v>
      </c>
      <c r="R920" s="2997">
        <f t="shared" ca="1" si="158"/>
        <v>17260</v>
      </c>
      <c r="S920" s="2962">
        <f t="shared" ca="1" si="159"/>
        <v>105</v>
      </c>
    </row>
    <row r="921" spans="1:19">
      <c r="A921" s="2992" t="str">
        <f>Sheet1!F902</f>
        <v>4-1224</v>
      </c>
      <c r="B921" s="2992">
        <f>Sheet1!G902</f>
        <v>60.69</v>
      </c>
      <c r="C921" s="2996">
        <f t="shared" si="150"/>
        <v>1</v>
      </c>
      <c r="D921" s="2994"/>
      <c r="E921" s="2996">
        <f t="shared" si="151"/>
        <v>1</v>
      </c>
      <c r="F921" s="2994"/>
      <c r="G921" s="2996">
        <f t="shared" si="152"/>
        <v>1</v>
      </c>
      <c r="H921" s="2994"/>
      <c r="I921" s="2996">
        <f t="shared" si="153"/>
        <v>1</v>
      </c>
      <c r="J921" s="2994"/>
      <c r="K921" s="2996">
        <f t="shared" si="154"/>
        <v>1</v>
      </c>
      <c r="L921" s="2994"/>
      <c r="M921" s="2996">
        <f t="shared" si="155"/>
        <v>1</v>
      </c>
      <c r="N921" s="2994"/>
      <c r="O921" s="2996">
        <f t="shared" si="156"/>
        <v>1</v>
      </c>
      <c r="P921" s="2994"/>
      <c r="Q921" s="2996">
        <f t="shared" si="157"/>
        <v>1</v>
      </c>
      <c r="R921" s="2997">
        <f t="shared" ca="1" si="158"/>
        <v>17260</v>
      </c>
      <c r="S921" s="2962">
        <f t="shared" ca="1" si="159"/>
        <v>105</v>
      </c>
    </row>
    <row r="922" spans="1:19">
      <c r="A922" s="2992" t="str">
        <f>Sheet1!F903</f>
        <v>4-1225</v>
      </c>
      <c r="B922" s="2992">
        <f>Sheet1!G903</f>
        <v>60.69</v>
      </c>
      <c r="C922" s="2996">
        <f t="shared" si="150"/>
        <v>1</v>
      </c>
      <c r="D922" s="2994"/>
      <c r="E922" s="2996">
        <f t="shared" si="151"/>
        <v>1</v>
      </c>
      <c r="F922" s="2994"/>
      <c r="G922" s="2996">
        <f t="shared" si="152"/>
        <v>1</v>
      </c>
      <c r="H922" s="2994"/>
      <c r="I922" s="2996">
        <f t="shared" si="153"/>
        <v>1</v>
      </c>
      <c r="J922" s="2994"/>
      <c r="K922" s="2996">
        <f t="shared" si="154"/>
        <v>1</v>
      </c>
      <c r="L922" s="2994"/>
      <c r="M922" s="2996">
        <f t="shared" si="155"/>
        <v>1</v>
      </c>
      <c r="N922" s="2994"/>
      <c r="O922" s="2996">
        <f t="shared" si="156"/>
        <v>1</v>
      </c>
      <c r="P922" s="2994"/>
      <c r="Q922" s="2996">
        <f t="shared" si="157"/>
        <v>1</v>
      </c>
      <c r="R922" s="2997">
        <f t="shared" ca="1" si="158"/>
        <v>17260</v>
      </c>
      <c r="S922" s="2962">
        <f t="shared" ca="1" si="159"/>
        <v>105</v>
      </c>
    </row>
    <row r="923" spans="1:19">
      <c r="A923" s="2992" t="str">
        <f>Sheet1!F904</f>
        <v>4-1226</v>
      </c>
      <c r="B923" s="2992">
        <f>Sheet1!G904</f>
        <v>60.69</v>
      </c>
      <c r="C923" s="2996">
        <f t="shared" si="150"/>
        <v>1</v>
      </c>
      <c r="D923" s="2994"/>
      <c r="E923" s="2996">
        <f t="shared" si="151"/>
        <v>1</v>
      </c>
      <c r="F923" s="2994"/>
      <c r="G923" s="2996">
        <f t="shared" si="152"/>
        <v>1</v>
      </c>
      <c r="H923" s="2994"/>
      <c r="I923" s="2996">
        <f t="shared" si="153"/>
        <v>1</v>
      </c>
      <c r="J923" s="2994"/>
      <c r="K923" s="2996">
        <f t="shared" si="154"/>
        <v>1</v>
      </c>
      <c r="L923" s="2994"/>
      <c r="M923" s="2996">
        <f t="shared" si="155"/>
        <v>1</v>
      </c>
      <c r="N923" s="2994"/>
      <c r="O923" s="2996">
        <f t="shared" si="156"/>
        <v>1</v>
      </c>
      <c r="P923" s="2994"/>
      <c r="Q923" s="2996">
        <f t="shared" si="157"/>
        <v>1</v>
      </c>
      <c r="R923" s="2997">
        <f t="shared" ca="1" si="158"/>
        <v>17260</v>
      </c>
      <c r="S923" s="2962">
        <f t="shared" ca="1" si="159"/>
        <v>105</v>
      </c>
    </row>
    <row r="924" spans="1:19">
      <c r="A924" s="2992" t="str">
        <f>Sheet1!F905</f>
        <v>4-1227</v>
      </c>
      <c r="B924" s="2992">
        <f>Sheet1!G905</f>
        <v>104.53</v>
      </c>
      <c r="C924" s="2996">
        <f t="shared" si="150"/>
        <v>0.99</v>
      </c>
      <c r="D924" s="2994"/>
      <c r="E924" s="2996">
        <f t="shared" si="151"/>
        <v>1</v>
      </c>
      <c r="F924" s="2994"/>
      <c r="G924" s="2996">
        <f t="shared" si="152"/>
        <v>1</v>
      </c>
      <c r="H924" s="2994"/>
      <c r="I924" s="2996">
        <f t="shared" si="153"/>
        <v>1</v>
      </c>
      <c r="J924" s="2994"/>
      <c r="K924" s="2996">
        <f t="shared" si="154"/>
        <v>1</v>
      </c>
      <c r="L924" s="2994"/>
      <c r="M924" s="2996">
        <f t="shared" si="155"/>
        <v>1</v>
      </c>
      <c r="N924" s="2994"/>
      <c r="O924" s="2996">
        <f t="shared" si="156"/>
        <v>1</v>
      </c>
      <c r="P924" s="2994"/>
      <c r="Q924" s="2996">
        <f t="shared" si="157"/>
        <v>1</v>
      </c>
      <c r="R924" s="2997">
        <f t="shared" ca="1" si="158"/>
        <v>17087</v>
      </c>
      <c r="S924" s="2962">
        <f t="shared" ca="1" si="159"/>
        <v>179</v>
      </c>
    </row>
    <row r="925" spans="1:19">
      <c r="A925" s="2992" t="str">
        <f>Sheet1!F906</f>
        <v>4-1228</v>
      </c>
      <c r="B925" s="2992">
        <f>Sheet1!G906</f>
        <v>55.78</v>
      </c>
      <c r="C925" s="2996">
        <f t="shared" si="150"/>
        <v>1</v>
      </c>
      <c r="D925" s="2994"/>
      <c r="E925" s="2996">
        <f t="shared" si="151"/>
        <v>1</v>
      </c>
      <c r="F925" s="2994"/>
      <c r="G925" s="2996">
        <f t="shared" si="152"/>
        <v>1</v>
      </c>
      <c r="H925" s="2994"/>
      <c r="I925" s="2996">
        <f t="shared" si="153"/>
        <v>1</v>
      </c>
      <c r="J925" s="2994"/>
      <c r="K925" s="2996">
        <f t="shared" si="154"/>
        <v>1</v>
      </c>
      <c r="L925" s="2994"/>
      <c r="M925" s="2996">
        <f t="shared" si="155"/>
        <v>1</v>
      </c>
      <c r="N925" s="2994"/>
      <c r="O925" s="2996">
        <f t="shared" si="156"/>
        <v>1</v>
      </c>
      <c r="P925" s="2994"/>
      <c r="Q925" s="2996">
        <f t="shared" si="157"/>
        <v>1</v>
      </c>
      <c r="R925" s="2997">
        <f t="shared" ca="1" si="158"/>
        <v>17260</v>
      </c>
      <c r="S925" s="2962">
        <f t="shared" ca="1" si="159"/>
        <v>96</v>
      </c>
    </row>
    <row r="926" spans="1:19">
      <c r="A926" s="2992" t="str">
        <f>Sheet1!F907</f>
        <v>4-1229</v>
      </c>
      <c r="B926" s="2992">
        <f>Sheet1!G907</f>
        <v>48.86</v>
      </c>
      <c r="C926" s="2996">
        <f t="shared" si="150"/>
        <v>1</v>
      </c>
      <c r="D926" s="2994"/>
      <c r="E926" s="2996">
        <f t="shared" si="151"/>
        <v>1</v>
      </c>
      <c r="F926" s="2994"/>
      <c r="G926" s="2996">
        <f t="shared" si="152"/>
        <v>1</v>
      </c>
      <c r="H926" s="2994"/>
      <c r="I926" s="2996">
        <f t="shared" si="153"/>
        <v>1</v>
      </c>
      <c r="J926" s="2994"/>
      <c r="K926" s="2996">
        <f t="shared" si="154"/>
        <v>1</v>
      </c>
      <c r="L926" s="2994"/>
      <c r="M926" s="2996">
        <f t="shared" si="155"/>
        <v>1</v>
      </c>
      <c r="N926" s="2994"/>
      <c r="O926" s="2996">
        <f t="shared" si="156"/>
        <v>1</v>
      </c>
      <c r="P926" s="2994"/>
      <c r="Q926" s="2996">
        <f t="shared" si="157"/>
        <v>1</v>
      </c>
      <c r="R926" s="2997">
        <f t="shared" ca="1" si="158"/>
        <v>17260</v>
      </c>
      <c r="S926" s="2962">
        <f t="shared" ca="1" si="159"/>
        <v>84</v>
      </c>
    </row>
    <row r="927" spans="1:19">
      <c r="A927" s="2992" t="str">
        <f>Sheet1!F908</f>
        <v>4-1230</v>
      </c>
      <c r="B927" s="2992">
        <f>Sheet1!G908</f>
        <v>48.86</v>
      </c>
      <c r="C927" s="2996">
        <f t="shared" si="150"/>
        <v>1</v>
      </c>
      <c r="D927" s="2994"/>
      <c r="E927" s="2996">
        <f t="shared" si="151"/>
        <v>1</v>
      </c>
      <c r="F927" s="2994"/>
      <c r="G927" s="2996">
        <f t="shared" si="152"/>
        <v>1</v>
      </c>
      <c r="H927" s="2994"/>
      <c r="I927" s="2996">
        <f t="shared" si="153"/>
        <v>1</v>
      </c>
      <c r="J927" s="2994"/>
      <c r="K927" s="2996">
        <f t="shared" si="154"/>
        <v>1</v>
      </c>
      <c r="L927" s="2994"/>
      <c r="M927" s="2996">
        <f t="shared" si="155"/>
        <v>1</v>
      </c>
      <c r="N927" s="2994"/>
      <c r="O927" s="2996">
        <f t="shared" si="156"/>
        <v>1</v>
      </c>
      <c r="P927" s="2994"/>
      <c r="Q927" s="2996">
        <f t="shared" si="157"/>
        <v>1</v>
      </c>
      <c r="R927" s="2997">
        <f t="shared" ca="1" si="158"/>
        <v>17260</v>
      </c>
      <c r="S927" s="2962">
        <f t="shared" ca="1" si="159"/>
        <v>84</v>
      </c>
    </row>
    <row r="928" spans="1:19">
      <c r="A928" s="2992" t="str">
        <f>Sheet1!F909</f>
        <v>4-1231</v>
      </c>
      <c r="B928" s="2992">
        <f>Sheet1!G909</f>
        <v>48.86</v>
      </c>
      <c r="C928" s="2996">
        <f t="shared" si="150"/>
        <v>1</v>
      </c>
      <c r="D928" s="2994"/>
      <c r="E928" s="2996">
        <f t="shared" si="151"/>
        <v>1</v>
      </c>
      <c r="F928" s="2994"/>
      <c r="G928" s="2996">
        <f t="shared" si="152"/>
        <v>1</v>
      </c>
      <c r="H928" s="2994"/>
      <c r="I928" s="2996">
        <f t="shared" si="153"/>
        <v>1</v>
      </c>
      <c r="J928" s="2994"/>
      <c r="K928" s="2996">
        <f t="shared" si="154"/>
        <v>1</v>
      </c>
      <c r="L928" s="2994"/>
      <c r="M928" s="2996">
        <f t="shared" si="155"/>
        <v>1</v>
      </c>
      <c r="N928" s="2994"/>
      <c r="O928" s="2996">
        <f t="shared" si="156"/>
        <v>1</v>
      </c>
      <c r="P928" s="2994"/>
      <c r="Q928" s="2996">
        <f t="shared" si="157"/>
        <v>1</v>
      </c>
      <c r="R928" s="2997">
        <f t="shared" ca="1" si="158"/>
        <v>17260</v>
      </c>
      <c r="S928" s="2962">
        <f t="shared" ca="1" si="159"/>
        <v>84</v>
      </c>
    </row>
    <row r="929" spans="1:19">
      <c r="A929" s="2992" t="str">
        <f>Sheet1!F910</f>
        <v>4-1232</v>
      </c>
      <c r="B929" s="2992">
        <f>Sheet1!G910</f>
        <v>54.5</v>
      </c>
      <c r="C929" s="2996">
        <f t="shared" si="150"/>
        <v>1</v>
      </c>
      <c r="D929" s="2994"/>
      <c r="E929" s="2996">
        <f t="shared" si="151"/>
        <v>1</v>
      </c>
      <c r="F929" s="2994"/>
      <c r="G929" s="2996">
        <f t="shared" si="152"/>
        <v>1</v>
      </c>
      <c r="H929" s="2994"/>
      <c r="I929" s="2996">
        <f t="shared" si="153"/>
        <v>1</v>
      </c>
      <c r="J929" s="2994"/>
      <c r="K929" s="2996">
        <f t="shared" si="154"/>
        <v>1</v>
      </c>
      <c r="L929" s="2994"/>
      <c r="M929" s="2996">
        <f t="shared" si="155"/>
        <v>1</v>
      </c>
      <c r="N929" s="2994"/>
      <c r="O929" s="2996">
        <f t="shared" si="156"/>
        <v>1</v>
      </c>
      <c r="P929" s="2994"/>
      <c r="Q929" s="2996">
        <f t="shared" si="157"/>
        <v>1</v>
      </c>
      <c r="R929" s="2997">
        <f t="shared" ca="1" si="158"/>
        <v>17260</v>
      </c>
      <c r="S929" s="2962">
        <f t="shared" ca="1" si="159"/>
        <v>94</v>
      </c>
    </row>
    <row r="930" spans="1:19">
      <c r="A930" s="2992" t="str">
        <f>Sheet1!F911</f>
        <v>4-1233</v>
      </c>
      <c r="B930" s="2992">
        <f>Sheet1!G911</f>
        <v>64.58</v>
      </c>
      <c r="C930" s="2996">
        <f t="shared" si="150"/>
        <v>1</v>
      </c>
      <c r="D930" s="2994"/>
      <c r="E930" s="2996">
        <f t="shared" si="151"/>
        <v>1</v>
      </c>
      <c r="F930" s="2994"/>
      <c r="G930" s="2996">
        <f t="shared" si="152"/>
        <v>1</v>
      </c>
      <c r="H930" s="2994"/>
      <c r="I930" s="2996">
        <f t="shared" si="153"/>
        <v>1</v>
      </c>
      <c r="J930" s="2994"/>
      <c r="K930" s="2996">
        <f t="shared" si="154"/>
        <v>1</v>
      </c>
      <c r="L930" s="2994"/>
      <c r="M930" s="2996">
        <f t="shared" si="155"/>
        <v>1</v>
      </c>
      <c r="N930" s="2994"/>
      <c r="O930" s="2996">
        <f t="shared" si="156"/>
        <v>1</v>
      </c>
      <c r="P930" s="2994"/>
      <c r="Q930" s="2996">
        <f t="shared" si="157"/>
        <v>1</v>
      </c>
      <c r="R930" s="2997">
        <f t="shared" ca="1" si="158"/>
        <v>17260</v>
      </c>
      <c r="S930" s="2962">
        <f t="shared" ca="1" si="159"/>
        <v>111</v>
      </c>
    </row>
    <row r="931" spans="1:19">
      <c r="A931" s="2992" t="str">
        <f>Sheet1!F912</f>
        <v>4-1234</v>
      </c>
      <c r="B931" s="2992">
        <f>Sheet1!G912</f>
        <v>45.32</v>
      </c>
      <c r="C931" s="2996">
        <f t="shared" si="150"/>
        <v>1</v>
      </c>
      <c r="D931" s="2994"/>
      <c r="E931" s="2996">
        <f t="shared" si="151"/>
        <v>1</v>
      </c>
      <c r="F931" s="2994"/>
      <c r="G931" s="2996">
        <f t="shared" si="152"/>
        <v>1</v>
      </c>
      <c r="H931" s="2994"/>
      <c r="I931" s="2996">
        <f t="shared" si="153"/>
        <v>1</v>
      </c>
      <c r="J931" s="2994"/>
      <c r="K931" s="2996">
        <f t="shared" si="154"/>
        <v>1</v>
      </c>
      <c r="L931" s="2994"/>
      <c r="M931" s="2996">
        <f t="shared" si="155"/>
        <v>1</v>
      </c>
      <c r="N931" s="2994"/>
      <c r="O931" s="2996">
        <f t="shared" si="156"/>
        <v>1</v>
      </c>
      <c r="P931" s="2994"/>
      <c r="Q931" s="2996">
        <f t="shared" si="157"/>
        <v>1</v>
      </c>
      <c r="R931" s="2997">
        <f t="shared" ca="1" si="158"/>
        <v>17260</v>
      </c>
      <c r="S931" s="2962">
        <f t="shared" ca="1" si="159"/>
        <v>78</v>
      </c>
    </row>
    <row r="932" spans="1:19">
      <c r="A932" s="2992" t="str">
        <f>Sheet1!F913</f>
        <v>4-1235</v>
      </c>
      <c r="B932" s="2992">
        <f>Sheet1!G913</f>
        <v>45.2</v>
      </c>
      <c r="C932" s="2996">
        <f t="shared" si="150"/>
        <v>1</v>
      </c>
      <c r="D932" s="2994"/>
      <c r="E932" s="2996">
        <f t="shared" si="151"/>
        <v>1</v>
      </c>
      <c r="F932" s="2994"/>
      <c r="G932" s="2996">
        <f t="shared" si="152"/>
        <v>1</v>
      </c>
      <c r="H932" s="2994"/>
      <c r="I932" s="2996">
        <f t="shared" si="153"/>
        <v>1</v>
      </c>
      <c r="J932" s="2994"/>
      <c r="K932" s="2996">
        <f t="shared" si="154"/>
        <v>1</v>
      </c>
      <c r="L932" s="2994"/>
      <c r="M932" s="2996">
        <f t="shared" si="155"/>
        <v>1</v>
      </c>
      <c r="N932" s="2994"/>
      <c r="O932" s="2996">
        <f t="shared" si="156"/>
        <v>1</v>
      </c>
      <c r="P932" s="2994"/>
      <c r="Q932" s="2996">
        <f t="shared" si="157"/>
        <v>1</v>
      </c>
      <c r="R932" s="2997">
        <f t="shared" ca="1" si="158"/>
        <v>17260</v>
      </c>
      <c r="S932" s="2962">
        <f t="shared" ca="1" si="159"/>
        <v>78</v>
      </c>
    </row>
    <row r="933" spans="1:19">
      <c r="A933" s="2992" t="str">
        <f>Sheet1!F914</f>
        <v>4-1236</v>
      </c>
      <c r="B933" s="2992">
        <f>Sheet1!G914</f>
        <v>45.32</v>
      </c>
      <c r="C933" s="2996">
        <f t="shared" si="150"/>
        <v>1</v>
      </c>
      <c r="D933" s="2994"/>
      <c r="E933" s="2996">
        <f t="shared" si="151"/>
        <v>1</v>
      </c>
      <c r="F933" s="2994"/>
      <c r="G933" s="2996">
        <f t="shared" si="152"/>
        <v>1</v>
      </c>
      <c r="H933" s="2994"/>
      <c r="I933" s="2996">
        <f t="shared" si="153"/>
        <v>1</v>
      </c>
      <c r="J933" s="2994"/>
      <c r="K933" s="2996">
        <f t="shared" si="154"/>
        <v>1</v>
      </c>
      <c r="L933" s="2994"/>
      <c r="M933" s="2996">
        <f t="shared" si="155"/>
        <v>1</v>
      </c>
      <c r="N933" s="2994"/>
      <c r="O933" s="2996">
        <f t="shared" si="156"/>
        <v>1</v>
      </c>
      <c r="P933" s="2994"/>
      <c r="Q933" s="2996">
        <f t="shared" si="157"/>
        <v>1</v>
      </c>
      <c r="R933" s="2997">
        <f t="shared" ca="1" si="158"/>
        <v>17260</v>
      </c>
      <c r="S933" s="2962">
        <f t="shared" ca="1" si="159"/>
        <v>78</v>
      </c>
    </row>
    <row r="934" spans="1:19">
      <c r="A934" s="2992" t="str">
        <f>Sheet1!F915</f>
        <v>4-1237</v>
      </c>
      <c r="B934" s="2992">
        <f>Sheet1!G915</f>
        <v>45.32</v>
      </c>
      <c r="C934" s="2996">
        <f t="shared" si="150"/>
        <v>1</v>
      </c>
      <c r="D934" s="2994"/>
      <c r="E934" s="2996">
        <f t="shared" si="151"/>
        <v>1</v>
      </c>
      <c r="F934" s="2994"/>
      <c r="G934" s="2996">
        <f t="shared" si="152"/>
        <v>1</v>
      </c>
      <c r="H934" s="2994"/>
      <c r="I934" s="2996">
        <f t="shared" si="153"/>
        <v>1</v>
      </c>
      <c r="J934" s="2994"/>
      <c r="K934" s="2996">
        <f t="shared" si="154"/>
        <v>1</v>
      </c>
      <c r="L934" s="2994"/>
      <c r="M934" s="2996">
        <f t="shared" si="155"/>
        <v>1</v>
      </c>
      <c r="N934" s="2994"/>
      <c r="O934" s="2996">
        <f t="shared" si="156"/>
        <v>1</v>
      </c>
      <c r="P934" s="2994"/>
      <c r="Q934" s="2996">
        <f t="shared" si="157"/>
        <v>1</v>
      </c>
      <c r="R934" s="2997">
        <f t="shared" ca="1" si="158"/>
        <v>17260</v>
      </c>
      <c r="S934" s="2962">
        <f t="shared" ca="1" si="159"/>
        <v>78</v>
      </c>
    </row>
    <row r="935" spans="1:19">
      <c r="A935" s="2992" t="str">
        <f>Sheet1!F916</f>
        <v>4-1238</v>
      </c>
      <c r="B935" s="2992">
        <f>Sheet1!G916</f>
        <v>48.86</v>
      </c>
      <c r="C935" s="2996">
        <f t="shared" si="150"/>
        <v>1</v>
      </c>
      <c r="D935" s="2994"/>
      <c r="E935" s="2996">
        <f t="shared" si="151"/>
        <v>1</v>
      </c>
      <c r="F935" s="2994"/>
      <c r="G935" s="2996">
        <f t="shared" si="152"/>
        <v>1</v>
      </c>
      <c r="H935" s="2994"/>
      <c r="I935" s="2996">
        <f t="shared" si="153"/>
        <v>1</v>
      </c>
      <c r="J935" s="2994"/>
      <c r="K935" s="2996">
        <f t="shared" si="154"/>
        <v>1</v>
      </c>
      <c r="L935" s="2994"/>
      <c r="M935" s="2996">
        <f t="shared" si="155"/>
        <v>1</v>
      </c>
      <c r="N935" s="2994"/>
      <c r="O935" s="2996">
        <f t="shared" si="156"/>
        <v>1</v>
      </c>
      <c r="P935" s="2994"/>
      <c r="Q935" s="2996">
        <f t="shared" si="157"/>
        <v>1</v>
      </c>
      <c r="R935" s="2997">
        <f t="shared" ca="1" si="158"/>
        <v>17260</v>
      </c>
      <c r="S935" s="2962">
        <f t="shared" ca="1" si="159"/>
        <v>84</v>
      </c>
    </row>
    <row r="936" spans="1:19">
      <c r="A936" s="2992" t="str">
        <f>Sheet1!F917</f>
        <v>4-1239</v>
      </c>
      <c r="B936" s="2992">
        <f>Sheet1!G917</f>
        <v>44.51</v>
      </c>
      <c r="C936" s="2996">
        <f t="shared" si="150"/>
        <v>1</v>
      </c>
      <c r="D936" s="2994"/>
      <c r="E936" s="2996">
        <f t="shared" si="151"/>
        <v>1</v>
      </c>
      <c r="F936" s="2994"/>
      <c r="G936" s="2996">
        <f t="shared" si="152"/>
        <v>1</v>
      </c>
      <c r="H936" s="2994"/>
      <c r="I936" s="2996">
        <f t="shared" si="153"/>
        <v>1</v>
      </c>
      <c r="J936" s="2994"/>
      <c r="K936" s="2996">
        <f t="shared" si="154"/>
        <v>1</v>
      </c>
      <c r="L936" s="2994"/>
      <c r="M936" s="2996">
        <f t="shared" si="155"/>
        <v>1</v>
      </c>
      <c r="N936" s="2994"/>
      <c r="O936" s="2996">
        <f t="shared" si="156"/>
        <v>1</v>
      </c>
      <c r="P936" s="2994"/>
      <c r="Q936" s="2996">
        <f t="shared" si="157"/>
        <v>1</v>
      </c>
      <c r="R936" s="2997">
        <f t="shared" ca="1" si="158"/>
        <v>17260</v>
      </c>
      <c r="S936" s="2962">
        <f t="shared" ca="1" si="159"/>
        <v>77</v>
      </c>
    </row>
    <row r="937" spans="1:19">
      <c r="A937" s="2992" t="str">
        <f>Sheet1!F918</f>
        <v>4-1240</v>
      </c>
      <c r="B937" s="2992">
        <f>Sheet1!G918</f>
        <v>54.67</v>
      </c>
      <c r="C937" s="2996">
        <f t="shared" si="150"/>
        <v>1</v>
      </c>
      <c r="D937" s="2994"/>
      <c r="E937" s="2996">
        <f t="shared" si="151"/>
        <v>1</v>
      </c>
      <c r="F937" s="2994"/>
      <c r="G937" s="2996">
        <f t="shared" si="152"/>
        <v>1</v>
      </c>
      <c r="H937" s="2994"/>
      <c r="I937" s="2996">
        <f t="shared" si="153"/>
        <v>1</v>
      </c>
      <c r="J937" s="2994"/>
      <c r="K937" s="2996">
        <f t="shared" si="154"/>
        <v>1</v>
      </c>
      <c r="L937" s="2994"/>
      <c r="M937" s="2996">
        <f t="shared" si="155"/>
        <v>1</v>
      </c>
      <c r="N937" s="2994"/>
      <c r="O937" s="2996">
        <f t="shared" si="156"/>
        <v>1</v>
      </c>
      <c r="P937" s="2994"/>
      <c r="Q937" s="2996">
        <f t="shared" si="157"/>
        <v>1</v>
      </c>
      <c r="R937" s="2997">
        <f t="shared" ca="1" si="158"/>
        <v>17260</v>
      </c>
      <c r="S937" s="2962">
        <f t="shared" ca="1" si="159"/>
        <v>94</v>
      </c>
    </row>
    <row r="938" spans="1:19">
      <c r="A938" s="2992" t="str">
        <f>Sheet1!F919</f>
        <v>4-1241</v>
      </c>
      <c r="B938" s="2992">
        <f>Sheet1!G919</f>
        <v>48.86</v>
      </c>
      <c r="C938" s="2996">
        <f t="shared" si="150"/>
        <v>1</v>
      </c>
      <c r="D938" s="2994"/>
      <c r="E938" s="2996">
        <f t="shared" si="151"/>
        <v>1</v>
      </c>
      <c r="F938" s="2994"/>
      <c r="G938" s="2996">
        <f t="shared" si="152"/>
        <v>1</v>
      </c>
      <c r="H938" s="2994"/>
      <c r="I938" s="2996">
        <f t="shared" si="153"/>
        <v>1</v>
      </c>
      <c r="J938" s="2994"/>
      <c r="K938" s="2996">
        <f t="shared" si="154"/>
        <v>1</v>
      </c>
      <c r="L938" s="2994"/>
      <c r="M938" s="2996">
        <f t="shared" si="155"/>
        <v>1</v>
      </c>
      <c r="N938" s="2994"/>
      <c r="O938" s="2996">
        <f t="shared" si="156"/>
        <v>1</v>
      </c>
      <c r="P938" s="2994"/>
      <c r="Q938" s="2996">
        <f t="shared" si="157"/>
        <v>1</v>
      </c>
      <c r="R938" s="2997">
        <f t="shared" ca="1" si="158"/>
        <v>17260</v>
      </c>
      <c r="S938" s="2962">
        <f t="shared" ca="1" si="159"/>
        <v>84</v>
      </c>
    </row>
    <row r="939" spans="1:19">
      <c r="A939" s="2992" t="str">
        <f>Sheet1!F920</f>
        <v>4-1242</v>
      </c>
      <c r="B939" s="2992">
        <f>Sheet1!G920</f>
        <v>48.86</v>
      </c>
      <c r="C939" s="2996">
        <f t="shared" si="150"/>
        <v>1</v>
      </c>
      <c r="D939" s="2994"/>
      <c r="E939" s="2996">
        <f t="shared" si="151"/>
        <v>1</v>
      </c>
      <c r="F939" s="2994"/>
      <c r="G939" s="2996">
        <f t="shared" si="152"/>
        <v>1</v>
      </c>
      <c r="H939" s="2994"/>
      <c r="I939" s="2996">
        <f t="shared" si="153"/>
        <v>1</v>
      </c>
      <c r="J939" s="2994"/>
      <c r="K939" s="2996">
        <f t="shared" si="154"/>
        <v>1</v>
      </c>
      <c r="L939" s="2994"/>
      <c r="M939" s="2996">
        <f t="shared" si="155"/>
        <v>1</v>
      </c>
      <c r="N939" s="2994"/>
      <c r="O939" s="2996">
        <f t="shared" si="156"/>
        <v>1</v>
      </c>
      <c r="P939" s="2994"/>
      <c r="Q939" s="2996">
        <f t="shared" si="157"/>
        <v>1</v>
      </c>
      <c r="R939" s="2997">
        <f t="shared" ca="1" si="158"/>
        <v>17260</v>
      </c>
      <c r="S939" s="2962">
        <f t="shared" ca="1" si="159"/>
        <v>84</v>
      </c>
    </row>
    <row r="940" spans="1:19">
      <c r="A940" s="2992" t="str">
        <f>Sheet1!F921</f>
        <v>4-1243</v>
      </c>
      <c r="B940" s="2992">
        <f>Sheet1!G921</f>
        <v>48.86</v>
      </c>
      <c r="C940" s="2996">
        <f t="shared" si="150"/>
        <v>1</v>
      </c>
      <c r="D940" s="2994"/>
      <c r="E940" s="2996">
        <f t="shared" si="151"/>
        <v>1</v>
      </c>
      <c r="F940" s="2994"/>
      <c r="G940" s="2996">
        <f t="shared" si="152"/>
        <v>1</v>
      </c>
      <c r="H940" s="2994"/>
      <c r="I940" s="2996">
        <f t="shared" si="153"/>
        <v>1</v>
      </c>
      <c r="J940" s="2994"/>
      <c r="K940" s="2996">
        <f t="shared" si="154"/>
        <v>1</v>
      </c>
      <c r="L940" s="2994"/>
      <c r="M940" s="2996">
        <f t="shared" si="155"/>
        <v>1</v>
      </c>
      <c r="N940" s="2994"/>
      <c r="O940" s="2996">
        <f t="shared" si="156"/>
        <v>1</v>
      </c>
      <c r="P940" s="2994"/>
      <c r="Q940" s="2996">
        <f t="shared" si="157"/>
        <v>1</v>
      </c>
      <c r="R940" s="2997">
        <f t="shared" ca="1" si="158"/>
        <v>17260</v>
      </c>
      <c r="S940" s="2962">
        <f t="shared" ca="1" si="159"/>
        <v>84</v>
      </c>
    </row>
    <row r="941" spans="1:19">
      <c r="A941" s="2992" t="str">
        <f>Sheet1!F922</f>
        <v>4-1244</v>
      </c>
      <c r="B941" s="2992">
        <f>Sheet1!G922</f>
        <v>54.87</v>
      </c>
      <c r="C941" s="2996">
        <f t="shared" si="150"/>
        <v>1</v>
      </c>
      <c r="D941" s="2994"/>
      <c r="E941" s="2996">
        <f t="shared" si="151"/>
        <v>1</v>
      </c>
      <c r="F941" s="2994"/>
      <c r="G941" s="2996">
        <f t="shared" si="152"/>
        <v>1</v>
      </c>
      <c r="H941" s="2994"/>
      <c r="I941" s="2996">
        <f t="shared" si="153"/>
        <v>1</v>
      </c>
      <c r="J941" s="2994"/>
      <c r="K941" s="2996">
        <f t="shared" si="154"/>
        <v>1</v>
      </c>
      <c r="L941" s="2994"/>
      <c r="M941" s="2996">
        <f t="shared" si="155"/>
        <v>1</v>
      </c>
      <c r="N941" s="2994"/>
      <c r="O941" s="2996">
        <f t="shared" si="156"/>
        <v>1</v>
      </c>
      <c r="P941" s="2994"/>
      <c r="Q941" s="2996">
        <f t="shared" si="157"/>
        <v>1</v>
      </c>
      <c r="R941" s="2997">
        <f t="shared" ca="1" si="158"/>
        <v>17260</v>
      </c>
      <c r="S941" s="2962">
        <f t="shared" ca="1" si="159"/>
        <v>95</v>
      </c>
    </row>
    <row r="942" spans="1:19">
      <c r="A942" s="2992" t="str">
        <f>Sheet1!F923</f>
        <v>4-1245</v>
      </c>
      <c r="B942" s="2992">
        <f>Sheet1!G923</f>
        <v>88.13</v>
      </c>
      <c r="C942" s="2996">
        <f t="shared" si="150"/>
        <v>1</v>
      </c>
      <c r="D942" s="2994"/>
      <c r="E942" s="2996">
        <f t="shared" si="151"/>
        <v>1</v>
      </c>
      <c r="F942" s="2994"/>
      <c r="G942" s="2996">
        <f t="shared" si="152"/>
        <v>1</v>
      </c>
      <c r="H942" s="2994"/>
      <c r="I942" s="2996">
        <f t="shared" si="153"/>
        <v>1</v>
      </c>
      <c r="J942" s="2994"/>
      <c r="K942" s="2996">
        <f t="shared" si="154"/>
        <v>1</v>
      </c>
      <c r="L942" s="2994"/>
      <c r="M942" s="2996">
        <f t="shared" si="155"/>
        <v>1</v>
      </c>
      <c r="N942" s="2994"/>
      <c r="O942" s="2996">
        <f t="shared" si="156"/>
        <v>1</v>
      </c>
      <c r="P942" s="2994"/>
      <c r="Q942" s="2996">
        <f t="shared" si="157"/>
        <v>1</v>
      </c>
      <c r="R942" s="2997">
        <f t="shared" ca="1" si="158"/>
        <v>17260</v>
      </c>
      <c r="S942" s="2962">
        <f t="shared" ca="1" si="159"/>
        <v>152</v>
      </c>
    </row>
    <row r="943" spans="1:19">
      <c r="A943" s="2992" t="str">
        <f>Sheet1!F924</f>
        <v>1-1301</v>
      </c>
      <c r="B943" s="2992">
        <f>Sheet1!G924</f>
        <v>186.33</v>
      </c>
      <c r="C943" s="2996">
        <f t="shared" si="150"/>
        <v>0.99</v>
      </c>
      <c r="D943" s="2994"/>
      <c r="E943" s="2996">
        <f t="shared" si="151"/>
        <v>1</v>
      </c>
      <c r="F943" s="2994"/>
      <c r="G943" s="2996">
        <f t="shared" si="152"/>
        <v>1</v>
      </c>
      <c r="H943" s="2994"/>
      <c r="I943" s="2996">
        <f t="shared" si="153"/>
        <v>1</v>
      </c>
      <c r="J943" s="2994"/>
      <c r="K943" s="2996">
        <f t="shared" si="154"/>
        <v>1</v>
      </c>
      <c r="L943" s="2994"/>
      <c r="M943" s="2996">
        <f t="shared" si="155"/>
        <v>1</v>
      </c>
      <c r="N943" s="2994"/>
      <c r="O943" s="2996">
        <f t="shared" si="156"/>
        <v>1</v>
      </c>
      <c r="P943" s="2994"/>
      <c r="Q943" s="2996">
        <f t="shared" si="157"/>
        <v>1</v>
      </c>
      <c r="R943" s="2997">
        <f t="shared" ca="1" si="158"/>
        <v>17087</v>
      </c>
      <c r="S943" s="2962">
        <f t="shared" ca="1" si="159"/>
        <v>318</v>
      </c>
    </row>
    <row r="944" spans="1:19">
      <c r="A944" s="2992" t="str">
        <f>Sheet1!F925</f>
        <v>1-1302</v>
      </c>
      <c r="B944" s="2992">
        <f>Sheet1!G925</f>
        <v>188.39</v>
      </c>
      <c r="C944" s="2996">
        <f t="shared" si="150"/>
        <v>0.99</v>
      </c>
      <c r="D944" s="2994"/>
      <c r="E944" s="2996">
        <f t="shared" si="151"/>
        <v>1</v>
      </c>
      <c r="F944" s="2994"/>
      <c r="G944" s="2996">
        <f t="shared" si="152"/>
        <v>1</v>
      </c>
      <c r="H944" s="2994"/>
      <c r="I944" s="2996">
        <f t="shared" si="153"/>
        <v>1</v>
      </c>
      <c r="J944" s="2994"/>
      <c r="K944" s="2996">
        <f t="shared" si="154"/>
        <v>1</v>
      </c>
      <c r="L944" s="2994"/>
      <c r="M944" s="2996">
        <f t="shared" si="155"/>
        <v>1</v>
      </c>
      <c r="N944" s="2994"/>
      <c r="O944" s="2996">
        <f t="shared" si="156"/>
        <v>1</v>
      </c>
      <c r="P944" s="2994"/>
      <c r="Q944" s="2996">
        <f t="shared" si="157"/>
        <v>1</v>
      </c>
      <c r="R944" s="2997">
        <f t="shared" ca="1" si="158"/>
        <v>17087</v>
      </c>
      <c r="S944" s="2962">
        <f t="shared" ca="1" si="159"/>
        <v>322</v>
      </c>
    </row>
    <row r="945" spans="1:19">
      <c r="A945" s="2992" t="str">
        <f>Sheet1!F926</f>
        <v>1-1303</v>
      </c>
      <c r="B945" s="2992">
        <f>Sheet1!G926</f>
        <v>188.39</v>
      </c>
      <c r="C945" s="2996">
        <f t="shared" si="150"/>
        <v>0.99</v>
      </c>
      <c r="D945" s="2994"/>
      <c r="E945" s="2996">
        <f t="shared" si="151"/>
        <v>1</v>
      </c>
      <c r="F945" s="2994"/>
      <c r="G945" s="2996">
        <f t="shared" si="152"/>
        <v>1</v>
      </c>
      <c r="H945" s="2994"/>
      <c r="I945" s="2996">
        <f t="shared" si="153"/>
        <v>1</v>
      </c>
      <c r="J945" s="2994"/>
      <c r="K945" s="2996">
        <f t="shared" si="154"/>
        <v>1</v>
      </c>
      <c r="L945" s="2994"/>
      <c r="M945" s="2996">
        <f t="shared" si="155"/>
        <v>1</v>
      </c>
      <c r="N945" s="2994"/>
      <c r="O945" s="2996">
        <f t="shared" si="156"/>
        <v>1</v>
      </c>
      <c r="P945" s="2994"/>
      <c r="Q945" s="2996">
        <f t="shared" si="157"/>
        <v>1</v>
      </c>
      <c r="R945" s="2997">
        <f t="shared" ca="1" si="158"/>
        <v>17087</v>
      </c>
      <c r="S945" s="2962">
        <f t="shared" ca="1" si="159"/>
        <v>322</v>
      </c>
    </row>
    <row r="946" spans="1:19">
      <c r="A946" s="2992" t="str">
        <f>Sheet1!F927</f>
        <v>1-1304</v>
      </c>
      <c r="B946" s="2992">
        <f>Sheet1!G927</f>
        <v>188.39</v>
      </c>
      <c r="C946" s="2996">
        <f t="shared" si="150"/>
        <v>0.99</v>
      </c>
      <c r="D946" s="2994"/>
      <c r="E946" s="2996">
        <f t="shared" si="151"/>
        <v>1</v>
      </c>
      <c r="F946" s="2994"/>
      <c r="G946" s="2996">
        <f t="shared" si="152"/>
        <v>1</v>
      </c>
      <c r="H946" s="2994"/>
      <c r="I946" s="2996">
        <f t="shared" si="153"/>
        <v>1</v>
      </c>
      <c r="J946" s="2994"/>
      <c r="K946" s="2996">
        <f t="shared" si="154"/>
        <v>1</v>
      </c>
      <c r="L946" s="2994"/>
      <c r="M946" s="2996">
        <f t="shared" si="155"/>
        <v>1</v>
      </c>
      <c r="N946" s="2994"/>
      <c r="O946" s="2996">
        <f t="shared" si="156"/>
        <v>1</v>
      </c>
      <c r="P946" s="2994"/>
      <c r="Q946" s="2996">
        <f t="shared" si="157"/>
        <v>1</v>
      </c>
      <c r="R946" s="2997">
        <f t="shared" ca="1" si="158"/>
        <v>17087</v>
      </c>
      <c r="S946" s="2962">
        <f t="shared" ca="1" si="159"/>
        <v>322</v>
      </c>
    </row>
    <row r="947" spans="1:19">
      <c r="A947" s="2992" t="str">
        <f>Sheet1!F928</f>
        <v>1-1305</v>
      </c>
      <c r="B947" s="2992">
        <f>Sheet1!G928</f>
        <v>188.39</v>
      </c>
      <c r="C947" s="2996">
        <f t="shared" si="150"/>
        <v>0.99</v>
      </c>
      <c r="D947" s="2994"/>
      <c r="E947" s="2996">
        <f t="shared" si="151"/>
        <v>1</v>
      </c>
      <c r="F947" s="2994"/>
      <c r="G947" s="2996">
        <f t="shared" si="152"/>
        <v>1</v>
      </c>
      <c r="H947" s="2994"/>
      <c r="I947" s="2996">
        <f t="shared" si="153"/>
        <v>1</v>
      </c>
      <c r="J947" s="2994"/>
      <c r="K947" s="2996">
        <f t="shared" si="154"/>
        <v>1</v>
      </c>
      <c r="L947" s="2994"/>
      <c r="M947" s="2996">
        <f t="shared" si="155"/>
        <v>1</v>
      </c>
      <c r="N947" s="2994"/>
      <c r="O947" s="2996">
        <f t="shared" si="156"/>
        <v>1</v>
      </c>
      <c r="P947" s="2994"/>
      <c r="Q947" s="2996">
        <f t="shared" si="157"/>
        <v>1</v>
      </c>
      <c r="R947" s="2997">
        <f t="shared" ca="1" si="158"/>
        <v>17087</v>
      </c>
      <c r="S947" s="2962">
        <f t="shared" ca="1" si="159"/>
        <v>322</v>
      </c>
    </row>
    <row r="948" spans="1:19">
      <c r="A948" s="2992" t="str">
        <f>Sheet1!F929</f>
        <v>1-1306</v>
      </c>
      <c r="B948" s="2992">
        <f>Sheet1!G929</f>
        <v>188.39</v>
      </c>
      <c r="C948" s="2996">
        <f t="shared" si="150"/>
        <v>0.99</v>
      </c>
      <c r="D948" s="2994"/>
      <c r="E948" s="2996">
        <f t="shared" si="151"/>
        <v>1</v>
      </c>
      <c r="F948" s="2994"/>
      <c r="G948" s="2996">
        <f t="shared" si="152"/>
        <v>1</v>
      </c>
      <c r="H948" s="2994"/>
      <c r="I948" s="2996">
        <f t="shared" si="153"/>
        <v>1</v>
      </c>
      <c r="J948" s="2994"/>
      <c r="K948" s="2996">
        <f t="shared" si="154"/>
        <v>1</v>
      </c>
      <c r="L948" s="2994"/>
      <c r="M948" s="2996">
        <f t="shared" si="155"/>
        <v>1</v>
      </c>
      <c r="N948" s="2994"/>
      <c r="O948" s="2996">
        <f t="shared" si="156"/>
        <v>1</v>
      </c>
      <c r="P948" s="2994"/>
      <c r="Q948" s="2996">
        <f t="shared" si="157"/>
        <v>1</v>
      </c>
      <c r="R948" s="2997">
        <f t="shared" ca="1" si="158"/>
        <v>17087</v>
      </c>
      <c r="S948" s="2962">
        <f t="shared" ca="1" si="159"/>
        <v>322</v>
      </c>
    </row>
    <row r="949" spans="1:19">
      <c r="A949" s="2992" t="str">
        <f>Sheet1!F930</f>
        <v>1-1307</v>
      </c>
      <c r="B949" s="2992">
        <f>Sheet1!G930</f>
        <v>187.53</v>
      </c>
      <c r="C949" s="2996">
        <f t="shared" si="150"/>
        <v>0.99</v>
      </c>
      <c r="D949" s="2994"/>
      <c r="E949" s="2996">
        <f t="shared" si="151"/>
        <v>1</v>
      </c>
      <c r="F949" s="2994"/>
      <c r="G949" s="2996">
        <f t="shared" si="152"/>
        <v>1</v>
      </c>
      <c r="H949" s="2994"/>
      <c r="I949" s="2996">
        <f t="shared" si="153"/>
        <v>1</v>
      </c>
      <c r="J949" s="2994"/>
      <c r="K949" s="2996">
        <f t="shared" si="154"/>
        <v>1</v>
      </c>
      <c r="L949" s="2994"/>
      <c r="M949" s="2996">
        <f t="shared" si="155"/>
        <v>1</v>
      </c>
      <c r="N949" s="2994"/>
      <c r="O949" s="2996">
        <f t="shared" si="156"/>
        <v>1</v>
      </c>
      <c r="P949" s="2994"/>
      <c r="Q949" s="2996">
        <f t="shared" si="157"/>
        <v>1</v>
      </c>
      <c r="R949" s="2997">
        <f t="shared" ca="1" si="158"/>
        <v>17087</v>
      </c>
      <c r="S949" s="2962">
        <f t="shared" ca="1" si="159"/>
        <v>320</v>
      </c>
    </row>
    <row r="950" spans="1:19">
      <c r="A950" s="2992" t="str">
        <f>Sheet1!F931</f>
        <v>1-1308</v>
      </c>
      <c r="B950" s="2992">
        <f>Sheet1!G931</f>
        <v>210.19</v>
      </c>
      <c r="C950" s="2996">
        <f t="shared" si="150"/>
        <v>0.98</v>
      </c>
      <c r="D950" s="2994"/>
      <c r="E950" s="2996">
        <f t="shared" si="151"/>
        <v>1</v>
      </c>
      <c r="F950" s="2994"/>
      <c r="G950" s="2996">
        <f t="shared" si="152"/>
        <v>1</v>
      </c>
      <c r="H950" s="2994"/>
      <c r="I950" s="2996">
        <f t="shared" si="153"/>
        <v>1</v>
      </c>
      <c r="J950" s="2994"/>
      <c r="K950" s="2996">
        <f t="shared" si="154"/>
        <v>1</v>
      </c>
      <c r="L950" s="2994"/>
      <c r="M950" s="2996">
        <f t="shared" si="155"/>
        <v>1</v>
      </c>
      <c r="N950" s="2994"/>
      <c r="O950" s="2996">
        <f t="shared" si="156"/>
        <v>1</v>
      </c>
      <c r="P950" s="2994"/>
      <c r="Q950" s="2996">
        <f t="shared" si="157"/>
        <v>1</v>
      </c>
      <c r="R950" s="2997">
        <f t="shared" ca="1" si="158"/>
        <v>16915</v>
      </c>
      <c r="S950" s="2962">
        <f t="shared" ca="1" si="159"/>
        <v>356</v>
      </c>
    </row>
    <row r="951" spans="1:19">
      <c r="A951" s="2992" t="str">
        <f>Sheet1!F932</f>
        <v>1-1309</v>
      </c>
      <c r="B951" s="2992">
        <f>Sheet1!G932</f>
        <v>169.2</v>
      </c>
      <c r="C951" s="2996">
        <f t="shared" si="150"/>
        <v>0.99</v>
      </c>
      <c r="D951" s="2994"/>
      <c r="E951" s="2996">
        <f t="shared" si="151"/>
        <v>1</v>
      </c>
      <c r="F951" s="2994"/>
      <c r="G951" s="2996">
        <f t="shared" si="152"/>
        <v>1</v>
      </c>
      <c r="H951" s="2994"/>
      <c r="I951" s="2996">
        <f t="shared" si="153"/>
        <v>1</v>
      </c>
      <c r="J951" s="2994"/>
      <c r="K951" s="2996">
        <f t="shared" si="154"/>
        <v>1</v>
      </c>
      <c r="L951" s="2994"/>
      <c r="M951" s="2996">
        <f t="shared" si="155"/>
        <v>1</v>
      </c>
      <c r="N951" s="2994"/>
      <c r="O951" s="2996">
        <f t="shared" si="156"/>
        <v>1</v>
      </c>
      <c r="P951" s="2994"/>
      <c r="Q951" s="2996">
        <f t="shared" si="157"/>
        <v>1</v>
      </c>
      <c r="R951" s="2997">
        <f t="shared" ca="1" si="158"/>
        <v>17087</v>
      </c>
      <c r="S951" s="2962">
        <f t="shared" ca="1" si="159"/>
        <v>289</v>
      </c>
    </row>
    <row r="952" spans="1:19">
      <c r="A952" s="2992" t="str">
        <f>Sheet1!F933</f>
        <v>1-1310</v>
      </c>
      <c r="B952" s="2992">
        <f>Sheet1!G933</f>
        <v>178.35</v>
      </c>
      <c r="C952" s="2996">
        <f t="shared" si="150"/>
        <v>0.99</v>
      </c>
      <c r="D952" s="2994"/>
      <c r="E952" s="2996">
        <f t="shared" si="151"/>
        <v>1</v>
      </c>
      <c r="F952" s="2994"/>
      <c r="G952" s="2996">
        <f t="shared" si="152"/>
        <v>1</v>
      </c>
      <c r="H952" s="2994"/>
      <c r="I952" s="2996">
        <f t="shared" si="153"/>
        <v>1</v>
      </c>
      <c r="J952" s="2994"/>
      <c r="K952" s="2996">
        <f t="shared" si="154"/>
        <v>1</v>
      </c>
      <c r="L952" s="2994"/>
      <c r="M952" s="2996">
        <f t="shared" si="155"/>
        <v>1</v>
      </c>
      <c r="N952" s="2994"/>
      <c r="O952" s="2996">
        <f t="shared" si="156"/>
        <v>1</v>
      </c>
      <c r="P952" s="2994"/>
      <c r="Q952" s="2996">
        <f t="shared" si="157"/>
        <v>1</v>
      </c>
      <c r="R952" s="2997">
        <f t="shared" ca="1" si="158"/>
        <v>17087</v>
      </c>
      <c r="S952" s="2962">
        <f t="shared" ca="1" si="159"/>
        <v>305</v>
      </c>
    </row>
    <row r="953" spans="1:19">
      <c r="A953" s="2992" t="str">
        <f>Sheet1!F934</f>
        <v>1-1311</v>
      </c>
      <c r="B953" s="2992">
        <f>Sheet1!G934</f>
        <v>208.92</v>
      </c>
      <c r="C953" s="2996">
        <f t="shared" si="150"/>
        <v>0.98</v>
      </c>
      <c r="D953" s="2994"/>
      <c r="E953" s="2996">
        <f t="shared" si="151"/>
        <v>1</v>
      </c>
      <c r="F953" s="2994"/>
      <c r="G953" s="2996">
        <f t="shared" si="152"/>
        <v>1</v>
      </c>
      <c r="H953" s="2994"/>
      <c r="I953" s="2996">
        <f t="shared" si="153"/>
        <v>1</v>
      </c>
      <c r="J953" s="2994"/>
      <c r="K953" s="2996">
        <f t="shared" si="154"/>
        <v>1</v>
      </c>
      <c r="L953" s="2994"/>
      <c r="M953" s="2996">
        <f t="shared" si="155"/>
        <v>1</v>
      </c>
      <c r="N953" s="2994"/>
      <c r="O953" s="2996">
        <f t="shared" si="156"/>
        <v>1</v>
      </c>
      <c r="P953" s="2994"/>
      <c r="Q953" s="2996">
        <f t="shared" si="157"/>
        <v>1</v>
      </c>
      <c r="R953" s="2997">
        <f t="shared" ca="1" si="158"/>
        <v>16915</v>
      </c>
      <c r="S953" s="2962">
        <f t="shared" ca="1" si="159"/>
        <v>353</v>
      </c>
    </row>
    <row r="954" spans="1:19">
      <c r="A954" s="2992" t="str">
        <f>Sheet1!F935</f>
        <v>1-1312</v>
      </c>
      <c r="B954" s="2992">
        <f>Sheet1!G935</f>
        <v>188.35</v>
      </c>
      <c r="C954" s="2996">
        <f t="shared" si="150"/>
        <v>0.99</v>
      </c>
      <c r="D954" s="2994"/>
      <c r="E954" s="2996">
        <f t="shared" si="151"/>
        <v>1</v>
      </c>
      <c r="F954" s="2994"/>
      <c r="G954" s="2996">
        <f t="shared" si="152"/>
        <v>1</v>
      </c>
      <c r="H954" s="2994"/>
      <c r="I954" s="2996">
        <f t="shared" si="153"/>
        <v>1</v>
      </c>
      <c r="J954" s="2994"/>
      <c r="K954" s="2996">
        <f t="shared" si="154"/>
        <v>1</v>
      </c>
      <c r="L954" s="2994"/>
      <c r="M954" s="2996">
        <f t="shared" si="155"/>
        <v>1</v>
      </c>
      <c r="N954" s="2994"/>
      <c r="O954" s="2996">
        <f t="shared" si="156"/>
        <v>1</v>
      </c>
      <c r="P954" s="2994"/>
      <c r="Q954" s="2996">
        <f t="shared" si="157"/>
        <v>1</v>
      </c>
      <c r="R954" s="2997">
        <f t="shared" ca="1" si="158"/>
        <v>17087</v>
      </c>
      <c r="S954" s="2962">
        <f t="shared" ca="1" si="159"/>
        <v>322</v>
      </c>
    </row>
    <row r="955" spans="1:19">
      <c r="A955" s="2992" t="str">
        <f>Sheet1!F936</f>
        <v>1-1313</v>
      </c>
      <c r="B955" s="2992">
        <f>Sheet1!G936</f>
        <v>188.39</v>
      </c>
      <c r="C955" s="2996">
        <f t="shared" si="150"/>
        <v>0.99</v>
      </c>
      <c r="D955" s="2994"/>
      <c r="E955" s="2996">
        <f t="shared" si="151"/>
        <v>1</v>
      </c>
      <c r="F955" s="2994"/>
      <c r="G955" s="2996">
        <f t="shared" si="152"/>
        <v>1</v>
      </c>
      <c r="H955" s="2994"/>
      <c r="I955" s="2996">
        <f t="shared" si="153"/>
        <v>1</v>
      </c>
      <c r="J955" s="2994"/>
      <c r="K955" s="2996">
        <f t="shared" si="154"/>
        <v>1</v>
      </c>
      <c r="L955" s="2994"/>
      <c r="M955" s="2996">
        <f t="shared" si="155"/>
        <v>1</v>
      </c>
      <c r="N955" s="2994"/>
      <c r="O955" s="2996">
        <f t="shared" si="156"/>
        <v>1</v>
      </c>
      <c r="P955" s="2994"/>
      <c r="Q955" s="2996">
        <f t="shared" si="157"/>
        <v>1</v>
      </c>
      <c r="R955" s="2997">
        <f t="shared" ca="1" si="158"/>
        <v>17087</v>
      </c>
      <c r="S955" s="2962">
        <f t="shared" ca="1" si="159"/>
        <v>322</v>
      </c>
    </row>
    <row r="956" spans="1:19">
      <c r="A956" s="2992" t="str">
        <f>Sheet1!F937</f>
        <v>1-1314</v>
      </c>
      <c r="B956" s="2992">
        <f>Sheet1!G937</f>
        <v>188.39</v>
      </c>
      <c r="C956" s="2996">
        <f t="shared" si="150"/>
        <v>0.99</v>
      </c>
      <c r="D956" s="2994"/>
      <c r="E956" s="2996">
        <f t="shared" si="151"/>
        <v>1</v>
      </c>
      <c r="F956" s="2994"/>
      <c r="G956" s="2996">
        <f t="shared" si="152"/>
        <v>1</v>
      </c>
      <c r="H956" s="2994"/>
      <c r="I956" s="2996">
        <f t="shared" si="153"/>
        <v>1</v>
      </c>
      <c r="J956" s="2994"/>
      <c r="K956" s="2996">
        <f t="shared" si="154"/>
        <v>1</v>
      </c>
      <c r="L956" s="2994"/>
      <c r="M956" s="2996">
        <f t="shared" si="155"/>
        <v>1</v>
      </c>
      <c r="N956" s="2994"/>
      <c r="O956" s="2996">
        <f t="shared" si="156"/>
        <v>1</v>
      </c>
      <c r="P956" s="2994"/>
      <c r="Q956" s="2996">
        <f t="shared" si="157"/>
        <v>1</v>
      </c>
      <c r="R956" s="2997">
        <f t="shared" ca="1" si="158"/>
        <v>17087</v>
      </c>
      <c r="S956" s="2962">
        <f t="shared" ca="1" si="159"/>
        <v>322</v>
      </c>
    </row>
    <row r="957" spans="1:19">
      <c r="A957" s="2992" t="str">
        <f>Sheet1!F938</f>
        <v>1-1315</v>
      </c>
      <c r="B957" s="2992">
        <f>Sheet1!G938</f>
        <v>188.39</v>
      </c>
      <c r="C957" s="2996">
        <f t="shared" si="150"/>
        <v>0.99</v>
      </c>
      <c r="D957" s="2994"/>
      <c r="E957" s="2996">
        <f t="shared" si="151"/>
        <v>1</v>
      </c>
      <c r="F957" s="2994"/>
      <c r="G957" s="2996">
        <f t="shared" si="152"/>
        <v>1</v>
      </c>
      <c r="H957" s="2994"/>
      <c r="I957" s="2996">
        <f t="shared" si="153"/>
        <v>1</v>
      </c>
      <c r="J957" s="2994"/>
      <c r="K957" s="2996">
        <f t="shared" si="154"/>
        <v>1</v>
      </c>
      <c r="L957" s="2994"/>
      <c r="M957" s="2996">
        <f t="shared" si="155"/>
        <v>1</v>
      </c>
      <c r="N957" s="2994"/>
      <c r="O957" s="2996">
        <f t="shared" si="156"/>
        <v>1</v>
      </c>
      <c r="P957" s="2994"/>
      <c r="Q957" s="2996">
        <f t="shared" si="157"/>
        <v>1</v>
      </c>
      <c r="R957" s="2997">
        <f t="shared" ca="1" si="158"/>
        <v>17087</v>
      </c>
      <c r="S957" s="2962">
        <f t="shared" ca="1" si="159"/>
        <v>322</v>
      </c>
    </row>
    <row r="958" spans="1:19">
      <c r="A958" s="2992" t="str">
        <f>Sheet1!F939</f>
        <v>1-1316</v>
      </c>
      <c r="B958" s="2992">
        <f>Sheet1!G939</f>
        <v>188.39</v>
      </c>
      <c r="C958" s="2996">
        <f t="shared" si="150"/>
        <v>0.99</v>
      </c>
      <c r="D958" s="2994"/>
      <c r="E958" s="2996">
        <f t="shared" si="151"/>
        <v>1</v>
      </c>
      <c r="F958" s="2994"/>
      <c r="G958" s="2996">
        <f t="shared" si="152"/>
        <v>1</v>
      </c>
      <c r="H958" s="2994"/>
      <c r="I958" s="2996">
        <f t="shared" si="153"/>
        <v>1</v>
      </c>
      <c r="J958" s="2994"/>
      <c r="K958" s="2996">
        <f t="shared" si="154"/>
        <v>1</v>
      </c>
      <c r="L958" s="2994"/>
      <c r="M958" s="2996">
        <f t="shared" si="155"/>
        <v>1</v>
      </c>
      <c r="N958" s="2994"/>
      <c r="O958" s="2996">
        <f t="shared" si="156"/>
        <v>1</v>
      </c>
      <c r="P958" s="2994"/>
      <c r="Q958" s="2996">
        <f t="shared" si="157"/>
        <v>1</v>
      </c>
      <c r="R958" s="2997">
        <f t="shared" ca="1" si="158"/>
        <v>17087</v>
      </c>
      <c r="S958" s="2962">
        <f t="shared" ca="1" si="159"/>
        <v>322</v>
      </c>
    </row>
    <row r="959" spans="1:19">
      <c r="A959" s="2992" t="str">
        <f>Sheet1!F940</f>
        <v>1-1317</v>
      </c>
      <c r="B959" s="2992">
        <f>Sheet1!G940</f>
        <v>188.39</v>
      </c>
      <c r="C959" s="2996">
        <f t="shared" si="150"/>
        <v>0.99</v>
      </c>
      <c r="D959" s="2994"/>
      <c r="E959" s="2996">
        <f t="shared" si="151"/>
        <v>1</v>
      </c>
      <c r="F959" s="2994"/>
      <c r="G959" s="2996">
        <f t="shared" si="152"/>
        <v>1</v>
      </c>
      <c r="H959" s="2994"/>
      <c r="I959" s="2996">
        <f t="shared" si="153"/>
        <v>1</v>
      </c>
      <c r="J959" s="2994"/>
      <c r="K959" s="2996">
        <f t="shared" si="154"/>
        <v>1</v>
      </c>
      <c r="L959" s="2994"/>
      <c r="M959" s="2996">
        <f t="shared" si="155"/>
        <v>1</v>
      </c>
      <c r="N959" s="2994"/>
      <c r="O959" s="2996">
        <f t="shared" si="156"/>
        <v>1</v>
      </c>
      <c r="P959" s="2994"/>
      <c r="Q959" s="2996">
        <f t="shared" si="157"/>
        <v>1</v>
      </c>
      <c r="R959" s="2997">
        <f t="shared" ca="1" si="158"/>
        <v>17087</v>
      </c>
      <c r="S959" s="2962">
        <f t="shared" ca="1" si="159"/>
        <v>322</v>
      </c>
    </row>
    <row r="960" spans="1:19">
      <c r="A960" s="2992" t="str">
        <f>Sheet1!F941</f>
        <v>1-1318</v>
      </c>
      <c r="B960" s="2992">
        <f>Sheet1!G941</f>
        <v>279.91000000000003</v>
      </c>
      <c r="C960" s="2996">
        <f t="shared" si="150"/>
        <v>0.98</v>
      </c>
      <c r="D960" s="2994"/>
      <c r="E960" s="2996">
        <f t="shared" si="151"/>
        <v>1</v>
      </c>
      <c r="F960" s="2994"/>
      <c r="G960" s="2996">
        <f t="shared" si="152"/>
        <v>1</v>
      </c>
      <c r="H960" s="2994"/>
      <c r="I960" s="2996">
        <f t="shared" si="153"/>
        <v>1</v>
      </c>
      <c r="J960" s="2994"/>
      <c r="K960" s="2996">
        <f t="shared" si="154"/>
        <v>1</v>
      </c>
      <c r="L960" s="2994"/>
      <c r="M960" s="2996">
        <f t="shared" si="155"/>
        <v>1</v>
      </c>
      <c r="N960" s="2994"/>
      <c r="O960" s="2996">
        <f t="shared" si="156"/>
        <v>1</v>
      </c>
      <c r="P960" s="2994"/>
      <c r="Q960" s="2996">
        <f t="shared" si="157"/>
        <v>1</v>
      </c>
      <c r="R960" s="2997">
        <f t="shared" ca="1" si="158"/>
        <v>16915</v>
      </c>
      <c r="S960" s="2962">
        <f t="shared" ca="1" si="159"/>
        <v>473</v>
      </c>
    </row>
    <row r="961" spans="1:19">
      <c r="A961" s="2992" t="str">
        <f>Sheet1!F942</f>
        <v>1-1319</v>
      </c>
      <c r="B961" s="2992">
        <f>Sheet1!G942</f>
        <v>175.75</v>
      </c>
      <c r="C961" s="2996">
        <f t="shared" si="150"/>
        <v>0.99</v>
      </c>
      <c r="D961" s="2994"/>
      <c r="E961" s="2996">
        <f t="shared" si="151"/>
        <v>1</v>
      </c>
      <c r="F961" s="2994"/>
      <c r="G961" s="2996">
        <f t="shared" si="152"/>
        <v>1</v>
      </c>
      <c r="H961" s="2994"/>
      <c r="I961" s="2996">
        <f t="shared" si="153"/>
        <v>1</v>
      </c>
      <c r="J961" s="2994"/>
      <c r="K961" s="2996">
        <f t="shared" si="154"/>
        <v>1</v>
      </c>
      <c r="L961" s="2994"/>
      <c r="M961" s="2996">
        <f t="shared" si="155"/>
        <v>1</v>
      </c>
      <c r="N961" s="2994"/>
      <c r="O961" s="2996">
        <f t="shared" si="156"/>
        <v>1</v>
      </c>
      <c r="P961" s="2994"/>
      <c r="Q961" s="2996">
        <f t="shared" si="157"/>
        <v>1</v>
      </c>
      <c r="R961" s="2997">
        <f t="shared" ca="1" si="158"/>
        <v>17087</v>
      </c>
      <c r="S961" s="2962">
        <f t="shared" ca="1" si="159"/>
        <v>300</v>
      </c>
    </row>
    <row r="962" spans="1:19">
      <c r="A962" s="2992" t="str">
        <f>Sheet1!F943</f>
        <v>1-1320</v>
      </c>
      <c r="B962" s="2992">
        <f>Sheet1!G943</f>
        <v>188.32</v>
      </c>
      <c r="C962" s="2996">
        <f t="shared" si="150"/>
        <v>0.99</v>
      </c>
      <c r="D962" s="2994"/>
      <c r="E962" s="2996">
        <f t="shared" si="151"/>
        <v>1</v>
      </c>
      <c r="F962" s="2994"/>
      <c r="G962" s="2996">
        <f t="shared" si="152"/>
        <v>1</v>
      </c>
      <c r="H962" s="2994"/>
      <c r="I962" s="2996">
        <f t="shared" si="153"/>
        <v>1</v>
      </c>
      <c r="J962" s="2994"/>
      <c r="K962" s="2996">
        <f t="shared" si="154"/>
        <v>1</v>
      </c>
      <c r="L962" s="2994"/>
      <c r="M962" s="2996">
        <f t="shared" si="155"/>
        <v>1</v>
      </c>
      <c r="N962" s="2994"/>
      <c r="O962" s="2996">
        <f t="shared" si="156"/>
        <v>1</v>
      </c>
      <c r="P962" s="2994"/>
      <c r="Q962" s="2996">
        <f t="shared" si="157"/>
        <v>1</v>
      </c>
      <c r="R962" s="2997">
        <f t="shared" ca="1" si="158"/>
        <v>17087</v>
      </c>
      <c r="S962" s="2962">
        <f t="shared" ca="1" si="159"/>
        <v>322</v>
      </c>
    </row>
    <row r="963" spans="1:19">
      <c r="A963" s="2992" t="str">
        <f>Sheet1!F944</f>
        <v>2-1301</v>
      </c>
      <c r="B963" s="2992">
        <f>Sheet1!G944</f>
        <v>210.22</v>
      </c>
      <c r="C963" s="2996">
        <f t="shared" si="150"/>
        <v>0.98</v>
      </c>
      <c r="D963" s="2994"/>
      <c r="E963" s="2996">
        <f t="shared" si="151"/>
        <v>1</v>
      </c>
      <c r="F963" s="2994"/>
      <c r="G963" s="2996">
        <f t="shared" si="152"/>
        <v>1</v>
      </c>
      <c r="H963" s="2994"/>
      <c r="I963" s="2996">
        <f t="shared" si="153"/>
        <v>1</v>
      </c>
      <c r="J963" s="2994"/>
      <c r="K963" s="2996">
        <f t="shared" si="154"/>
        <v>1</v>
      </c>
      <c r="L963" s="2994"/>
      <c r="M963" s="2996">
        <f t="shared" si="155"/>
        <v>1</v>
      </c>
      <c r="N963" s="2994"/>
      <c r="O963" s="2996">
        <f t="shared" si="156"/>
        <v>1</v>
      </c>
      <c r="P963" s="2994"/>
      <c r="Q963" s="2996">
        <f t="shared" si="157"/>
        <v>1</v>
      </c>
      <c r="R963" s="2997">
        <f t="shared" ca="1" si="158"/>
        <v>16915</v>
      </c>
      <c r="S963" s="2962">
        <f t="shared" ca="1" si="159"/>
        <v>356</v>
      </c>
    </row>
    <row r="964" spans="1:19">
      <c r="A964" s="2992" t="str">
        <f>Sheet1!F945</f>
        <v>2-1302</v>
      </c>
      <c r="B964" s="2992">
        <f>Sheet1!G945</f>
        <v>187.56</v>
      </c>
      <c r="C964" s="2996">
        <f t="shared" si="150"/>
        <v>0.99</v>
      </c>
      <c r="D964" s="2994"/>
      <c r="E964" s="2996">
        <f t="shared" si="151"/>
        <v>1</v>
      </c>
      <c r="F964" s="2994"/>
      <c r="G964" s="2996">
        <f t="shared" si="152"/>
        <v>1</v>
      </c>
      <c r="H964" s="2994"/>
      <c r="I964" s="2996">
        <f t="shared" si="153"/>
        <v>1</v>
      </c>
      <c r="J964" s="2994"/>
      <c r="K964" s="2996">
        <f t="shared" si="154"/>
        <v>1</v>
      </c>
      <c r="L964" s="2994"/>
      <c r="M964" s="2996">
        <f t="shared" si="155"/>
        <v>1</v>
      </c>
      <c r="N964" s="2994"/>
      <c r="O964" s="2996">
        <f t="shared" si="156"/>
        <v>1</v>
      </c>
      <c r="P964" s="2994"/>
      <c r="Q964" s="2996">
        <f t="shared" si="157"/>
        <v>1</v>
      </c>
      <c r="R964" s="2997">
        <f t="shared" ca="1" si="158"/>
        <v>17087</v>
      </c>
      <c r="S964" s="2962">
        <f t="shared" ca="1" si="159"/>
        <v>320</v>
      </c>
    </row>
    <row r="965" spans="1:19">
      <c r="A965" s="2992" t="str">
        <f>Sheet1!F946</f>
        <v>2-1303</v>
      </c>
      <c r="B965" s="2992">
        <f>Sheet1!G946</f>
        <v>188.42</v>
      </c>
      <c r="C965" s="2996">
        <f t="shared" si="150"/>
        <v>0.99</v>
      </c>
      <c r="D965" s="2994"/>
      <c r="E965" s="2996">
        <f t="shared" si="151"/>
        <v>1</v>
      </c>
      <c r="F965" s="2994"/>
      <c r="G965" s="2996">
        <f t="shared" si="152"/>
        <v>1</v>
      </c>
      <c r="H965" s="2994"/>
      <c r="I965" s="2996">
        <f t="shared" si="153"/>
        <v>1</v>
      </c>
      <c r="J965" s="2994"/>
      <c r="K965" s="2996">
        <f t="shared" si="154"/>
        <v>1</v>
      </c>
      <c r="L965" s="2994"/>
      <c r="M965" s="2996">
        <f t="shared" si="155"/>
        <v>1</v>
      </c>
      <c r="N965" s="2994"/>
      <c r="O965" s="2996">
        <f t="shared" si="156"/>
        <v>1</v>
      </c>
      <c r="P965" s="2994"/>
      <c r="Q965" s="2996">
        <f t="shared" si="157"/>
        <v>1</v>
      </c>
      <c r="R965" s="2997">
        <f t="shared" ca="1" si="158"/>
        <v>17087</v>
      </c>
      <c r="S965" s="2962">
        <f t="shared" ca="1" si="159"/>
        <v>322</v>
      </c>
    </row>
    <row r="966" spans="1:19">
      <c r="A966" s="2992" t="str">
        <f>Sheet1!F947</f>
        <v>2-1304</v>
      </c>
      <c r="B966" s="2992">
        <f>Sheet1!G947</f>
        <v>188.42</v>
      </c>
      <c r="C966" s="2996">
        <f t="shared" si="150"/>
        <v>0.99</v>
      </c>
      <c r="D966" s="2994"/>
      <c r="E966" s="2996">
        <f t="shared" si="151"/>
        <v>1</v>
      </c>
      <c r="F966" s="2994"/>
      <c r="G966" s="2996">
        <f t="shared" si="152"/>
        <v>1</v>
      </c>
      <c r="H966" s="2994"/>
      <c r="I966" s="2996">
        <f t="shared" si="153"/>
        <v>1</v>
      </c>
      <c r="J966" s="2994"/>
      <c r="K966" s="2996">
        <f t="shared" si="154"/>
        <v>1</v>
      </c>
      <c r="L966" s="2994"/>
      <c r="M966" s="2996">
        <f t="shared" si="155"/>
        <v>1</v>
      </c>
      <c r="N966" s="2994"/>
      <c r="O966" s="2996">
        <f t="shared" si="156"/>
        <v>1</v>
      </c>
      <c r="P966" s="2994"/>
      <c r="Q966" s="2996">
        <f t="shared" si="157"/>
        <v>1</v>
      </c>
      <c r="R966" s="2997">
        <f t="shared" ca="1" si="158"/>
        <v>17087</v>
      </c>
      <c r="S966" s="2962">
        <f t="shared" ca="1" si="159"/>
        <v>322</v>
      </c>
    </row>
    <row r="967" spans="1:19">
      <c r="A967" s="2992" t="str">
        <f>Sheet1!F948</f>
        <v>2-1305</v>
      </c>
      <c r="B967" s="2992">
        <f>Sheet1!G948</f>
        <v>188.42</v>
      </c>
      <c r="C967" s="2996">
        <f t="shared" si="150"/>
        <v>0.99</v>
      </c>
      <c r="D967" s="2994"/>
      <c r="E967" s="2996">
        <f t="shared" si="151"/>
        <v>1</v>
      </c>
      <c r="F967" s="2994"/>
      <c r="G967" s="2996">
        <f t="shared" si="152"/>
        <v>1</v>
      </c>
      <c r="H967" s="2994"/>
      <c r="I967" s="2996">
        <f t="shared" si="153"/>
        <v>1</v>
      </c>
      <c r="J967" s="2994"/>
      <c r="K967" s="2996">
        <f t="shared" si="154"/>
        <v>1</v>
      </c>
      <c r="L967" s="2994"/>
      <c r="M967" s="2996">
        <f t="shared" si="155"/>
        <v>1</v>
      </c>
      <c r="N967" s="2994"/>
      <c r="O967" s="2996">
        <f t="shared" si="156"/>
        <v>1</v>
      </c>
      <c r="P967" s="2994"/>
      <c r="Q967" s="2996">
        <f t="shared" si="157"/>
        <v>1</v>
      </c>
      <c r="R967" s="2997">
        <f t="shared" ca="1" si="158"/>
        <v>17087</v>
      </c>
      <c r="S967" s="2962">
        <f t="shared" ca="1" si="159"/>
        <v>322</v>
      </c>
    </row>
    <row r="968" spans="1:19">
      <c r="A968" s="2992" t="str">
        <f>Sheet1!F949</f>
        <v>2-1306</v>
      </c>
      <c r="B968" s="2992">
        <f>Sheet1!G949</f>
        <v>188.42</v>
      </c>
      <c r="C968" s="2996">
        <f t="shared" si="150"/>
        <v>0.99</v>
      </c>
      <c r="D968" s="2994"/>
      <c r="E968" s="2996">
        <f t="shared" si="151"/>
        <v>1</v>
      </c>
      <c r="F968" s="2994"/>
      <c r="G968" s="2996">
        <f t="shared" si="152"/>
        <v>1</v>
      </c>
      <c r="H968" s="2994"/>
      <c r="I968" s="2996">
        <f t="shared" si="153"/>
        <v>1</v>
      </c>
      <c r="J968" s="2994"/>
      <c r="K968" s="2996">
        <f t="shared" si="154"/>
        <v>1</v>
      </c>
      <c r="L968" s="2994"/>
      <c r="M968" s="2996">
        <f t="shared" si="155"/>
        <v>1</v>
      </c>
      <c r="N968" s="2994"/>
      <c r="O968" s="2996">
        <f t="shared" si="156"/>
        <v>1</v>
      </c>
      <c r="P968" s="2994"/>
      <c r="Q968" s="2996">
        <f t="shared" si="157"/>
        <v>1</v>
      </c>
      <c r="R968" s="2997">
        <f t="shared" ca="1" si="158"/>
        <v>17087</v>
      </c>
      <c r="S968" s="2962">
        <f t="shared" ca="1" si="159"/>
        <v>322</v>
      </c>
    </row>
    <row r="969" spans="1:19">
      <c r="A969" s="2992" t="str">
        <f>Sheet1!F950</f>
        <v>2-1307</v>
      </c>
      <c r="B969" s="2992">
        <f>Sheet1!G950</f>
        <v>188.42</v>
      </c>
      <c r="C969" s="2996">
        <f t="shared" si="150"/>
        <v>0.99</v>
      </c>
      <c r="D969" s="2994"/>
      <c r="E969" s="2996">
        <f t="shared" si="151"/>
        <v>1</v>
      </c>
      <c r="F969" s="2994"/>
      <c r="G969" s="2996">
        <f t="shared" si="152"/>
        <v>1</v>
      </c>
      <c r="H969" s="2994"/>
      <c r="I969" s="2996">
        <f t="shared" si="153"/>
        <v>1</v>
      </c>
      <c r="J969" s="2994"/>
      <c r="K969" s="2996">
        <f t="shared" si="154"/>
        <v>1</v>
      </c>
      <c r="L969" s="2994"/>
      <c r="M969" s="2996">
        <f t="shared" si="155"/>
        <v>1</v>
      </c>
      <c r="N969" s="2994"/>
      <c r="O969" s="2996">
        <f t="shared" si="156"/>
        <v>1</v>
      </c>
      <c r="P969" s="2994"/>
      <c r="Q969" s="2996">
        <f t="shared" si="157"/>
        <v>1</v>
      </c>
      <c r="R969" s="2997">
        <f t="shared" ca="1" si="158"/>
        <v>17087</v>
      </c>
      <c r="S969" s="2962">
        <f t="shared" ca="1" si="159"/>
        <v>322</v>
      </c>
    </row>
    <row r="970" spans="1:19">
      <c r="A970" s="2992" t="str">
        <f>Sheet1!F951</f>
        <v>2-1308</v>
      </c>
      <c r="B970" s="2992">
        <f>Sheet1!G951</f>
        <v>186.36</v>
      </c>
      <c r="C970" s="2996">
        <f t="shared" si="150"/>
        <v>0.99</v>
      </c>
      <c r="D970" s="2994"/>
      <c r="E970" s="2996">
        <f t="shared" si="151"/>
        <v>1</v>
      </c>
      <c r="F970" s="2994"/>
      <c r="G970" s="2996">
        <f t="shared" si="152"/>
        <v>1</v>
      </c>
      <c r="H970" s="2994"/>
      <c r="I970" s="2996">
        <f t="shared" si="153"/>
        <v>1</v>
      </c>
      <c r="J970" s="2994"/>
      <c r="K970" s="2996">
        <f t="shared" si="154"/>
        <v>1</v>
      </c>
      <c r="L970" s="2994"/>
      <c r="M970" s="2996">
        <f t="shared" si="155"/>
        <v>1</v>
      </c>
      <c r="N970" s="2994"/>
      <c r="O970" s="2996">
        <f t="shared" si="156"/>
        <v>1</v>
      </c>
      <c r="P970" s="2994"/>
      <c r="Q970" s="2996">
        <f t="shared" si="157"/>
        <v>1</v>
      </c>
      <c r="R970" s="2997">
        <f t="shared" ca="1" si="158"/>
        <v>17087</v>
      </c>
      <c r="S970" s="2962">
        <f t="shared" ca="1" si="159"/>
        <v>318</v>
      </c>
    </row>
    <row r="971" spans="1:19">
      <c r="A971" s="2992" t="str">
        <f>Sheet1!F952</f>
        <v>2-1309</v>
      </c>
      <c r="B971" s="2992">
        <f>Sheet1!G952</f>
        <v>188.36</v>
      </c>
      <c r="C971" s="2996">
        <f t="shared" si="150"/>
        <v>0.99</v>
      </c>
      <c r="D971" s="2994"/>
      <c r="E971" s="2996">
        <f t="shared" si="151"/>
        <v>1</v>
      </c>
      <c r="F971" s="2994"/>
      <c r="G971" s="2996">
        <f t="shared" si="152"/>
        <v>1</v>
      </c>
      <c r="H971" s="2994"/>
      <c r="I971" s="2996">
        <f t="shared" si="153"/>
        <v>1</v>
      </c>
      <c r="J971" s="2994"/>
      <c r="K971" s="2996">
        <f t="shared" si="154"/>
        <v>1</v>
      </c>
      <c r="L971" s="2994"/>
      <c r="M971" s="2996">
        <f t="shared" si="155"/>
        <v>1</v>
      </c>
      <c r="N971" s="2994"/>
      <c r="O971" s="2996">
        <f t="shared" si="156"/>
        <v>1</v>
      </c>
      <c r="P971" s="2994"/>
      <c r="Q971" s="2996">
        <f t="shared" si="157"/>
        <v>1</v>
      </c>
      <c r="R971" s="2997">
        <f t="shared" ca="1" si="158"/>
        <v>17087</v>
      </c>
      <c r="S971" s="2962">
        <f t="shared" ca="1" si="159"/>
        <v>322</v>
      </c>
    </row>
    <row r="972" spans="1:19">
      <c r="A972" s="2992" t="str">
        <f>Sheet1!F953</f>
        <v>2-1310</v>
      </c>
      <c r="B972" s="2992">
        <f>Sheet1!G953</f>
        <v>175.78</v>
      </c>
      <c r="C972" s="2996">
        <f t="shared" si="150"/>
        <v>0.99</v>
      </c>
      <c r="D972" s="2994"/>
      <c r="E972" s="2996">
        <f t="shared" si="151"/>
        <v>1</v>
      </c>
      <c r="F972" s="2994"/>
      <c r="G972" s="2996">
        <f t="shared" si="152"/>
        <v>1</v>
      </c>
      <c r="H972" s="2994"/>
      <c r="I972" s="2996">
        <f t="shared" si="153"/>
        <v>1</v>
      </c>
      <c r="J972" s="2994"/>
      <c r="K972" s="2996">
        <f t="shared" si="154"/>
        <v>1</v>
      </c>
      <c r="L972" s="2994"/>
      <c r="M972" s="2996">
        <f t="shared" si="155"/>
        <v>1</v>
      </c>
      <c r="N972" s="2994"/>
      <c r="O972" s="2996">
        <f t="shared" si="156"/>
        <v>1</v>
      </c>
      <c r="P972" s="2994"/>
      <c r="Q972" s="2996">
        <f t="shared" si="157"/>
        <v>1</v>
      </c>
      <c r="R972" s="2997">
        <f t="shared" ca="1" si="158"/>
        <v>17087</v>
      </c>
      <c r="S972" s="2962">
        <f t="shared" ca="1" si="159"/>
        <v>300</v>
      </c>
    </row>
    <row r="973" spans="1:19">
      <c r="A973" s="2992" t="str">
        <f>Sheet1!F954</f>
        <v>2-1311</v>
      </c>
      <c r="B973" s="2992">
        <f>Sheet1!G954</f>
        <v>279.95999999999998</v>
      </c>
      <c r="C973" s="2996">
        <f t="shared" ref="C973:C1036" si="160">IF(B973="",1,(LOOKUP(B973,$3:$3,$4:$4)-LOOKUP($B$24,$3:$3,$4:$4)+100)/100)</f>
        <v>0.98</v>
      </c>
      <c r="D973" s="2994"/>
      <c r="E973" s="2996">
        <f t="shared" ref="E973:E1036" si="161">(SUMIF($5:$5,D973,$6:$6)-SUMIF($5:$5,$D$24,$6:$6)+100)/100</f>
        <v>1</v>
      </c>
      <c r="F973" s="2994"/>
      <c r="G973" s="2996">
        <f t="shared" ref="G973:G1036" si="162">(SUMIF($7:$7,F973,$8:$8)-SUMIF($7:$7,$F$24,$8:$8)+100)/100</f>
        <v>1</v>
      </c>
      <c r="H973" s="2994"/>
      <c r="I973" s="2996">
        <f t="shared" ref="I973:I1036" si="163">(SUMIF($9:$9,H973,$10:$10)-SUMIF($9:$9,$H$24,$10:$10)+100)/100</f>
        <v>1</v>
      </c>
      <c r="J973" s="2994"/>
      <c r="K973" s="2996">
        <f t="shared" ref="K973:K1036" si="164">(SUMIF($11:$11,J973,$12:$12)-SUMIF($11:$11,$J$24,$12:$12)+100)/100</f>
        <v>1</v>
      </c>
      <c r="L973" s="2994"/>
      <c r="M973" s="2996">
        <f t="shared" ref="M973:M1036" si="165">(SUMIF($13:$13,L973,$14:$14)-SUMIF($13:$13,$L$24,$14:$14)+100)/100</f>
        <v>1</v>
      </c>
      <c r="N973" s="2994"/>
      <c r="O973" s="2996">
        <f t="shared" ref="O973:O1036" si="166">(SUMIF($15:$15,N973,$16:$16)-SUMIF($15:$15,$N$24,$16:$16)+100)/100</f>
        <v>1</v>
      </c>
      <c r="P973" s="2994"/>
      <c r="Q973" s="2996">
        <f t="shared" ref="Q973:Q1036" si="167">(SUMIF($17:$17,P973,$18:$18)-SUMIF($17:$17,$P$24,$18:$18)+100)/100</f>
        <v>1</v>
      </c>
      <c r="R973" s="2997">
        <f t="shared" ref="R973:R1036" ca="1" si="168">IF(B973="",0,ROUND($R$24*C973*E973*G973*I973*K973*M973*O973*Q973,0))</f>
        <v>16915</v>
      </c>
      <c r="S973" s="2962">
        <f t="shared" ref="S973:S1036" ca="1" si="169">ROUND(R973*B973/10000,0)</f>
        <v>474</v>
      </c>
    </row>
    <row r="974" spans="1:19">
      <c r="A974" s="2992" t="str">
        <f>Sheet1!F955</f>
        <v>2-1312</v>
      </c>
      <c r="B974" s="2992">
        <f>Sheet1!G955</f>
        <v>188.43</v>
      </c>
      <c r="C974" s="2996">
        <f t="shared" si="160"/>
        <v>0.99</v>
      </c>
      <c r="D974" s="2994"/>
      <c r="E974" s="2996">
        <f t="shared" si="161"/>
        <v>1</v>
      </c>
      <c r="F974" s="2994"/>
      <c r="G974" s="2996">
        <f t="shared" si="162"/>
        <v>1</v>
      </c>
      <c r="H974" s="2994"/>
      <c r="I974" s="2996">
        <f t="shared" si="163"/>
        <v>1</v>
      </c>
      <c r="J974" s="2994"/>
      <c r="K974" s="2996">
        <f t="shared" si="164"/>
        <v>1</v>
      </c>
      <c r="L974" s="2994"/>
      <c r="M974" s="2996">
        <f t="shared" si="165"/>
        <v>1</v>
      </c>
      <c r="N974" s="2994"/>
      <c r="O974" s="2996">
        <f t="shared" si="166"/>
        <v>1</v>
      </c>
      <c r="P974" s="2994"/>
      <c r="Q974" s="2996">
        <f t="shared" si="167"/>
        <v>1</v>
      </c>
      <c r="R974" s="2997">
        <f t="shared" ca="1" si="168"/>
        <v>17087</v>
      </c>
      <c r="S974" s="2962">
        <f t="shared" ca="1" si="169"/>
        <v>322</v>
      </c>
    </row>
    <row r="975" spans="1:19">
      <c r="A975" s="2992" t="str">
        <f>Sheet1!F956</f>
        <v>2-1313</v>
      </c>
      <c r="B975" s="2992">
        <f>Sheet1!G956</f>
        <v>188.43</v>
      </c>
      <c r="C975" s="2996">
        <f t="shared" si="160"/>
        <v>0.99</v>
      </c>
      <c r="D975" s="2994"/>
      <c r="E975" s="2996">
        <f t="shared" si="161"/>
        <v>1</v>
      </c>
      <c r="F975" s="2994"/>
      <c r="G975" s="2996">
        <f t="shared" si="162"/>
        <v>1</v>
      </c>
      <c r="H975" s="2994"/>
      <c r="I975" s="2996">
        <f t="shared" si="163"/>
        <v>1</v>
      </c>
      <c r="J975" s="2994"/>
      <c r="K975" s="2996">
        <f t="shared" si="164"/>
        <v>1</v>
      </c>
      <c r="L975" s="2994"/>
      <c r="M975" s="2996">
        <f t="shared" si="165"/>
        <v>1</v>
      </c>
      <c r="N975" s="2994"/>
      <c r="O975" s="2996">
        <f t="shared" si="166"/>
        <v>1</v>
      </c>
      <c r="P975" s="2994"/>
      <c r="Q975" s="2996">
        <f t="shared" si="167"/>
        <v>1</v>
      </c>
      <c r="R975" s="2997">
        <f t="shared" ca="1" si="168"/>
        <v>17087</v>
      </c>
      <c r="S975" s="2962">
        <f t="shared" ca="1" si="169"/>
        <v>322</v>
      </c>
    </row>
    <row r="976" spans="1:19">
      <c r="A976" s="2992" t="str">
        <f>Sheet1!F957</f>
        <v>2-1314</v>
      </c>
      <c r="B976" s="2992">
        <f>Sheet1!G957</f>
        <v>188.43</v>
      </c>
      <c r="C976" s="2996">
        <f t="shared" si="160"/>
        <v>0.99</v>
      </c>
      <c r="D976" s="2994"/>
      <c r="E976" s="2996">
        <f t="shared" si="161"/>
        <v>1</v>
      </c>
      <c r="F976" s="2994"/>
      <c r="G976" s="2996">
        <f t="shared" si="162"/>
        <v>1</v>
      </c>
      <c r="H976" s="2994"/>
      <c r="I976" s="2996">
        <f t="shared" si="163"/>
        <v>1</v>
      </c>
      <c r="J976" s="2994"/>
      <c r="K976" s="2996">
        <f t="shared" si="164"/>
        <v>1</v>
      </c>
      <c r="L976" s="2994"/>
      <c r="M976" s="2996">
        <f t="shared" si="165"/>
        <v>1</v>
      </c>
      <c r="N976" s="2994"/>
      <c r="O976" s="2996">
        <f t="shared" si="166"/>
        <v>1</v>
      </c>
      <c r="P976" s="2994"/>
      <c r="Q976" s="2996">
        <f t="shared" si="167"/>
        <v>1</v>
      </c>
      <c r="R976" s="2997">
        <f t="shared" ca="1" si="168"/>
        <v>17087</v>
      </c>
      <c r="S976" s="2962">
        <f t="shared" ca="1" si="169"/>
        <v>322</v>
      </c>
    </row>
    <row r="977" spans="1:19">
      <c r="A977" s="2992" t="str">
        <f>Sheet1!F958</f>
        <v>2-1315</v>
      </c>
      <c r="B977" s="2992">
        <f>Sheet1!G958</f>
        <v>188.43</v>
      </c>
      <c r="C977" s="2996">
        <f t="shared" si="160"/>
        <v>0.99</v>
      </c>
      <c r="D977" s="2994"/>
      <c r="E977" s="2996">
        <f t="shared" si="161"/>
        <v>1</v>
      </c>
      <c r="F977" s="2994"/>
      <c r="G977" s="2996">
        <f t="shared" si="162"/>
        <v>1</v>
      </c>
      <c r="H977" s="2994"/>
      <c r="I977" s="2996">
        <f t="shared" si="163"/>
        <v>1</v>
      </c>
      <c r="J977" s="2994"/>
      <c r="K977" s="2996">
        <f t="shared" si="164"/>
        <v>1</v>
      </c>
      <c r="L977" s="2994"/>
      <c r="M977" s="2996">
        <f t="shared" si="165"/>
        <v>1</v>
      </c>
      <c r="N977" s="2994"/>
      <c r="O977" s="2996">
        <f t="shared" si="166"/>
        <v>1</v>
      </c>
      <c r="P977" s="2994"/>
      <c r="Q977" s="2996">
        <f t="shared" si="167"/>
        <v>1</v>
      </c>
      <c r="R977" s="2997">
        <f t="shared" ca="1" si="168"/>
        <v>17087</v>
      </c>
      <c r="S977" s="2962">
        <f t="shared" ca="1" si="169"/>
        <v>322</v>
      </c>
    </row>
    <row r="978" spans="1:19">
      <c r="A978" s="2992" t="str">
        <f>Sheet1!F959</f>
        <v>2-1316</v>
      </c>
      <c r="B978" s="2992">
        <f>Sheet1!G959</f>
        <v>188.43</v>
      </c>
      <c r="C978" s="2996">
        <f t="shared" si="160"/>
        <v>0.99</v>
      </c>
      <c r="D978" s="2994"/>
      <c r="E978" s="2996">
        <f t="shared" si="161"/>
        <v>1</v>
      </c>
      <c r="F978" s="2994"/>
      <c r="G978" s="2996">
        <f t="shared" si="162"/>
        <v>1</v>
      </c>
      <c r="H978" s="2994"/>
      <c r="I978" s="2996">
        <f t="shared" si="163"/>
        <v>1</v>
      </c>
      <c r="J978" s="2994"/>
      <c r="K978" s="2996">
        <f t="shared" si="164"/>
        <v>1</v>
      </c>
      <c r="L978" s="2994"/>
      <c r="M978" s="2996">
        <f t="shared" si="165"/>
        <v>1</v>
      </c>
      <c r="N978" s="2994"/>
      <c r="O978" s="2996">
        <f t="shared" si="166"/>
        <v>1</v>
      </c>
      <c r="P978" s="2994"/>
      <c r="Q978" s="2996">
        <f t="shared" si="167"/>
        <v>1</v>
      </c>
      <c r="R978" s="2997">
        <f t="shared" ca="1" si="168"/>
        <v>17087</v>
      </c>
      <c r="S978" s="2962">
        <f t="shared" ca="1" si="169"/>
        <v>322</v>
      </c>
    </row>
    <row r="979" spans="1:19">
      <c r="A979" s="2992" t="str">
        <f>Sheet1!F960</f>
        <v>2-1317</v>
      </c>
      <c r="B979" s="2992">
        <f>Sheet1!G960</f>
        <v>188.38</v>
      </c>
      <c r="C979" s="2996">
        <f t="shared" si="160"/>
        <v>0.99</v>
      </c>
      <c r="D979" s="2994"/>
      <c r="E979" s="2996">
        <f t="shared" si="161"/>
        <v>1</v>
      </c>
      <c r="F979" s="2994"/>
      <c r="G979" s="2996">
        <f t="shared" si="162"/>
        <v>1</v>
      </c>
      <c r="H979" s="2994"/>
      <c r="I979" s="2996">
        <f t="shared" si="163"/>
        <v>1</v>
      </c>
      <c r="J979" s="2994"/>
      <c r="K979" s="2996">
        <f t="shared" si="164"/>
        <v>1</v>
      </c>
      <c r="L979" s="2994"/>
      <c r="M979" s="2996">
        <f t="shared" si="165"/>
        <v>1</v>
      </c>
      <c r="N979" s="2994"/>
      <c r="O979" s="2996">
        <f t="shared" si="166"/>
        <v>1</v>
      </c>
      <c r="P979" s="2994"/>
      <c r="Q979" s="2996">
        <f t="shared" si="167"/>
        <v>1</v>
      </c>
      <c r="R979" s="2997">
        <f t="shared" ca="1" si="168"/>
        <v>17087</v>
      </c>
      <c r="S979" s="2962">
        <f t="shared" ca="1" si="169"/>
        <v>322</v>
      </c>
    </row>
    <row r="980" spans="1:19">
      <c r="A980" s="2992" t="str">
        <f>Sheet1!F961</f>
        <v>2-1318</v>
      </c>
      <c r="B980" s="2992">
        <f>Sheet1!G961</f>
        <v>208.95</v>
      </c>
      <c r="C980" s="2996">
        <f t="shared" si="160"/>
        <v>0.98</v>
      </c>
      <c r="D980" s="2994"/>
      <c r="E980" s="2996">
        <f t="shared" si="161"/>
        <v>1</v>
      </c>
      <c r="F980" s="2994"/>
      <c r="G980" s="2996">
        <f t="shared" si="162"/>
        <v>1</v>
      </c>
      <c r="H980" s="2994"/>
      <c r="I980" s="2996">
        <f t="shared" si="163"/>
        <v>1</v>
      </c>
      <c r="J980" s="2994"/>
      <c r="K980" s="2996">
        <f t="shared" si="164"/>
        <v>1</v>
      </c>
      <c r="L980" s="2994"/>
      <c r="M980" s="2996">
        <f t="shared" si="165"/>
        <v>1</v>
      </c>
      <c r="N980" s="2994"/>
      <c r="O980" s="2996">
        <f t="shared" si="166"/>
        <v>1</v>
      </c>
      <c r="P980" s="2994"/>
      <c r="Q980" s="2996">
        <f t="shared" si="167"/>
        <v>1</v>
      </c>
      <c r="R980" s="2997">
        <f t="shared" ca="1" si="168"/>
        <v>16915</v>
      </c>
      <c r="S980" s="2962">
        <f t="shared" ca="1" si="169"/>
        <v>353</v>
      </c>
    </row>
    <row r="981" spans="1:19">
      <c r="A981" s="2992" t="str">
        <f>Sheet1!F962</f>
        <v>2-1319</v>
      </c>
      <c r="B981" s="2992">
        <f>Sheet1!G962</f>
        <v>189.85</v>
      </c>
      <c r="C981" s="2996">
        <f t="shared" si="160"/>
        <v>0.99</v>
      </c>
      <c r="D981" s="2994"/>
      <c r="E981" s="2996">
        <f t="shared" si="161"/>
        <v>1</v>
      </c>
      <c r="F981" s="2994"/>
      <c r="G981" s="2996">
        <f t="shared" si="162"/>
        <v>1</v>
      </c>
      <c r="H981" s="2994"/>
      <c r="I981" s="2996">
        <f t="shared" si="163"/>
        <v>1</v>
      </c>
      <c r="J981" s="2994"/>
      <c r="K981" s="2996">
        <f t="shared" si="164"/>
        <v>1</v>
      </c>
      <c r="L981" s="2994"/>
      <c r="M981" s="2996">
        <f t="shared" si="165"/>
        <v>1</v>
      </c>
      <c r="N981" s="2994"/>
      <c r="O981" s="2996">
        <f t="shared" si="166"/>
        <v>1</v>
      </c>
      <c r="P981" s="2994"/>
      <c r="Q981" s="2996">
        <f t="shared" si="167"/>
        <v>1</v>
      </c>
      <c r="R981" s="2997">
        <f t="shared" ca="1" si="168"/>
        <v>17087</v>
      </c>
      <c r="S981" s="2962">
        <f t="shared" ca="1" si="169"/>
        <v>324</v>
      </c>
    </row>
    <row r="982" spans="1:19">
      <c r="A982" s="2992" t="str">
        <f>Sheet1!F963</f>
        <v>2-1320</v>
      </c>
      <c r="B982" s="2992">
        <f>Sheet1!G963</f>
        <v>169.23</v>
      </c>
      <c r="C982" s="2996">
        <f t="shared" si="160"/>
        <v>0.99</v>
      </c>
      <c r="D982" s="2994"/>
      <c r="E982" s="2996">
        <f t="shared" si="161"/>
        <v>1</v>
      </c>
      <c r="F982" s="2994"/>
      <c r="G982" s="2996">
        <f t="shared" si="162"/>
        <v>1</v>
      </c>
      <c r="H982" s="2994"/>
      <c r="I982" s="2996">
        <f t="shared" si="163"/>
        <v>1</v>
      </c>
      <c r="J982" s="2994"/>
      <c r="K982" s="2996">
        <f t="shared" si="164"/>
        <v>1</v>
      </c>
      <c r="L982" s="2994"/>
      <c r="M982" s="2996">
        <f t="shared" si="165"/>
        <v>1</v>
      </c>
      <c r="N982" s="2994"/>
      <c r="O982" s="2996">
        <f t="shared" si="166"/>
        <v>1</v>
      </c>
      <c r="P982" s="2994"/>
      <c r="Q982" s="2996">
        <f t="shared" si="167"/>
        <v>1</v>
      </c>
      <c r="R982" s="2997">
        <f t="shared" ca="1" si="168"/>
        <v>17087</v>
      </c>
      <c r="S982" s="2962">
        <f t="shared" ca="1" si="169"/>
        <v>289</v>
      </c>
    </row>
    <row r="983" spans="1:19">
      <c r="A983" s="2992" t="str">
        <f>Sheet1!F964</f>
        <v>3-1301</v>
      </c>
      <c r="B983" s="2992">
        <f>Sheet1!G964</f>
        <v>55.7</v>
      </c>
      <c r="C983" s="2996">
        <f t="shared" si="160"/>
        <v>1</v>
      </c>
      <c r="D983" s="2994"/>
      <c r="E983" s="2996">
        <f t="shared" si="161"/>
        <v>1</v>
      </c>
      <c r="F983" s="2994"/>
      <c r="G983" s="2996">
        <f t="shared" si="162"/>
        <v>1</v>
      </c>
      <c r="H983" s="2994"/>
      <c r="I983" s="2996">
        <f t="shared" si="163"/>
        <v>1</v>
      </c>
      <c r="J983" s="2994"/>
      <c r="K983" s="2996">
        <f t="shared" si="164"/>
        <v>1</v>
      </c>
      <c r="L983" s="2994"/>
      <c r="M983" s="2996">
        <f t="shared" si="165"/>
        <v>1</v>
      </c>
      <c r="N983" s="2994"/>
      <c r="O983" s="2996">
        <f t="shared" si="166"/>
        <v>1</v>
      </c>
      <c r="P983" s="2994"/>
      <c r="Q983" s="2996">
        <f t="shared" si="167"/>
        <v>1</v>
      </c>
      <c r="R983" s="2997">
        <f t="shared" ca="1" si="168"/>
        <v>17260</v>
      </c>
      <c r="S983" s="2962">
        <f t="shared" ca="1" si="169"/>
        <v>96</v>
      </c>
    </row>
    <row r="984" spans="1:19">
      <c r="A984" s="2992" t="str">
        <f>Sheet1!F965</f>
        <v>3-1302</v>
      </c>
      <c r="B984" s="2992">
        <f>Sheet1!G965</f>
        <v>49.53</v>
      </c>
      <c r="C984" s="2996">
        <f t="shared" si="160"/>
        <v>1</v>
      </c>
      <c r="D984" s="2994"/>
      <c r="E984" s="2996">
        <f t="shared" si="161"/>
        <v>1</v>
      </c>
      <c r="F984" s="2994"/>
      <c r="G984" s="2996">
        <f t="shared" si="162"/>
        <v>1</v>
      </c>
      <c r="H984" s="2994"/>
      <c r="I984" s="2996">
        <f t="shared" si="163"/>
        <v>1</v>
      </c>
      <c r="J984" s="2994"/>
      <c r="K984" s="2996">
        <f t="shared" si="164"/>
        <v>1</v>
      </c>
      <c r="L984" s="2994"/>
      <c r="M984" s="2996">
        <f t="shared" si="165"/>
        <v>1</v>
      </c>
      <c r="N984" s="2994"/>
      <c r="O984" s="2996">
        <f t="shared" si="166"/>
        <v>1</v>
      </c>
      <c r="P984" s="2994"/>
      <c r="Q984" s="2996">
        <f t="shared" si="167"/>
        <v>1</v>
      </c>
      <c r="R984" s="2997">
        <f t="shared" ca="1" si="168"/>
        <v>17260</v>
      </c>
      <c r="S984" s="2962">
        <f t="shared" ca="1" si="169"/>
        <v>85</v>
      </c>
    </row>
    <row r="985" spans="1:19">
      <c r="A985" s="2992" t="str">
        <f>Sheet1!F966</f>
        <v>3-1303</v>
      </c>
      <c r="B985" s="2992">
        <f>Sheet1!G966</f>
        <v>50.63</v>
      </c>
      <c r="C985" s="2996">
        <f t="shared" si="160"/>
        <v>1</v>
      </c>
      <c r="D985" s="2994"/>
      <c r="E985" s="2996">
        <f t="shared" si="161"/>
        <v>1</v>
      </c>
      <c r="F985" s="2994"/>
      <c r="G985" s="2996">
        <f t="shared" si="162"/>
        <v>1</v>
      </c>
      <c r="H985" s="2994"/>
      <c r="I985" s="2996">
        <f t="shared" si="163"/>
        <v>1</v>
      </c>
      <c r="J985" s="2994"/>
      <c r="K985" s="2996">
        <f t="shared" si="164"/>
        <v>1</v>
      </c>
      <c r="L985" s="2994"/>
      <c r="M985" s="2996">
        <f t="shared" si="165"/>
        <v>1</v>
      </c>
      <c r="N985" s="2994"/>
      <c r="O985" s="2996">
        <f t="shared" si="166"/>
        <v>1</v>
      </c>
      <c r="P985" s="2994"/>
      <c r="Q985" s="2996">
        <f t="shared" si="167"/>
        <v>1</v>
      </c>
      <c r="R985" s="2997">
        <f t="shared" ca="1" si="168"/>
        <v>17260</v>
      </c>
      <c r="S985" s="2962">
        <f t="shared" ca="1" si="169"/>
        <v>87</v>
      </c>
    </row>
    <row r="986" spans="1:19">
      <c r="A986" s="2992" t="str">
        <f>Sheet1!F967</f>
        <v>3-1304</v>
      </c>
      <c r="B986" s="2992">
        <f>Sheet1!G967</f>
        <v>50.63</v>
      </c>
      <c r="C986" s="2996">
        <f t="shared" si="160"/>
        <v>1</v>
      </c>
      <c r="D986" s="2994"/>
      <c r="E986" s="2996">
        <f t="shared" si="161"/>
        <v>1</v>
      </c>
      <c r="F986" s="2994"/>
      <c r="G986" s="2996">
        <f t="shared" si="162"/>
        <v>1</v>
      </c>
      <c r="H986" s="2994"/>
      <c r="I986" s="2996">
        <f t="shared" si="163"/>
        <v>1</v>
      </c>
      <c r="J986" s="2994"/>
      <c r="K986" s="2996">
        <f t="shared" si="164"/>
        <v>1</v>
      </c>
      <c r="L986" s="2994"/>
      <c r="M986" s="2996">
        <f t="shared" si="165"/>
        <v>1</v>
      </c>
      <c r="N986" s="2994"/>
      <c r="O986" s="2996">
        <f t="shared" si="166"/>
        <v>1</v>
      </c>
      <c r="P986" s="2994"/>
      <c r="Q986" s="2996">
        <f t="shared" si="167"/>
        <v>1</v>
      </c>
      <c r="R986" s="2997">
        <f t="shared" ca="1" si="168"/>
        <v>17260</v>
      </c>
      <c r="S986" s="2962">
        <f t="shared" ca="1" si="169"/>
        <v>87</v>
      </c>
    </row>
    <row r="987" spans="1:19">
      <c r="A987" s="2992" t="str">
        <f>Sheet1!F968</f>
        <v>3-1305</v>
      </c>
      <c r="B987" s="2992">
        <f>Sheet1!G968</f>
        <v>50.63</v>
      </c>
      <c r="C987" s="2996">
        <f t="shared" si="160"/>
        <v>1</v>
      </c>
      <c r="D987" s="2994"/>
      <c r="E987" s="2996">
        <f t="shared" si="161"/>
        <v>1</v>
      </c>
      <c r="F987" s="2994"/>
      <c r="G987" s="2996">
        <f t="shared" si="162"/>
        <v>1</v>
      </c>
      <c r="H987" s="2994"/>
      <c r="I987" s="2996">
        <f t="shared" si="163"/>
        <v>1</v>
      </c>
      <c r="J987" s="2994"/>
      <c r="K987" s="2996">
        <f t="shared" si="164"/>
        <v>1</v>
      </c>
      <c r="L987" s="2994"/>
      <c r="M987" s="2996">
        <f t="shared" si="165"/>
        <v>1</v>
      </c>
      <c r="N987" s="2994"/>
      <c r="O987" s="2996">
        <f t="shared" si="166"/>
        <v>1</v>
      </c>
      <c r="P987" s="2994"/>
      <c r="Q987" s="2996">
        <f t="shared" si="167"/>
        <v>1</v>
      </c>
      <c r="R987" s="2997">
        <f t="shared" ca="1" si="168"/>
        <v>17260</v>
      </c>
      <c r="S987" s="2962">
        <f t="shared" ca="1" si="169"/>
        <v>87</v>
      </c>
    </row>
    <row r="988" spans="1:19">
      <c r="A988" s="2992" t="str">
        <f>Sheet1!F969</f>
        <v>3-1306</v>
      </c>
      <c r="B988" s="2992">
        <f>Sheet1!G969</f>
        <v>50.63</v>
      </c>
      <c r="C988" s="2996">
        <f t="shared" si="160"/>
        <v>1</v>
      </c>
      <c r="D988" s="2994"/>
      <c r="E988" s="2996">
        <f t="shared" si="161"/>
        <v>1</v>
      </c>
      <c r="F988" s="2994"/>
      <c r="G988" s="2996">
        <f t="shared" si="162"/>
        <v>1</v>
      </c>
      <c r="H988" s="2994"/>
      <c r="I988" s="2996">
        <f t="shared" si="163"/>
        <v>1</v>
      </c>
      <c r="J988" s="2994"/>
      <c r="K988" s="2996">
        <f t="shared" si="164"/>
        <v>1</v>
      </c>
      <c r="L988" s="2994"/>
      <c r="M988" s="2996">
        <f t="shared" si="165"/>
        <v>1</v>
      </c>
      <c r="N988" s="2994"/>
      <c r="O988" s="2996">
        <f t="shared" si="166"/>
        <v>1</v>
      </c>
      <c r="P988" s="2994"/>
      <c r="Q988" s="2996">
        <f t="shared" si="167"/>
        <v>1</v>
      </c>
      <c r="R988" s="2997">
        <f t="shared" ca="1" si="168"/>
        <v>17260</v>
      </c>
      <c r="S988" s="2962">
        <f t="shared" ca="1" si="169"/>
        <v>87</v>
      </c>
    </row>
    <row r="989" spans="1:19">
      <c r="A989" s="2992" t="str">
        <f>Sheet1!F970</f>
        <v>3-1307</v>
      </c>
      <c r="B989" s="2992">
        <f>Sheet1!G970</f>
        <v>50.63</v>
      </c>
      <c r="C989" s="2996">
        <f t="shared" si="160"/>
        <v>1</v>
      </c>
      <c r="D989" s="2994"/>
      <c r="E989" s="2996">
        <f t="shared" si="161"/>
        <v>1</v>
      </c>
      <c r="F989" s="2994"/>
      <c r="G989" s="2996">
        <f t="shared" si="162"/>
        <v>1</v>
      </c>
      <c r="H989" s="2994"/>
      <c r="I989" s="2996">
        <f t="shared" si="163"/>
        <v>1</v>
      </c>
      <c r="J989" s="2994"/>
      <c r="K989" s="2996">
        <f t="shared" si="164"/>
        <v>1</v>
      </c>
      <c r="L989" s="2994"/>
      <c r="M989" s="2996">
        <f t="shared" si="165"/>
        <v>1</v>
      </c>
      <c r="N989" s="2994"/>
      <c r="O989" s="2996">
        <f t="shared" si="166"/>
        <v>1</v>
      </c>
      <c r="P989" s="2994"/>
      <c r="Q989" s="2996">
        <f t="shared" si="167"/>
        <v>1</v>
      </c>
      <c r="R989" s="2997">
        <f t="shared" ca="1" si="168"/>
        <v>17260</v>
      </c>
      <c r="S989" s="2962">
        <f t="shared" ca="1" si="169"/>
        <v>87</v>
      </c>
    </row>
    <row r="990" spans="1:19">
      <c r="A990" s="2992" t="str">
        <f>Sheet1!F971</f>
        <v>3-1308</v>
      </c>
      <c r="B990" s="2992">
        <f>Sheet1!G971</f>
        <v>50.63</v>
      </c>
      <c r="C990" s="2996">
        <f t="shared" si="160"/>
        <v>1</v>
      </c>
      <c r="D990" s="2994"/>
      <c r="E990" s="2996">
        <f t="shared" si="161"/>
        <v>1</v>
      </c>
      <c r="F990" s="2994"/>
      <c r="G990" s="2996">
        <f t="shared" si="162"/>
        <v>1</v>
      </c>
      <c r="H990" s="2994"/>
      <c r="I990" s="2996">
        <f t="shared" si="163"/>
        <v>1</v>
      </c>
      <c r="J990" s="2994"/>
      <c r="K990" s="2996">
        <f t="shared" si="164"/>
        <v>1</v>
      </c>
      <c r="L990" s="2994"/>
      <c r="M990" s="2996">
        <f t="shared" si="165"/>
        <v>1</v>
      </c>
      <c r="N990" s="2994"/>
      <c r="O990" s="2996">
        <f t="shared" si="166"/>
        <v>1</v>
      </c>
      <c r="P990" s="2994"/>
      <c r="Q990" s="2996">
        <f t="shared" si="167"/>
        <v>1</v>
      </c>
      <c r="R990" s="2997">
        <f t="shared" ca="1" si="168"/>
        <v>17260</v>
      </c>
      <c r="S990" s="2962">
        <f t="shared" ca="1" si="169"/>
        <v>87</v>
      </c>
    </row>
    <row r="991" spans="1:19">
      <c r="A991" s="2992" t="str">
        <f>Sheet1!F972</f>
        <v>3-1309</v>
      </c>
      <c r="B991" s="2992">
        <f>Sheet1!G972</f>
        <v>50.63</v>
      </c>
      <c r="C991" s="2996">
        <f t="shared" si="160"/>
        <v>1</v>
      </c>
      <c r="D991" s="2994"/>
      <c r="E991" s="2996">
        <f t="shared" si="161"/>
        <v>1</v>
      </c>
      <c r="F991" s="2994"/>
      <c r="G991" s="2996">
        <f t="shared" si="162"/>
        <v>1</v>
      </c>
      <c r="H991" s="2994"/>
      <c r="I991" s="2996">
        <f t="shared" si="163"/>
        <v>1</v>
      </c>
      <c r="J991" s="2994"/>
      <c r="K991" s="2996">
        <f t="shared" si="164"/>
        <v>1</v>
      </c>
      <c r="L991" s="2994"/>
      <c r="M991" s="2996">
        <f t="shared" si="165"/>
        <v>1</v>
      </c>
      <c r="N991" s="2994"/>
      <c r="O991" s="2996">
        <f t="shared" si="166"/>
        <v>1</v>
      </c>
      <c r="P991" s="2994"/>
      <c r="Q991" s="2996">
        <f t="shared" si="167"/>
        <v>1</v>
      </c>
      <c r="R991" s="2997">
        <f t="shared" ca="1" si="168"/>
        <v>17260</v>
      </c>
      <c r="S991" s="2962">
        <f t="shared" ca="1" si="169"/>
        <v>87</v>
      </c>
    </row>
    <row r="992" spans="1:19">
      <c r="A992" s="2992" t="str">
        <f>Sheet1!F973</f>
        <v>3-1310</v>
      </c>
      <c r="B992" s="2992">
        <f>Sheet1!G973</f>
        <v>50.63</v>
      </c>
      <c r="C992" s="2996">
        <f t="shared" si="160"/>
        <v>1</v>
      </c>
      <c r="D992" s="2994"/>
      <c r="E992" s="2996">
        <f t="shared" si="161"/>
        <v>1</v>
      </c>
      <c r="F992" s="2994"/>
      <c r="G992" s="2996">
        <f t="shared" si="162"/>
        <v>1</v>
      </c>
      <c r="H992" s="2994"/>
      <c r="I992" s="2996">
        <f t="shared" si="163"/>
        <v>1</v>
      </c>
      <c r="J992" s="2994"/>
      <c r="K992" s="2996">
        <f t="shared" si="164"/>
        <v>1</v>
      </c>
      <c r="L992" s="2994"/>
      <c r="M992" s="2996">
        <f t="shared" si="165"/>
        <v>1</v>
      </c>
      <c r="N992" s="2994"/>
      <c r="O992" s="2996">
        <f t="shared" si="166"/>
        <v>1</v>
      </c>
      <c r="P992" s="2994"/>
      <c r="Q992" s="2996">
        <f t="shared" si="167"/>
        <v>1</v>
      </c>
      <c r="R992" s="2997">
        <f t="shared" ca="1" si="168"/>
        <v>17260</v>
      </c>
      <c r="S992" s="2962">
        <f t="shared" ca="1" si="169"/>
        <v>87</v>
      </c>
    </row>
    <row r="993" spans="1:19">
      <c r="A993" s="2992" t="str">
        <f>Sheet1!F974</f>
        <v>3-1311</v>
      </c>
      <c r="B993" s="2992">
        <f>Sheet1!G974</f>
        <v>50.63</v>
      </c>
      <c r="C993" s="2996">
        <f t="shared" si="160"/>
        <v>1</v>
      </c>
      <c r="D993" s="2994"/>
      <c r="E993" s="2996">
        <f t="shared" si="161"/>
        <v>1</v>
      </c>
      <c r="F993" s="2994"/>
      <c r="G993" s="2996">
        <f t="shared" si="162"/>
        <v>1</v>
      </c>
      <c r="H993" s="2994"/>
      <c r="I993" s="2996">
        <f t="shared" si="163"/>
        <v>1</v>
      </c>
      <c r="J993" s="2994"/>
      <c r="K993" s="2996">
        <f t="shared" si="164"/>
        <v>1</v>
      </c>
      <c r="L993" s="2994"/>
      <c r="M993" s="2996">
        <f t="shared" si="165"/>
        <v>1</v>
      </c>
      <c r="N993" s="2994"/>
      <c r="O993" s="2996">
        <f t="shared" si="166"/>
        <v>1</v>
      </c>
      <c r="P993" s="2994"/>
      <c r="Q993" s="2996">
        <f t="shared" si="167"/>
        <v>1</v>
      </c>
      <c r="R993" s="2997">
        <f t="shared" ca="1" si="168"/>
        <v>17260</v>
      </c>
      <c r="S993" s="2962">
        <f t="shared" ca="1" si="169"/>
        <v>87</v>
      </c>
    </row>
    <row r="994" spans="1:19">
      <c r="A994" s="2992" t="str">
        <f>Sheet1!F975</f>
        <v>3-1312</v>
      </c>
      <c r="B994" s="2992">
        <f>Sheet1!G975</f>
        <v>50.63</v>
      </c>
      <c r="C994" s="2996">
        <f t="shared" si="160"/>
        <v>1</v>
      </c>
      <c r="D994" s="2994"/>
      <c r="E994" s="2996">
        <f t="shared" si="161"/>
        <v>1</v>
      </c>
      <c r="F994" s="2994"/>
      <c r="G994" s="2996">
        <f t="shared" si="162"/>
        <v>1</v>
      </c>
      <c r="H994" s="2994"/>
      <c r="I994" s="2996">
        <f t="shared" si="163"/>
        <v>1</v>
      </c>
      <c r="J994" s="2994"/>
      <c r="K994" s="2996">
        <f t="shared" si="164"/>
        <v>1</v>
      </c>
      <c r="L994" s="2994"/>
      <c r="M994" s="2996">
        <f t="shared" si="165"/>
        <v>1</v>
      </c>
      <c r="N994" s="2994"/>
      <c r="O994" s="2996">
        <f t="shared" si="166"/>
        <v>1</v>
      </c>
      <c r="P994" s="2994"/>
      <c r="Q994" s="2996">
        <f t="shared" si="167"/>
        <v>1</v>
      </c>
      <c r="R994" s="2997">
        <f t="shared" ca="1" si="168"/>
        <v>17260</v>
      </c>
      <c r="S994" s="2962">
        <f t="shared" ca="1" si="169"/>
        <v>87</v>
      </c>
    </row>
    <row r="995" spans="1:19">
      <c r="A995" s="2992" t="str">
        <f>Sheet1!F976</f>
        <v>3-1313</v>
      </c>
      <c r="B995" s="2992">
        <f>Sheet1!G976</f>
        <v>49.61</v>
      </c>
      <c r="C995" s="2996">
        <f t="shared" si="160"/>
        <v>1</v>
      </c>
      <c r="D995" s="2994"/>
      <c r="E995" s="2996">
        <f t="shared" si="161"/>
        <v>1</v>
      </c>
      <c r="F995" s="2994"/>
      <c r="G995" s="2996">
        <f t="shared" si="162"/>
        <v>1</v>
      </c>
      <c r="H995" s="2994"/>
      <c r="I995" s="2996">
        <f t="shared" si="163"/>
        <v>1</v>
      </c>
      <c r="J995" s="2994"/>
      <c r="K995" s="2996">
        <f t="shared" si="164"/>
        <v>1</v>
      </c>
      <c r="L995" s="2994"/>
      <c r="M995" s="2996">
        <f t="shared" si="165"/>
        <v>1</v>
      </c>
      <c r="N995" s="2994"/>
      <c r="O995" s="2996">
        <f t="shared" si="166"/>
        <v>1</v>
      </c>
      <c r="P995" s="2994"/>
      <c r="Q995" s="2996">
        <f t="shared" si="167"/>
        <v>1</v>
      </c>
      <c r="R995" s="2997">
        <f t="shared" ca="1" si="168"/>
        <v>17260</v>
      </c>
      <c r="S995" s="2962">
        <f t="shared" ca="1" si="169"/>
        <v>86</v>
      </c>
    </row>
    <row r="996" spans="1:19">
      <c r="A996" s="2992" t="str">
        <f>Sheet1!F977</f>
        <v>3-1314</v>
      </c>
      <c r="B996" s="2992">
        <f>Sheet1!G977</f>
        <v>46.31</v>
      </c>
      <c r="C996" s="2996">
        <f t="shared" si="160"/>
        <v>1</v>
      </c>
      <c r="D996" s="2994"/>
      <c r="E996" s="2996">
        <f t="shared" si="161"/>
        <v>1</v>
      </c>
      <c r="F996" s="2994"/>
      <c r="G996" s="2996">
        <f t="shared" si="162"/>
        <v>1</v>
      </c>
      <c r="H996" s="2994"/>
      <c r="I996" s="2996">
        <f t="shared" si="163"/>
        <v>1</v>
      </c>
      <c r="J996" s="2994"/>
      <c r="K996" s="2996">
        <f t="shared" si="164"/>
        <v>1</v>
      </c>
      <c r="L996" s="2994"/>
      <c r="M996" s="2996">
        <f t="shared" si="165"/>
        <v>1</v>
      </c>
      <c r="N996" s="2994"/>
      <c r="O996" s="2996">
        <f t="shared" si="166"/>
        <v>1</v>
      </c>
      <c r="P996" s="2994"/>
      <c r="Q996" s="2996">
        <f t="shared" si="167"/>
        <v>1</v>
      </c>
      <c r="R996" s="2997">
        <f t="shared" ca="1" si="168"/>
        <v>17260</v>
      </c>
      <c r="S996" s="2962">
        <f t="shared" ca="1" si="169"/>
        <v>80</v>
      </c>
    </row>
    <row r="997" spans="1:19">
      <c r="A997" s="2992" t="str">
        <f>Sheet1!F978</f>
        <v>3-1315</v>
      </c>
      <c r="B997" s="2992">
        <f>Sheet1!G978</f>
        <v>50.63</v>
      </c>
      <c r="C997" s="2996">
        <f t="shared" si="160"/>
        <v>1</v>
      </c>
      <c r="D997" s="2994"/>
      <c r="E997" s="2996">
        <f t="shared" si="161"/>
        <v>1</v>
      </c>
      <c r="F997" s="2994"/>
      <c r="G997" s="2996">
        <f t="shared" si="162"/>
        <v>1</v>
      </c>
      <c r="H997" s="2994"/>
      <c r="I997" s="2996">
        <f t="shared" si="163"/>
        <v>1</v>
      </c>
      <c r="J997" s="2994"/>
      <c r="K997" s="2996">
        <f t="shared" si="164"/>
        <v>1</v>
      </c>
      <c r="L997" s="2994"/>
      <c r="M997" s="2996">
        <f t="shared" si="165"/>
        <v>1</v>
      </c>
      <c r="N997" s="2994"/>
      <c r="O997" s="2996">
        <f t="shared" si="166"/>
        <v>1</v>
      </c>
      <c r="P997" s="2994"/>
      <c r="Q997" s="2996">
        <f t="shared" si="167"/>
        <v>1</v>
      </c>
      <c r="R997" s="2997">
        <f t="shared" ca="1" si="168"/>
        <v>17260</v>
      </c>
      <c r="S997" s="2962">
        <f t="shared" ca="1" si="169"/>
        <v>87</v>
      </c>
    </row>
    <row r="998" spans="1:19">
      <c r="A998" s="2992" t="str">
        <f>Sheet1!F979</f>
        <v>3-1316</v>
      </c>
      <c r="B998" s="2992">
        <f>Sheet1!G979</f>
        <v>50.63</v>
      </c>
      <c r="C998" s="2996">
        <f t="shared" si="160"/>
        <v>1</v>
      </c>
      <c r="D998" s="2994"/>
      <c r="E998" s="2996">
        <f t="shared" si="161"/>
        <v>1</v>
      </c>
      <c r="F998" s="2994"/>
      <c r="G998" s="2996">
        <f t="shared" si="162"/>
        <v>1</v>
      </c>
      <c r="H998" s="2994"/>
      <c r="I998" s="2996">
        <f t="shared" si="163"/>
        <v>1</v>
      </c>
      <c r="J998" s="2994"/>
      <c r="K998" s="2996">
        <f t="shared" si="164"/>
        <v>1</v>
      </c>
      <c r="L998" s="2994"/>
      <c r="M998" s="2996">
        <f t="shared" si="165"/>
        <v>1</v>
      </c>
      <c r="N998" s="2994"/>
      <c r="O998" s="2996">
        <f t="shared" si="166"/>
        <v>1</v>
      </c>
      <c r="P998" s="2994"/>
      <c r="Q998" s="2996">
        <f t="shared" si="167"/>
        <v>1</v>
      </c>
      <c r="R998" s="2997">
        <f t="shared" ca="1" si="168"/>
        <v>17260</v>
      </c>
      <c r="S998" s="2962">
        <f t="shared" ca="1" si="169"/>
        <v>87</v>
      </c>
    </row>
    <row r="999" spans="1:19">
      <c r="A999" s="2992" t="str">
        <f>Sheet1!F980</f>
        <v>3-1317</v>
      </c>
      <c r="B999" s="2992">
        <f>Sheet1!G980</f>
        <v>62.54</v>
      </c>
      <c r="C999" s="2996">
        <f t="shared" si="160"/>
        <v>1</v>
      </c>
      <c r="D999" s="2994"/>
      <c r="E999" s="2996">
        <f t="shared" si="161"/>
        <v>1</v>
      </c>
      <c r="F999" s="2994"/>
      <c r="G999" s="2996">
        <f t="shared" si="162"/>
        <v>1</v>
      </c>
      <c r="H999" s="2994"/>
      <c r="I999" s="2996">
        <f t="shared" si="163"/>
        <v>1</v>
      </c>
      <c r="J999" s="2994"/>
      <c r="K999" s="2996">
        <f t="shared" si="164"/>
        <v>1</v>
      </c>
      <c r="L999" s="2994"/>
      <c r="M999" s="2996">
        <f t="shared" si="165"/>
        <v>1</v>
      </c>
      <c r="N999" s="2994"/>
      <c r="O999" s="2996">
        <f t="shared" si="166"/>
        <v>1</v>
      </c>
      <c r="P999" s="2994"/>
      <c r="Q999" s="2996">
        <f t="shared" si="167"/>
        <v>1</v>
      </c>
      <c r="R999" s="2997">
        <f t="shared" ca="1" si="168"/>
        <v>17260</v>
      </c>
      <c r="S999" s="2962">
        <f t="shared" ca="1" si="169"/>
        <v>108</v>
      </c>
    </row>
    <row r="1000" spans="1:19">
      <c r="A1000" s="2992" t="str">
        <f>Sheet1!F981</f>
        <v>3-1318</v>
      </c>
      <c r="B1000" s="2992">
        <f>Sheet1!G981</f>
        <v>62.56</v>
      </c>
      <c r="C1000" s="2996">
        <f t="shared" si="160"/>
        <v>1</v>
      </c>
      <c r="D1000" s="2994"/>
      <c r="E1000" s="2996">
        <f t="shared" si="161"/>
        <v>1</v>
      </c>
      <c r="F1000" s="2994"/>
      <c r="G1000" s="2996">
        <f t="shared" si="162"/>
        <v>1</v>
      </c>
      <c r="H1000" s="2994"/>
      <c r="I1000" s="2996">
        <f t="shared" si="163"/>
        <v>1</v>
      </c>
      <c r="J1000" s="2994"/>
      <c r="K1000" s="2996">
        <f t="shared" si="164"/>
        <v>1</v>
      </c>
      <c r="L1000" s="2994"/>
      <c r="M1000" s="2996">
        <f t="shared" si="165"/>
        <v>1</v>
      </c>
      <c r="N1000" s="2994"/>
      <c r="O1000" s="2996">
        <f t="shared" si="166"/>
        <v>1</v>
      </c>
      <c r="P1000" s="2994"/>
      <c r="Q1000" s="2996">
        <f t="shared" si="167"/>
        <v>1</v>
      </c>
      <c r="R1000" s="2997">
        <f t="shared" ca="1" si="168"/>
        <v>17260</v>
      </c>
      <c r="S1000" s="2962">
        <f t="shared" ca="1" si="169"/>
        <v>108</v>
      </c>
    </row>
    <row r="1001" spans="1:19">
      <c r="A1001" s="2992" t="str">
        <f>Sheet1!F982</f>
        <v>3-1319</v>
      </c>
      <c r="B1001" s="2992">
        <f>Sheet1!G982</f>
        <v>62.56</v>
      </c>
      <c r="C1001" s="2996">
        <f t="shared" si="160"/>
        <v>1</v>
      </c>
      <c r="D1001" s="2994"/>
      <c r="E1001" s="2996">
        <f t="shared" si="161"/>
        <v>1</v>
      </c>
      <c r="F1001" s="2994"/>
      <c r="G1001" s="2996">
        <f t="shared" si="162"/>
        <v>1</v>
      </c>
      <c r="H1001" s="2994"/>
      <c r="I1001" s="2996">
        <f t="shared" si="163"/>
        <v>1</v>
      </c>
      <c r="J1001" s="2994"/>
      <c r="K1001" s="2996">
        <f t="shared" si="164"/>
        <v>1</v>
      </c>
      <c r="L1001" s="2994"/>
      <c r="M1001" s="2996">
        <f t="shared" si="165"/>
        <v>1</v>
      </c>
      <c r="N1001" s="2994"/>
      <c r="O1001" s="2996">
        <f t="shared" si="166"/>
        <v>1</v>
      </c>
      <c r="P1001" s="2994"/>
      <c r="Q1001" s="2996">
        <f t="shared" si="167"/>
        <v>1</v>
      </c>
      <c r="R1001" s="2997">
        <f t="shared" ca="1" si="168"/>
        <v>17260</v>
      </c>
      <c r="S1001" s="2962">
        <f t="shared" ca="1" si="169"/>
        <v>108</v>
      </c>
    </row>
    <row r="1002" spans="1:19">
      <c r="A1002" s="2992" t="str">
        <f>Sheet1!F983</f>
        <v>3-1320</v>
      </c>
      <c r="B1002" s="2992">
        <f>Sheet1!G983</f>
        <v>62.54</v>
      </c>
      <c r="C1002" s="2996">
        <f t="shared" si="160"/>
        <v>1</v>
      </c>
      <c r="D1002" s="2994"/>
      <c r="E1002" s="2996">
        <f t="shared" si="161"/>
        <v>1</v>
      </c>
      <c r="F1002" s="2994"/>
      <c r="G1002" s="2996">
        <f t="shared" si="162"/>
        <v>1</v>
      </c>
      <c r="H1002" s="2994"/>
      <c r="I1002" s="2996">
        <f t="shared" si="163"/>
        <v>1</v>
      </c>
      <c r="J1002" s="2994"/>
      <c r="K1002" s="2996">
        <f t="shared" si="164"/>
        <v>1</v>
      </c>
      <c r="L1002" s="2994"/>
      <c r="M1002" s="2996">
        <f t="shared" si="165"/>
        <v>1</v>
      </c>
      <c r="N1002" s="2994"/>
      <c r="O1002" s="2996">
        <f t="shared" si="166"/>
        <v>1</v>
      </c>
      <c r="P1002" s="2994"/>
      <c r="Q1002" s="2996">
        <f t="shared" si="167"/>
        <v>1</v>
      </c>
      <c r="R1002" s="2997">
        <f t="shared" ca="1" si="168"/>
        <v>17260</v>
      </c>
      <c r="S1002" s="2962">
        <f t="shared" ca="1" si="169"/>
        <v>108</v>
      </c>
    </row>
    <row r="1003" spans="1:19">
      <c r="A1003" s="2992" t="str">
        <f>Sheet1!F984</f>
        <v>3-1321</v>
      </c>
      <c r="B1003" s="2992">
        <f>Sheet1!G984</f>
        <v>50.63</v>
      </c>
      <c r="C1003" s="2996">
        <f t="shared" si="160"/>
        <v>1</v>
      </c>
      <c r="D1003" s="2994"/>
      <c r="E1003" s="2996">
        <f t="shared" si="161"/>
        <v>1</v>
      </c>
      <c r="F1003" s="2994"/>
      <c r="G1003" s="2996">
        <f t="shared" si="162"/>
        <v>1</v>
      </c>
      <c r="H1003" s="2994"/>
      <c r="I1003" s="2996">
        <f t="shared" si="163"/>
        <v>1</v>
      </c>
      <c r="J1003" s="2994"/>
      <c r="K1003" s="2996">
        <f t="shared" si="164"/>
        <v>1</v>
      </c>
      <c r="L1003" s="2994"/>
      <c r="M1003" s="2996">
        <f t="shared" si="165"/>
        <v>1</v>
      </c>
      <c r="N1003" s="2994"/>
      <c r="O1003" s="2996">
        <f t="shared" si="166"/>
        <v>1</v>
      </c>
      <c r="P1003" s="2994"/>
      <c r="Q1003" s="2996">
        <f t="shared" si="167"/>
        <v>1</v>
      </c>
      <c r="R1003" s="2997">
        <f t="shared" ca="1" si="168"/>
        <v>17260</v>
      </c>
      <c r="S1003" s="2962">
        <f t="shared" ca="1" si="169"/>
        <v>87</v>
      </c>
    </row>
    <row r="1004" spans="1:19">
      <c r="A1004" s="2992" t="str">
        <f>Sheet1!F985</f>
        <v>3-1322</v>
      </c>
      <c r="B1004" s="2992">
        <f>Sheet1!G985</f>
        <v>50.63</v>
      </c>
      <c r="C1004" s="2996">
        <f t="shared" si="160"/>
        <v>1</v>
      </c>
      <c r="D1004" s="2994"/>
      <c r="E1004" s="2996">
        <f t="shared" si="161"/>
        <v>1</v>
      </c>
      <c r="F1004" s="2994"/>
      <c r="G1004" s="2996">
        <f t="shared" si="162"/>
        <v>1</v>
      </c>
      <c r="H1004" s="2994"/>
      <c r="I1004" s="2996">
        <f t="shared" si="163"/>
        <v>1</v>
      </c>
      <c r="J1004" s="2994"/>
      <c r="K1004" s="2996">
        <f t="shared" si="164"/>
        <v>1</v>
      </c>
      <c r="L1004" s="2994"/>
      <c r="M1004" s="2996">
        <f t="shared" si="165"/>
        <v>1</v>
      </c>
      <c r="N1004" s="2994"/>
      <c r="O1004" s="2996">
        <f t="shared" si="166"/>
        <v>1</v>
      </c>
      <c r="P1004" s="2994"/>
      <c r="Q1004" s="2996">
        <f t="shared" si="167"/>
        <v>1</v>
      </c>
      <c r="R1004" s="2997">
        <f t="shared" ca="1" si="168"/>
        <v>17260</v>
      </c>
      <c r="S1004" s="2962">
        <f t="shared" ca="1" si="169"/>
        <v>87</v>
      </c>
    </row>
    <row r="1005" spans="1:19">
      <c r="A1005" s="2992" t="str">
        <f>Sheet1!F986</f>
        <v>3-1323</v>
      </c>
      <c r="B1005" s="2992">
        <f>Sheet1!G986</f>
        <v>50.63</v>
      </c>
      <c r="C1005" s="2996">
        <f t="shared" si="160"/>
        <v>1</v>
      </c>
      <c r="D1005" s="2994"/>
      <c r="E1005" s="2996">
        <f t="shared" si="161"/>
        <v>1</v>
      </c>
      <c r="F1005" s="2994"/>
      <c r="G1005" s="2996">
        <f t="shared" si="162"/>
        <v>1</v>
      </c>
      <c r="H1005" s="2994"/>
      <c r="I1005" s="2996">
        <f t="shared" si="163"/>
        <v>1</v>
      </c>
      <c r="J1005" s="2994"/>
      <c r="K1005" s="2996">
        <f t="shared" si="164"/>
        <v>1</v>
      </c>
      <c r="L1005" s="2994"/>
      <c r="M1005" s="2996">
        <f t="shared" si="165"/>
        <v>1</v>
      </c>
      <c r="N1005" s="2994"/>
      <c r="O1005" s="2996">
        <f t="shared" si="166"/>
        <v>1</v>
      </c>
      <c r="P1005" s="2994"/>
      <c r="Q1005" s="2996">
        <f t="shared" si="167"/>
        <v>1</v>
      </c>
      <c r="R1005" s="2997">
        <f t="shared" ca="1" si="168"/>
        <v>17260</v>
      </c>
      <c r="S1005" s="2962">
        <f t="shared" ca="1" si="169"/>
        <v>87</v>
      </c>
    </row>
    <row r="1006" spans="1:19">
      <c r="A1006" s="2992" t="str">
        <f>Sheet1!F987</f>
        <v>3-1324</v>
      </c>
      <c r="B1006" s="2992">
        <f>Sheet1!G987</f>
        <v>50.63</v>
      </c>
      <c r="C1006" s="2996">
        <f t="shared" si="160"/>
        <v>1</v>
      </c>
      <c r="D1006" s="2994"/>
      <c r="E1006" s="2996">
        <f t="shared" si="161"/>
        <v>1</v>
      </c>
      <c r="F1006" s="2994"/>
      <c r="G1006" s="2996">
        <f t="shared" si="162"/>
        <v>1</v>
      </c>
      <c r="H1006" s="2994"/>
      <c r="I1006" s="2996">
        <f t="shared" si="163"/>
        <v>1</v>
      </c>
      <c r="J1006" s="2994"/>
      <c r="K1006" s="2996">
        <f t="shared" si="164"/>
        <v>1</v>
      </c>
      <c r="L1006" s="2994"/>
      <c r="M1006" s="2996">
        <f t="shared" si="165"/>
        <v>1</v>
      </c>
      <c r="N1006" s="2994"/>
      <c r="O1006" s="2996">
        <f t="shared" si="166"/>
        <v>1</v>
      </c>
      <c r="P1006" s="2994"/>
      <c r="Q1006" s="2996">
        <f t="shared" si="167"/>
        <v>1</v>
      </c>
      <c r="R1006" s="2997">
        <f t="shared" ca="1" si="168"/>
        <v>17260</v>
      </c>
      <c r="S1006" s="2962">
        <f t="shared" ca="1" si="169"/>
        <v>87</v>
      </c>
    </row>
    <row r="1007" spans="1:19">
      <c r="A1007" s="2992" t="str">
        <f>Sheet1!F988</f>
        <v>3-1325</v>
      </c>
      <c r="B1007" s="2992">
        <f>Sheet1!G988</f>
        <v>50.63</v>
      </c>
      <c r="C1007" s="2996">
        <f t="shared" si="160"/>
        <v>1</v>
      </c>
      <c r="D1007" s="2994"/>
      <c r="E1007" s="2996">
        <f t="shared" si="161"/>
        <v>1</v>
      </c>
      <c r="F1007" s="2994"/>
      <c r="G1007" s="2996">
        <f t="shared" si="162"/>
        <v>1</v>
      </c>
      <c r="H1007" s="2994"/>
      <c r="I1007" s="2996">
        <f t="shared" si="163"/>
        <v>1</v>
      </c>
      <c r="J1007" s="2994"/>
      <c r="K1007" s="2996">
        <f t="shared" si="164"/>
        <v>1</v>
      </c>
      <c r="L1007" s="2994"/>
      <c r="M1007" s="2996">
        <f t="shared" si="165"/>
        <v>1</v>
      </c>
      <c r="N1007" s="2994"/>
      <c r="O1007" s="2996">
        <f t="shared" si="166"/>
        <v>1</v>
      </c>
      <c r="P1007" s="2994"/>
      <c r="Q1007" s="2996">
        <f t="shared" si="167"/>
        <v>1</v>
      </c>
      <c r="R1007" s="2997">
        <f t="shared" ca="1" si="168"/>
        <v>17260</v>
      </c>
      <c r="S1007" s="2962">
        <f t="shared" ca="1" si="169"/>
        <v>87</v>
      </c>
    </row>
    <row r="1008" spans="1:19">
      <c r="A1008" s="2992" t="str">
        <f>Sheet1!F989</f>
        <v>3-1326</v>
      </c>
      <c r="B1008" s="2992">
        <f>Sheet1!G989</f>
        <v>50.63</v>
      </c>
      <c r="C1008" s="2996">
        <f t="shared" si="160"/>
        <v>1</v>
      </c>
      <c r="D1008" s="2994"/>
      <c r="E1008" s="2996">
        <f t="shared" si="161"/>
        <v>1</v>
      </c>
      <c r="F1008" s="2994"/>
      <c r="G1008" s="2996">
        <f t="shared" si="162"/>
        <v>1</v>
      </c>
      <c r="H1008" s="2994"/>
      <c r="I1008" s="2996">
        <f t="shared" si="163"/>
        <v>1</v>
      </c>
      <c r="J1008" s="2994"/>
      <c r="K1008" s="2996">
        <f t="shared" si="164"/>
        <v>1</v>
      </c>
      <c r="L1008" s="2994"/>
      <c r="M1008" s="2996">
        <f t="shared" si="165"/>
        <v>1</v>
      </c>
      <c r="N1008" s="2994"/>
      <c r="O1008" s="2996">
        <f t="shared" si="166"/>
        <v>1</v>
      </c>
      <c r="P1008" s="2994"/>
      <c r="Q1008" s="2996">
        <f t="shared" si="167"/>
        <v>1</v>
      </c>
      <c r="R1008" s="2997">
        <f t="shared" ca="1" si="168"/>
        <v>17260</v>
      </c>
      <c r="S1008" s="2962">
        <f t="shared" ca="1" si="169"/>
        <v>87</v>
      </c>
    </row>
    <row r="1009" spans="1:19">
      <c r="A1009" s="2992" t="str">
        <f>Sheet1!F990</f>
        <v>3-1327</v>
      </c>
      <c r="B1009" s="2992">
        <f>Sheet1!G990</f>
        <v>50.63</v>
      </c>
      <c r="C1009" s="2996">
        <f t="shared" si="160"/>
        <v>1</v>
      </c>
      <c r="D1009" s="2994"/>
      <c r="E1009" s="2996">
        <f t="shared" si="161"/>
        <v>1</v>
      </c>
      <c r="F1009" s="2994"/>
      <c r="G1009" s="2996">
        <f t="shared" si="162"/>
        <v>1</v>
      </c>
      <c r="H1009" s="2994"/>
      <c r="I1009" s="2996">
        <f t="shared" si="163"/>
        <v>1</v>
      </c>
      <c r="J1009" s="2994"/>
      <c r="K1009" s="2996">
        <f t="shared" si="164"/>
        <v>1</v>
      </c>
      <c r="L1009" s="2994"/>
      <c r="M1009" s="2996">
        <f t="shared" si="165"/>
        <v>1</v>
      </c>
      <c r="N1009" s="2994"/>
      <c r="O1009" s="2996">
        <f t="shared" si="166"/>
        <v>1</v>
      </c>
      <c r="P1009" s="2994"/>
      <c r="Q1009" s="2996">
        <f t="shared" si="167"/>
        <v>1</v>
      </c>
      <c r="R1009" s="2997">
        <f t="shared" ca="1" si="168"/>
        <v>17260</v>
      </c>
      <c r="S1009" s="2962">
        <f t="shared" ca="1" si="169"/>
        <v>87</v>
      </c>
    </row>
    <row r="1010" spans="1:19">
      <c r="A1010" s="2992" t="str">
        <f>Sheet1!F991</f>
        <v>3-1328</v>
      </c>
      <c r="B1010" s="2992">
        <f>Sheet1!G991</f>
        <v>50.63</v>
      </c>
      <c r="C1010" s="2996">
        <f t="shared" si="160"/>
        <v>1</v>
      </c>
      <c r="D1010" s="2994"/>
      <c r="E1010" s="2996">
        <f t="shared" si="161"/>
        <v>1</v>
      </c>
      <c r="F1010" s="2994"/>
      <c r="G1010" s="2996">
        <f t="shared" si="162"/>
        <v>1</v>
      </c>
      <c r="H1010" s="2994"/>
      <c r="I1010" s="2996">
        <f t="shared" si="163"/>
        <v>1</v>
      </c>
      <c r="J1010" s="2994"/>
      <c r="K1010" s="2996">
        <f t="shared" si="164"/>
        <v>1</v>
      </c>
      <c r="L1010" s="2994"/>
      <c r="M1010" s="2996">
        <f t="shared" si="165"/>
        <v>1</v>
      </c>
      <c r="N1010" s="2994"/>
      <c r="O1010" s="2996">
        <f t="shared" si="166"/>
        <v>1</v>
      </c>
      <c r="P1010" s="2994"/>
      <c r="Q1010" s="2996">
        <f t="shared" si="167"/>
        <v>1</v>
      </c>
      <c r="R1010" s="2997">
        <f t="shared" ca="1" si="168"/>
        <v>17260</v>
      </c>
      <c r="S1010" s="2962">
        <f t="shared" ca="1" si="169"/>
        <v>87</v>
      </c>
    </row>
    <row r="1011" spans="1:19">
      <c r="A1011" s="2992" t="str">
        <f>Sheet1!F992</f>
        <v>3-1329</v>
      </c>
      <c r="B1011" s="2992">
        <f>Sheet1!G992</f>
        <v>50.63</v>
      </c>
      <c r="C1011" s="2996">
        <f t="shared" si="160"/>
        <v>1</v>
      </c>
      <c r="D1011" s="2994"/>
      <c r="E1011" s="2996">
        <f t="shared" si="161"/>
        <v>1</v>
      </c>
      <c r="F1011" s="2994"/>
      <c r="G1011" s="2996">
        <f t="shared" si="162"/>
        <v>1</v>
      </c>
      <c r="H1011" s="2994"/>
      <c r="I1011" s="2996">
        <f t="shared" si="163"/>
        <v>1</v>
      </c>
      <c r="J1011" s="2994"/>
      <c r="K1011" s="2996">
        <f t="shared" si="164"/>
        <v>1</v>
      </c>
      <c r="L1011" s="2994"/>
      <c r="M1011" s="2996">
        <f t="shared" si="165"/>
        <v>1</v>
      </c>
      <c r="N1011" s="2994"/>
      <c r="O1011" s="2996">
        <f t="shared" si="166"/>
        <v>1</v>
      </c>
      <c r="P1011" s="2994"/>
      <c r="Q1011" s="2996">
        <f t="shared" si="167"/>
        <v>1</v>
      </c>
      <c r="R1011" s="2997">
        <f t="shared" ca="1" si="168"/>
        <v>17260</v>
      </c>
      <c r="S1011" s="2962">
        <f t="shared" ca="1" si="169"/>
        <v>87</v>
      </c>
    </row>
    <row r="1012" spans="1:19">
      <c r="A1012" s="2992" t="str">
        <f>Sheet1!F993</f>
        <v>3-1330</v>
      </c>
      <c r="B1012" s="2992">
        <f>Sheet1!G993</f>
        <v>50.63</v>
      </c>
      <c r="C1012" s="2996">
        <f t="shared" si="160"/>
        <v>1</v>
      </c>
      <c r="D1012" s="2994"/>
      <c r="E1012" s="2996">
        <f t="shared" si="161"/>
        <v>1</v>
      </c>
      <c r="F1012" s="2994"/>
      <c r="G1012" s="2996">
        <f t="shared" si="162"/>
        <v>1</v>
      </c>
      <c r="H1012" s="2994"/>
      <c r="I1012" s="2996">
        <f t="shared" si="163"/>
        <v>1</v>
      </c>
      <c r="J1012" s="2994"/>
      <c r="K1012" s="2996">
        <f t="shared" si="164"/>
        <v>1</v>
      </c>
      <c r="L1012" s="2994"/>
      <c r="M1012" s="2996">
        <f t="shared" si="165"/>
        <v>1</v>
      </c>
      <c r="N1012" s="2994"/>
      <c r="O1012" s="2996">
        <f t="shared" si="166"/>
        <v>1</v>
      </c>
      <c r="P1012" s="2994"/>
      <c r="Q1012" s="2996">
        <f t="shared" si="167"/>
        <v>1</v>
      </c>
      <c r="R1012" s="2997">
        <f t="shared" ca="1" si="168"/>
        <v>17260</v>
      </c>
      <c r="S1012" s="2962">
        <f t="shared" ca="1" si="169"/>
        <v>87</v>
      </c>
    </row>
    <row r="1013" spans="1:19">
      <c r="A1013" s="2992" t="str">
        <f>Sheet1!F994</f>
        <v>3-1331</v>
      </c>
      <c r="B1013" s="2992">
        <f>Sheet1!G994</f>
        <v>50.63</v>
      </c>
      <c r="C1013" s="2996">
        <f t="shared" si="160"/>
        <v>1</v>
      </c>
      <c r="D1013" s="2994"/>
      <c r="E1013" s="2996">
        <f t="shared" si="161"/>
        <v>1</v>
      </c>
      <c r="F1013" s="2994"/>
      <c r="G1013" s="2996">
        <f t="shared" si="162"/>
        <v>1</v>
      </c>
      <c r="H1013" s="2994"/>
      <c r="I1013" s="2996">
        <f t="shared" si="163"/>
        <v>1</v>
      </c>
      <c r="J1013" s="2994"/>
      <c r="K1013" s="2996">
        <f t="shared" si="164"/>
        <v>1</v>
      </c>
      <c r="L1013" s="2994"/>
      <c r="M1013" s="2996">
        <f t="shared" si="165"/>
        <v>1</v>
      </c>
      <c r="N1013" s="2994"/>
      <c r="O1013" s="2996">
        <f t="shared" si="166"/>
        <v>1</v>
      </c>
      <c r="P1013" s="2994"/>
      <c r="Q1013" s="2996">
        <f t="shared" si="167"/>
        <v>1</v>
      </c>
      <c r="R1013" s="2997">
        <f t="shared" ca="1" si="168"/>
        <v>17260</v>
      </c>
      <c r="S1013" s="2962">
        <f t="shared" ca="1" si="169"/>
        <v>87</v>
      </c>
    </row>
    <row r="1014" spans="1:19">
      <c r="A1014" s="2992" t="str">
        <f>Sheet1!F995</f>
        <v>3-1332</v>
      </c>
      <c r="B1014" s="2992">
        <f>Sheet1!G995</f>
        <v>50.63</v>
      </c>
      <c r="C1014" s="2996">
        <f t="shared" si="160"/>
        <v>1</v>
      </c>
      <c r="D1014" s="2994"/>
      <c r="E1014" s="2996">
        <f t="shared" si="161"/>
        <v>1</v>
      </c>
      <c r="F1014" s="2994"/>
      <c r="G1014" s="2996">
        <f t="shared" si="162"/>
        <v>1</v>
      </c>
      <c r="H1014" s="2994"/>
      <c r="I1014" s="2996">
        <f t="shared" si="163"/>
        <v>1</v>
      </c>
      <c r="J1014" s="2994"/>
      <c r="K1014" s="2996">
        <f t="shared" si="164"/>
        <v>1</v>
      </c>
      <c r="L1014" s="2994"/>
      <c r="M1014" s="2996">
        <f t="shared" si="165"/>
        <v>1</v>
      </c>
      <c r="N1014" s="2994"/>
      <c r="O1014" s="2996">
        <f t="shared" si="166"/>
        <v>1</v>
      </c>
      <c r="P1014" s="2994"/>
      <c r="Q1014" s="2996">
        <f t="shared" si="167"/>
        <v>1</v>
      </c>
      <c r="R1014" s="2997">
        <f t="shared" ca="1" si="168"/>
        <v>17260</v>
      </c>
      <c r="S1014" s="2962">
        <f t="shared" ca="1" si="169"/>
        <v>87</v>
      </c>
    </row>
    <row r="1015" spans="1:19">
      <c r="A1015" s="2992" t="str">
        <f>Sheet1!F996</f>
        <v>3-1333</v>
      </c>
      <c r="B1015" s="2992">
        <f>Sheet1!G996</f>
        <v>50.38</v>
      </c>
      <c r="C1015" s="2996">
        <f t="shared" si="160"/>
        <v>1</v>
      </c>
      <c r="D1015" s="2994"/>
      <c r="E1015" s="2996">
        <f t="shared" si="161"/>
        <v>1</v>
      </c>
      <c r="F1015" s="2994"/>
      <c r="G1015" s="2996">
        <f t="shared" si="162"/>
        <v>1</v>
      </c>
      <c r="H1015" s="2994"/>
      <c r="I1015" s="2996">
        <f t="shared" si="163"/>
        <v>1</v>
      </c>
      <c r="J1015" s="2994"/>
      <c r="K1015" s="2996">
        <f t="shared" si="164"/>
        <v>1</v>
      </c>
      <c r="L1015" s="2994"/>
      <c r="M1015" s="2996">
        <f t="shared" si="165"/>
        <v>1</v>
      </c>
      <c r="N1015" s="2994"/>
      <c r="O1015" s="2996">
        <f t="shared" si="166"/>
        <v>1</v>
      </c>
      <c r="P1015" s="2994"/>
      <c r="Q1015" s="2996">
        <f t="shared" si="167"/>
        <v>1</v>
      </c>
      <c r="R1015" s="2997">
        <f t="shared" ca="1" si="168"/>
        <v>17260</v>
      </c>
      <c r="S1015" s="2962">
        <f t="shared" ca="1" si="169"/>
        <v>87</v>
      </c>
    </row>
    <row r="1016" spans="1:19">
      <c r="A1016" s="2992" t="str">
        <f>Sheet1!F997</f>
        <v>3-1334</v>
      </c>
      <c r="B1016" s="2992">
        <f>Sheet1!G997</f>
        <v>51.12</v>
      </c>
      <c r="C1016" s="2996">
        <f t="shared" si="160"/>
        <v>1</v>
      </c>
      <c r="D1016" s="2994"/>
      <c r="E1016" s="2996">
        <f t="shared" si="161"/>
        <v>1</v>
      </c>
      <c r="F1016" s="2994"/>
      <c r="G1016" s="2996">
        <f t="shared" si="162"/>
        <v>1</v>
      </c>
      <c r="H1016" s="2994"/>
      <c r="I1016" s="2996">
        <f t="shared" si="163"/>
        <v>1</v>
      </c>
      <c r="J1016" s="2994"/>
      <c r="K1016" s="2996">
        <f t="shared" si="164"/>
        <v>1</v>
      </c>
      <c r="L1016" s="2994"/>
      <c r="M1016" s="2996">
        <f t="shared" si="165"/>
        <v>1</v>
      </c>
      <c r="N1016" s="2994"/>
      <c r="O1016" s="2996">
        <f t="shared" si="166"/>
        <v>1</v>
      </c>
      <c r="P1016" s="2994"/>
      <c r="Q1016" s="2996">
        <f t="shared" si="167"/>
        <v>1</v>
      </c>
      <c r="R1016" s="2997">
        <f t="shared" ca="1" si="168"/>
        <v>17260</v>
      </c>
      <c r="S1016" s="2962">
        <f t="shared" ca="1" si="169"/>
        <v>88</v>
      </c>
    </row>
    <row r="1017" spans="1:19">
      <c r="A1017" s="2992" t="str">
        <f>Sheet1!F998</f>
        <v>3-1335</v>
      </c>
      <c r="B1017" s="2992">
        <f>Sheet1!G998</f>
        <v>68.760000000000005</v>
      </c>
      <c r="C1017" s="2996">
        <f t="shared" si="160"/>
        <v>1</v>
      </c>
      <c r="D1017" s="2994"/>
      <c r="E1017" s="2996">
        <f t="shared" si="161"/>
        <v>1</v>
      </c>
      <c r="F1017" s="2994"/>
      <c r="G1017" s="2996">
        <f t="shared" si="162"/>
        <v>1</v>
      </c>
      <c r="H1017" s="2994"/>
      <c r="I1017" s="2996">
        <f t="shared" si="163"/>
        <v>1</v>
      </c>
      <c r="J1017" s="2994"/>
      <c r="K1017" s="2996">
        <f t="shared" si="164"/>
        <v>1</v>
      </c>
      <c r="L1017" s="2994"/>
      <c r="M1017" s="2996">
        <f t="shared" si="165"/>
        <v>1</v>
      </c>
      <c r="N1017" s="2994"/>
      <c r="O1017" s="2996">
        <f t="shared" si="166"/>
        <v>1</v>
      </c>
      <c r="P1017" s="2994"/>
      <c r="Q1017" s="2996">
        <f t="shared" si="167"/>
        <v>1</v>
      </c>
      <c r="R1017" s="2997">
        <f t="shared" ca="1" si="168"/>
        <v>17260</v>
      </c>
      <c r="S1017" s="2962">
        <f t="shared" ca="1" si="169"/>
        <v>119</v>
      </c>
    </row>
    <row r="1018" spans="1:19">
      <c r="A1018" s="2992" t="str">
        <f>Sheet1!F999</f>
        <v>3-1336</v>
      </c>
      <c r="B1018" s="2992">
        <f>Sheet1!G999</f>
        <v>69.319999999999993</v>
      </c>
      <c r="C1018" s="2996">
        <f t="shared" si="160"/>
        <v>1</v>
      </c>
      <c r="D1018" s="2994"/>
      <c r="E1018" s="2996">
        <f t="shared" si="161"/>
        <v>1</v>
      </c>
      <c r="F1018" s="2994"/>
      <c r="G1018" s="2996">
        <f t="shared" si="162"/>
        <v>1</v>
      </c>
      <c r="H1018" s="2994"/>
      <c r="I1018" s="2996">
        <f t="shared" si="163"/>
        <v>1</v>
      </c>
      <c r="J1018" s="2994"/>
      <c r="K1018" s="2996">
        <f t="shared" si="164"/>
        <v>1</v>
      </c>
      <c r="L1018" s="2994"/>
      <c r="M1018" s="2996">
        <f t="shared" si="165"/>
        <v>1</v>
      </c>
      <c r="N1018" s="2994"/>
      <c r="O1018" s="2996">
        <f t="shared" si="166"/>
        <v>1</v>
      </c>
      <c r="P1018" s="2994"/>
      <c r="Q1018" s="2996">
        <f t="shared" si="167"/>
        <v>1</v>
      </c>
      <c r="R1018" s="2997">
        <f t="shared" ca="1" si="168"/>
        <v>17260</v>
      </c>
      <c r="S1018" s="2962">
        <f t="shared" ca="1" si="169"/>
        <v>120</v>
      </c>
    </row>
    <row r="1019" spans="1:19">
      <c r="A1019" s="2992" t="str">
        <f>Sheet1!F1000</f>
        <v>3-1337</v>
      </c>
      <c r="B1019" s="2992">
        <f>Sheet1!G1000</f>
        <v>61.41</v>
      </c>
      <c r="C1019" s="2996">
        <f t="shared" si="160"/>
        <v>1</v>
      </c>
      <c r="D1019" s="2994"/>
      <c r="E1019" s="2996">
        <f t="shared" si="161"/>
        <v>1</v>
      </c>
      <c r="F1019" s="2994"/>
      <c r="G1019" s="2996">
        <f t="shared" si="162"/>
        <v>1</v>
      </c>
      <c r="H1019" s="2994"/>
      <c r="I1019" s="2996">
        <f t="shared" si="163"/>
        <v>1</v>
      </c>
      <c r="J1019" s="2994"/>
      <c r="K1019" s="2996">
        <f t="shared" si="164"/>
        <v>1</v>
      </c>
      <c r="L1019" s="2994"/>
      <c r="M1019" s="2996">
        <f t="shared" si="165"/>
        <v>1</v>
      </c>
      <c r="N1019" s="2994"/>
      <c r="O1019" s="2996">
        <f t="shared" si="166"/>
        <v>1</v>
      </c>
      <c r="P1019" s="2994"/>
      <c r="Q1019" s="2996">
        <f t="shared" si="167"/>
        <v>1</v>
      </c>
      <c r="R1019" s="2997">
        <f t="shared" ca="1" si="168"/>
        <v>17260</v>
      </c>
      <c r="S1019" s="2962">
        <f t="shared" ca="1" si="169"/>
        <v>106</v>
      </c>
    </row>
    <row r="1020" spans="1:19">
      <c r="A1020" s="2992" t="str">
        <f>Sheet1!F1001</f>
        <v>3-1338</v>
      </c>
      <c r="B1020" s="2992">
        <f>Sheet1!G1001</f>
        <v>61.41</v>
      </c>
      <c r="C1020" s="2996">
        <f t="shared" si="160"/>
        <v>1</v>
      </c>
      <c r="D1020" s="2994"/>
      <c r="E1020" s="2996">
        <f t="shared" si="161"/>
        <v>1</v>
      </c>
      <c r="F1020" s="2994"/>
      <c r="G1020" s="2996">
        <f t="shared" si="162"/>
        <v>1</v>
      </c>
      <c r="H1020" s="2994"/>
      <c r="I1020" s="2996">
        <f t="shared" si="163"/>
        <v>1</v>
      </c>
      <c r="J1020" s="2994"/>
      <c r="K1020" s="2996">
        <f t="shared" si="164"/>
        <v>1</v>
      </c>
      <c r="L1020" s="2994"/>
      <c r="M1020" s="2996">
        <f t="shared" si="165"/>
        <v>1</v>
      </c>
      <c r="N1020" s="2994"/>
      <c r="O1020" s="2996">
        <f t="shared" si="166"/>
        <v>1</v>
      </c>
      <c r="P1020" s="2994"/>
      <c r="Q1020" s="2996">
        <f t="shared" si="167"/>
        <v>1</v>
      </c>
      <c r="R1020" s="2997">
        <f t="shared" ca="1" si="168"/>
        <v>17260</v>
      </c>
      <c r="S1020" s="2962">
        <f t="shared" ca="1" si="169"/>
        <v>106</v>
      </c>
    </row>
    <row r="1021" spans="1:19">
      <c r="A1021" s="2992" t="str">
        <f>Sheet1!F1002</f>
        <v>3-1339</v>
      </c>
      <c r="B1021" s="2992">
        <f>Sheet1!G1002</f>
        <v>61.41</v>
      </c>
      <c r="C1021" s="2996">
        <f t="shared" si="160"/>
        <v>1</v>
      </c>
      <c r="D1021" s="2994"/>
      <c r="E1021" s="2996">
        <f t="shared" si="161"/>
        <v>1</v>
      </c>
      <c r="F1021" s="2994"/>
      <c r="G1021" s="2996">
        <f t="shared" si="162"/>
        <v>1</v>
      </c>
      <c r="H1021" s="2994"/>
      <c r="I1021" s="2996">
        <f t="shared" si="163"/>
        <v>1</v>
      </c>
      <c r="J1021" s="2994"/>
      <c r="K1021" s="2996">
        <f t="shared" si="164"/>
        <v>1</v>
      </c>
      <c r="L1021" s="2994"/>
      <c r="M1021" s="2996">
        <f t="shared" si="165"/>
        <v>1</v>
      </c>
      <c r="N1021" s="2994"/>
      <c r="O1021" s="2996">
        <f t="shared" si="166"/>
        <v>1</v>
      </c>
      <c r="P1021" s="2994"/>
      <c r="Q1021" s="2996">
        <f t="shared" si="167"/>
        <v>1</v>
      </c>
      <c r="R1021" s="2997">
        <f t="shared" ca="1" si="168"/>
        <v>17260</v>
      </c>
      <c r="S1021" s="2962">
        <f t="shared" ca="1" si="169"/>
        <v>106</v>
      </c>
    </row>
    <row r="1022" spans="1:19">
      <c r="A1022" s="2992" t="str">
        <f>Sheet1!F1003</f>
        <v>3-1340</v>
      </c>
      <c r="B1022" s="2992">
        <f>Sheet1!G1003</f>
        <v>61.41</v>
      </c>
      <c r="C1022" s="2996">
        <f t="shared" si="160"/>
        <v>1</v>
      </c>
      <c r="D1022" s="2994"/>
      <c r="E1022" s="2996">
        <f t="shared" si="161"/>
        <v>1</v>
      </c>
      <c r="F1022" s="2994"/>
      <c r="G1022" s="2996">
        <f t="shared" si="162"/>
        <v>1</v>
      </c>
      <c r="H1022" s="2994"/>
      <c r="I1022" s="2996">
        <f t="shared" si="163"/>
        <v>1</v>
      </c>
      <c r="J1022" s="2994"/>
      <c r="K1022" s="2996">
        <f t="shared" si="164"/>
        <v>1</v>
      </c>
      <c r="L1022" s="2994"/>
      <c r="M1022" s="2996">
        <f t="shared" si="165"/>
        <v>1</v>
      </c>
      <c r="N1022" s="2994"/>
      <c r="O1022" s="2996">
        <f t="shared" si="166"/>
        <v>1</v>
      </c>
      <c r="P1022" s="2994"/>
      <c r="Q1022" s="2996">
        <f t="shared" si="167"/>
        <v>1</v>
      </c>
      <c r="R1022" s="2997">
        <f t="shared" ca="1" si="168"/>
        <v>17260</v>
      </c>
      <c r="S1022" s="2962">
        <f t="shared" ca="1" si="169"/>
        <v>106</v>
      </c>
    </row>
    <row r="1023" spans="1:19">
      <c r="A1023" s="2992" t="str">
        <f>Sheet1!F1004</f>
        <v>3-1341</v>
      </c>
      <c r="B1023" s="2992">
        <f>Sheet1!G1004</f>
        <v>61.41</v>
      </c>
      <c r="C1023" s="2996">
        <f t="shared" si="160"/>
        <v>1</v>
      </c>
      <c r="D1023" s="2994"/>
      <c r="E1023" s="2996">
        <f t="shared" si="161"/>
        <v>1</v>
      </c>
      <c r="F1023" s="2994"/>
      <c r="G1023" s="2996">
        <f t="shared" si="162"/>
        <v>1</v>
      </c>
      <c r="H1023" s="2994"/>
      <c r="I1023" s="2996">
        <f t="shared" si="163"/>
        <v>1</v>
      </c>
      <c r="J1023" s="2994"/>
      <c r="K1023" s="2996">
        <f t="shared" si="164"/>
        <v>1</v>
      </c>
      <c r="L1023" s="2994"/>
      <c r="M1023" s="2996">
        <f t="shared" si="165"/>
        <v>1</v>
      </c>
      <c r="N1023" s="2994"/>
      <c r="O1023" s="2996">
        <f t="shared" si="166"/>
        <v>1</v>
      </c>
      <c r="P1023" s="2994"/>
      <c r="Q1023" s="2996">
        <f t="shared" si="167"/>
        <v>1</v>
      </c>
      <c r="R1023" s="2997">
        <f t="shared" ca="1" si="168"/>
        <v>17260</v>
      </c>
      <c r="S1023" s="2962">
        <f t="shared" ca="1" si="169"/>
        <v>106</v>
      </c>
    </row>
    <row r="1024" spans="1:19">
      <c r="A1024" s="2992" t="str">
        <f>Sheet1!F1005</f>
        <v>3-1342</v>
      </c>
      <c r="B1024" s="2992">
        <f>Sheet1!G1005</f>
        <v>72.87</v>
      </c>
      <c r="C1024" s="2996">
        <f t="shared" si="160"/>
        <v>1</v>
      </c>
      <c r="D1024" s="2994"/>
      <c r="E1024" s="2996">
        <f t="shared" si="161"/>
        <v>1</v>
      </c>
      <c r="F1024" s="2994"/>
      <c r="G1024" s="2996">
        <f t="shared" si="162"/>
        <v>1</v>
      </c>
      <c r="H1024" s="2994"/>
      <c r="I1024" s="2996">
        <f t="shared" si="163"/>
        <v>1</v>
      </c>
      <c r="J1024" s="2994"/>
      <c r="K1024" s="2996">
        <f t="shared" si="164"/>
        <v>1</v>
      </c>
      <c r="L1024" s="2994"/>
      <c r="M1024" s="2996">
        <f t="shared" si="165"/>
        <v>1</v>
      </c>
      <c r="N1024" s="2994"/>
      <c r="O1024" s="2996">
        <f t="shared" si="166"/>
        <v>1</v>
      </c>
      <c r="P1024" s="2994"/>
      <c r="Q1024" s="2996">
        <f t="shared" si="167"/>
        <v>1</v>
      </c>
      <c r="R1024" s="2997">
        <f t="shared" ca="1" si="168"/>
        <v>17260</v>
      </c>
      <c r="S1024" s="2962">
        <f t="shared" ca="1" si="169"/>
        <v>126</v>
      </c>
    </row>
    <row r="1025" spans="1:19">
      <c r="A1025" s="2992" t="str">
        <f>Sheet1!F1006</f>
        <v>3-1343</v>
      </c>
      <c r="B1025" s="2992">
        <f>Sheet1!G1006</f>
        <v>81.069999999999993</v>
      </c>
      <c r="C1025" s="2996">
        <f t="shared" si="160"/>
        <v>1</v>
      </c>
      <c r="D1025" s="2994"/>
      <c r="E1025" s="2996">
        <f t="shared" si="161"/>
        <v>1</v>
      </c>
      <c r="F1025" s="2994"/>
      <c r="G1025" s="2996">
        <f t="shared" si="162"/>
        <v>1</v>
      </c>
      <c r="H1025" s="2994"/>
      <c r="I1025" s="2996">
        <f t="shared" si="163"/>
        <v>1</v>
      </c>
      <c r="J1025" s="2994"/>
      <c r="K1025" s="2996">
        <f t="shared" si="164"/>
        <v>1</v>
      </c>
      <c r="L1025" s="2994"/>
      <c r="M1025" s="2996">
        <f t="shared" si="165"/>
        <v>1</v>
      </c>
      <c r="N1025" s="2994"/>
      <c r="O1025" s="2996">
        <f t="shared" si="166"/>
        <v>1</v>
      </c>
      <c r="P1025" s="2994"/>
      <c r="Q1025" s="2996">
        <f t="shared" si="167"/>
        <v>1</v>
      </c>
      <c r="R1025" s="2997">
        <f t="shared" ca="1" si="168"/>
        <v>17260</v>
      </c>
      <c r="S1025" s="2962">
        <f t="shared" ca="1" si="169"/>
        <v>140</v>
      </c>
    </row>
    <row r="1026" spans="1:19">
      <c r="A1026" s="2992" t="str">
        <f>Sheet1!F1007</f>
        <v>3-1344</v>
      </c>
      <c r="B1026" s="2992">
        <f>Sheet1!G1007</f>
        <v>61.41</v>
      </c>
      <c r="C1026" s="2996">
        <f t="shared" si="160"/>
        <v>1</v>
      </c>
      <c r="D1026" s="2994"/>
      <c r="E1026" s="2996">
        <f t="shared" si="161"/>
        <v>1</v>
      </c>
      <c r="F1026" s="2994"/>
      <c r="G1026" s="2996">
        <f t="shared" si="162"/>
        <v>1</v>
      </c>
      <c r="H1026" s="2994"/>
      <c r="I1026" s="2996">
        <f t="shared" si="163"/>
        <v>1</v>
      </c>
      <c r="J1026" s="2994"/>
      <c r="K1026" s="2996">
        <f t="shared" si="164"/>
        <v>1</v>
      </c>
      <c r="L1026" s="2994"/>
      <c r="M1026" s="2996">
        <f t="shared" si="165"/>
        <v>1</v>
      </c>
      <c r="N1026" s="2994"/>
      <c r="O1026" s="2996">
        <f t="shared" si="166"/>
        <v>1</v>
      </c>
      <c r="P1026" s="2994"/>
      <c r="Q1026" s="2996">
        <f t="shared" si="167"/>
        <v>1</v>
      </c>
      <c r="R1026" s="2997">
        <f t="shared" ca="1" si="168"/>
        <v>17260</v>
      </c>
      <c r="S1026" s="2962">
        <f t="shared" ca="1" si="169"/>
        <v>106</v>
      </c>
    </row>
    <row r="1027" spans="1:19">
      <c r="A1027" s="2992" t="str">
        <f>Sheet1!F1008</f>
        <v>3-1345</v>
      </c>
      <c r="B1027" s="2992">
        <f>Sheet1!G1008</f>
        <v>54.6</v>
      </c>
      <c r="C1027" s="2996">
        <f t="shared" si="160"/>
        <v>1</v>
      </c>
      <c r="D1027" s="2994"/>
      <c r="E1027" s="2996">
        <f t="shared" si="161"/>
        <v>1</v>
      </c>
      <c r="F1027" s="2994"/>
      <c r="G1027" s="2996">
        <f t="shared" si="162"/>
        <v>1</v>
      </c>
      <c r="H1027" s="2994"/>
      <c r="I1027" s="2996">
        <f t="shared" si="163"/>
        <v>1</v>
      </c>
      <c r="J1027" s="2994"/>
      <c r="K1027" s="2996">
        <f t="shared" si="164"/>
        <v>1</v>
      </c>
      <c r="L1027" s="2994"/>
      <c r="M1027" s="2996">
        <f t="shared" si="165"/>
        <v>1</v>
      </c>
      <c r="N1027" s="2994"/>
      <c r="O1027" s="2996">
        <f t="shared" si="166"/>
        <v>1</v>
      </c>
      <c r="P1027" s="2994"/>
      <c r="Q1027" s="2996">
        <f t="shared" si="167"/>
        <v>1</v>
      </c>
      <c r="R1027" s="2997">
        <f t="shared" ca="1" si="168"/>
        <v>17260</v>
      </c>
      <c r="S1027" s="2962">
        <f t="shared" ca="1" si="169"/>
        <v>94</v>
      </c>
    </row>
    <row r="1028" spans="1:19">
      <c r="A1028" s="2992" t="str">
        <f>Sheet1!F1009</f>
        <v>3-1346</v>
      </c>
      <c r="B1028" s="2992">
        <f>Sheet1!G1009</f>
        <v>71.23</v>
      </c>
      <c r="C1028" s="2996">
        <f t="shared" si="160"/>
        <v>1</v>
      </c>
      <c r="D1028" s="2994"/>
      <c r="E1028" s="2996">
        <f t="shared" si="161"/>
        <v>1</v>
      </c>
      <c r="F1028" s="2994"/>
      <c r="G1028" s="2996">
        <f t="shared" si="162"/>
        <v>1</v>
      </c>
      <c r="H1028" s="2994"/>
      <c r="I1028" s="2996">
        <f t="shared" si="163"/>
        <v>1</v>
      </c>
      <c r="J1028" s="2994"/>
      <c r="K1028" s="2996">
        <f t="shared" si="164"/>
        <v>1</v>
      </c>
      <c r="L1028" s="2994"/>
      <c r="M1028" s="2996">
        <f t="shared" si="165"/>
        <v>1</v>
      </c>
      <c r="N1028" s="2994"/>
      <c r="O1028" s="2996">
        <f t="shared" si="166"/>
        <v>1</v>
      </c>
      <c r="P1028" s="2994"/>
      <c r="Q1028" s="2996">
        <f t="shared" si="167"/>
        <v>1</v>
      </c>
      <c r="R1028" s="2997">
        <f t="shared" ca="1" si="168"/>
        <v>17260</v>
      </c>
      <c r="S1028" s="2962">
        <f t="shared" ca="1" si="169"/>
        <v>123</v>
      </c>
    </row>
    <row r="1029" spans="1:19">
      <c r="A1029" s="2992" t="str">
        <f>Sheet1!F1010</f>
        <v>3-1347</v>
      </c>
      <c r="B1029" s="2992">
        <f>Sheet1!G1010</f>
        <v>61.41</v>
      </c>
      <c r="C1029" s="2996">
        <f t="shared" si="160"/>
        <v>1</v>
      </c>
      <c r="D1029" s="2994"/>
      <c r="E1029" s="2996">
        <f t="shared" si="161"/>
        <v>1</v>
      </c>
      <c r="F1029" s="2994"/>
      <c r="G1029" s="2996">
        <f t="shared" si="162"/>
        <v>1</v>
      </c>
      <c r="H1029" s="2994"/>
      <c r="I1029" s="2996">
        <f t="shared" si="163"/>
        <v>1</v>
      </c>
      <c r="J1029" s="2994"/>
      <c r="K1029" s="2996">
        <f t="shared" si="164"/>
        <v>1</v>
      </c>
      <c r="L1029" s="2994"/>
      <c r="M1029" s="2996">
        <f t="shared" si="165"/>
        <v>1</v>
      </c>
      <c r="N1029" s="2994"/>
      <c r="O1029" s="2996">
        <f t="shared" si="166"/>
        <v>1</v>
      </c>
      <c r="P1029" s="2994"/>
      <c r="Q1029" s="2996">
        <f t="shared" si="167"/>
        <v>1</v>
      </c>
      <c r="R1029" s="2997">
        <f t="shared" ca="1" si="168"/>
        <v>17260</v>
      </c>
      <c r="S1029" s="2962">
        <f t="shared" ca="1" si="169"/>
        <v>106</v>
      </c>
    </row>
    <row r="1030" spans="1:19">
      <c r="A1030" s="2992" t="str">
        <f>Sheet1!F1011</f>
        <v>3-1348</v>
      </c>
      <c r="B1030" s="2992">
        <f>Sheet1!G1011</f>
        <v>61.41</v>
      </c>
      <c r="C1030" s="2996">
        <f t="shared" si="160"/>
        <v>1</v>
      </c>
      <c r="D1030" s="2994"/>
      <c r="E1030" s="2996">
        <f t="shared" si="161"/>
        <v>1</v>
      </c>
      <c r="F1030" s="2994"/>
      <c r="G1030" s="2996">
        <f t="shared" si="162"/>
        <v>1</v>
      </c>
      <c r="H1030" s="2994"/>
      <c r="I1030" s="2996">
        <f t="shared" si="163"/>
        <v>1</v>
      </c>
      <c r="J1030" s="2994"/>
      <c r="K1030" s="2996">
        <f t="shared" si="164"/>
        <v>1</v>
      </c>
      <c r="L1030" s="2994"/>
      <c r="M1030" s="2996">
        <f t="shared" si="165"/>
        <v>1</v>
      </c>
      <c r="N1030" s="2994"/>
      <c r="O1030" s="2996">
        <f t="shared" si="166"/>
        <v>1</v>
      </c>
      <c r="P1030" s="2994"/>
      <c r="Q1030" s="2996">
        <f t="shared" si="167"/>
        <v>1</v>
      </c>
      <c r="R1030" s="2997">
        <f t="shared" ca="1" si="168"/>
        <v>17260</v>
      </c>
      <c r="S1030" s="2962">
        <f t="shared" ca="1" si="169"/>
        <v>106</v>
      </c>
    </row>
    <row r="1031" spans="1:19">
      <c r="A1031" s="2992" t="str">
        <f>Sheet1!F1012</f>
        <v>3-1349</v>
      </c>
      <c r="B1031" s="2992">
        <f>Sheet1!G1012</f>
        <v>61.41</v>
      </c>
      <c r="C1031" s="2996">
        <f t="shared" si="160"/>
        <v>1</v>
      </c>
      <c r="D1031" s="2994"/>
      <c r="E1031" s="2996">
        <f t="shared" si="161"/>
        <v>1</v>
      </c>
      <c r="F1031" s="2994"/>
      <c r="G1031" s="2996">
        <f t="shared" si="162"/>
        <v>1</v>
      </c>
      <c r="H1031" s="2994"/>
      <c r="I1031" s="2996">
        <f t="shared" si="163"/>
        <v>1</v>
      </c>
      <c r="J1031" s="2994"/>
      <c r="K1031" s="2996">
        <f t="shared" si="164"/>
        <v>1</v>
      </c>
      <c r="L1031" s="2994"/>
      <c r="M1031" s="2996">
        <f t="shared" si="165"/>
        <v>1</v>
      </c>
      <c r="N1031" s="2994"/>
      <c r="O1031" s="2996">
        <f t="shared" si="166"/>
        <v>1</v>
      </c>
      <c r="P1031" s="2994"/>
      <c r="Q1031" s="2996">
        <f t="shared" si="167"/>
        <v>1</v>
      </c>
      <c r="R1031" s="2997">
        <f t="shared" ca="1" si="168"/>
        <v>17260</v>
      </c>
      <c r="S1031" s="2962">
        <f t="shared" ca="1" si="169"/>
        <v>106</v>
      </c>
    </row>
    <row r="1032" spans="1:19">
      <c r="A1032" s="2992" t="str">
        <f>Sheet1!F1013</f>
        <v>3-1350</v>
      </c>
      <c r="B1032" s="2992">
        <f>Sheet1!G1013</f>
        <v>61.88</v>
      </c>
      <c r="C1032" s="2996">
        <f t="shared" si="160"/>
        <v>1</v>
      </c>
      <c r="D1032" s="2994"/>
      <c r="E1032" s="2996">
        <f t="shared" si="161"/>
        <v>1</v>
      </c>
      <c r="F1032" s="2994"/>
      <c r="G1032" s="2996">
        <f t="shared" si="162"/>
        <v>1</v>
      </c>
      <c r="H1032" s="2994"/>
      <c r="I1032" s="2996">
        <f t="shared" si="163"/>
        <v>1</v>
      </c>
      <c r="J1032" s="2994"/>
      <c r="K1032" s="2996">
        <f t="shared" si="164"/>
        <v>1</v>
      </c>
      <c r="L1032" s="2994"/>
      <c r="M1032" s="2996">
        <f t="shared" si="165"/>
        <v>1</v>
      </c>
      <c r="N1032" s="2994"/>
      <c r="O1032" s="2996">
        <f t="shared" si="166"/>
        <v>1</v>
      </c>
      <c r="P1032" s="2994"/>
      <c r="Q1032" s="2996">
        <f t="shared" si="167"/>
        <v>1</v>
      </c>
      <c r="R1032" s="2997">
        <f t="shared" ca="1" si="168"/>
        <v>17260</v>
      </c>
      <c r="S1032" s="2962">
        <f t="shared" ca="1" si="169"/>
        <v>107</v>
      </c>
    </row>
    <row r="1033" spans="1:19">
      <c r="A1033" s="2992" t="str">
        <f>Sheet1!F1014</f>
        <v>3-1351</v>
      </c>
      <c r="B1033" s="2992">
        <f>Sheet1!G1014</f>
        <v>58.8</v>
      </c>
      <c r="C1033" s="2996">
        <f t="shared" si="160"/>
        <v>1</v>
      </c>
      <c r="D1033" s="2994"/>
      <c r="E1033" s="2996">
        <f t="shared" si="161"/>
        <v>1</v>
      </c>
      <c r="F1033" s="2994"/>
      <c r="G1033" s="2996">
        <f t="shared" si="162"/>
        <v>1</v>
      </c>
      <c r="H1033" s="2994"/>
      <c r="I1033" s="2996">
        <f t="shared" si="163"/>
        <v>1</v>
      </c>
      <c r="J1033" s="2994"/>
      <c r="K1033" s="2996">
        <f t="shared" si="164"/>
        <v>1</v>
      </c>
      <c r="L1033" s="2994"/>
      <c r="M1033" s="2996">
        <f t="shared" si="165"/>
        <v>1</v>
      </c>
      <c r="N1033" s="2994"/>
      <c r="O1033" s="2996">
        <f t="shared" si="166"/>
        <v>1</v>
      </c>
      <c r="P1033" s="2994"/>
      <c r="Q1033" s="2996">
        <f t="shared" si="167"/>
        <v>1</v>
      </c>
      <c r="R1033" s="2997">
        <f t="shared" ca="1" si="168"/>
        <v>17260</v>
      </c>
      <c r="S1033" s="2962">
        <f t="shared" ca="1" si="169"/>
        <v>101</v>
      </c>
    </row>
    <row r="1034" spans="1:19">
      <c r="A1034" s="2992" t="str">
        <f>Sheet1!F1015</f>
        <v>3-1352</v>
      </c>
      <c r="B1034" s="2992">
        <f>Sheet1!G1015</f>
        <v>60.21</v>
      </c>
      <c r="C1034" s="2996">
        <f t="shared" si="160"/>
        <v>1</v>
      </c>
      <c r="D1034" s="2994"/>
      <c r="E1034" s="2996">
        <f t="shared" si="161"/>
        <v>1</v>
      </c>
      <c r="F1034" s="2994"/>
      <c r="G1034" s="2996">
        <f t="shared" si="162"/>
        <v>1</v>
      </c>
      <c r="H1034" s="2994"/>
      <c r="I1034" s="2996">
        <f t="shared" si="163"/>
        <v>1</v>
      </c>
      <c r="J1034" s="2994"/>
      <c r="K1034" s="2996">
        <f t="shared" si="164"/>
        <v>1</v>
      </c>
      <c r="L1034" s="2994"/>
      <c r="M1034" s="2996">
        <f t="shared" si="165"/>
        <v>1</v>
      </c>
      <c r="N1034" s="2994"/>
      <c r="O1034" s="2996">
        <f t="shared" si="166"/>
        <v>1</v>
      </c>
      <c r="P1034" s="2994"/>
      <c r="Q1034" s="2996">
        <f t="shared" si="167"/>
        <v>1</v>
      </c>
      <c r="R1034" s="2997">
        <f t="shared" ca="1" si="168"/>
        <v>17260</v>
      </c>
      <c r="S1034" s="2962">
        <f t="shared" ca="1" si="169"/>
        <v>104</v>
      </c>
    </row>
    <row r="1035" spans="1:19">
      <c r="A1035" s="2992" t="str">
        <f>Sheet1!F1016</f>
        <v>4-1301</v>
      </c>
      <c r="B1035" s="2992">
        <f>Sheet1!G1016</f>
        <v>65.760000000000005</v>
      </c>
      <c r="C1035" s="2996">
        <f t="shared" si="160"/>
        <v>1</v>
      </c>
      <c r="D1035" s="2994"/>
      <c r="E1035" s="2996">
        <f t="shared" si="161"/>
        <v>1</v>
      </c>
      <c r="F1035" s="2994"/>
      <c r="G1035" s="2996">
        <f t="shared" si="162"/>
        <v>1</v>
      </c>
      <c r="H1035" s="2994"/>
      <c r="I1035" s="2996">
        <f t="shared" si="163"/>
        <v>1</v>
      </c>
      <c r="J1035" s="2994"/>
      <c r="K1035" s="2996">
        <f t="shared" si="164"/>
        <v>1</v>
      </c>
      <c r="L1035" s="2994"/>
      <c r="M1035" s="2996">
        <f t="shared" si="165"/>
        <v>1</v>
      </c>
      <c r="N1035" s="2994"/>
      <c r="O1035" s="2996">
        <f t="shared" si="166"/>
        <v>1</v>
      </c>
      <c r="P1035" s="2994"/>
      <c r="Q1035" s="2996">
        <f t="shared" si="167"/>
        <v>1</v>
      </c>
      <c r="R1035" s="2997">
        <f t="shared" ca="1" si="168"/>
        <v>17260</v>
      </c>
      <c r="S1035" s="2962">
        <f t="shared" ca="1" si="169"/>
        <v>114</v>
      </c>
    </row>
    <row r="1036" spans="1:19">
      <c r="A1036" s="2992" t="str">
        <f>Sheet1!F1017</f>
        <v>4-1302</v>
      </c>
      <c r="B1036" s="2992">
        <f>Sheet1!G1017</f>
        <v>59.41</v>
      </c>
      <c r="C1036" s="2996">
        <f t="shared" si="160"/>
        <v>1</v>
      </c>
      <c r="D1036" s="2994"/>
      <c r="E1036" s="2996">
        <f t="shared" si="161"/>
        <v>1</v>
      </c>
      <c r="F1036" s="2994"/>
      <c r="G1036" s="2996">
        <f t="shared" si="162"/>
        <v>1</v>
      </c>
      <c r="H1036" s="2994"/>
      <c r="I1036" s="2996">
        <f t="shared" si="163"/>
        <v>1</v>
      </c>
      <c r="J1036" s="2994"/>
      <c r="K1036" s="2996">
        <f t="shared" si="164"/>
        <v>1</v>
      </c>
      <c r="L1036" s="2994"/>
      <c r="M1036" s="2996">
        <f t="shared" si="165"/>
        <v>1</v>
      </c>
      <c r="N1036" s="2994"/>
      <c r="O1036" s="2996">
        <f t="shared" si="166"/>
        <v>1</v>
      </c>
      <c r="P1036" s="2994"/>
      <c r="Q1036" s="2996">
        <f t="shared" si="167"/>
        <v>1</v>
      </c>
      <c r="R1036" s="2997">
        <f t="shared" ca="1" si="168"/>
        <v>17260</v>
      </c>
      <c r="S1036" s="2962">
        <f t="shared" ca="1" si="169"/>
        <v>103</v>
      </c>
    </row>
    <row r="1037" spans="1:19">
      <c r="A1037" s="2992" t="str">
        <f>Sheet1!F1018</f>
        <v>4-1303</v>
      </c>
      <c r="B1037" s="2992">
        <f>Sheet1!G1018</f>
        <v>60.69</v>
      </c>
      <c r="C1037" s="2996">
        <f t="shared" ref="C1037:C1100" si="170">IF(B1037="",1,(LOOKUP(B1037,$3:$3,$4:$4)-LOOKUP($B$24,$3:$3,$4:$4)+100)/100)</f>
        <v>1</v>
      </c>
      <c r="D1037" s="2994"/>
      <c r="E1037" s="2996">
        <f t="shared" ref="E1037:E1100" si="171">(SUMIF($5:$5,D1037,$6:$6)-SUMIF($5:$5,$D$24,$6:$6)+100)/100</f>
        <v>1</v>
      </c>
      <c r="F1037" s="2994"/>
      <c r="G1037" s="2996">
        <f t="shared" ref="G1037:G1100" si="172">(SUMIF($7:$7,F1037,$8:$8)-SUMIF($7:$7,$F$24,$8:$8)+100)/100</f>
        <v>1</v>
      </c>
      <c r="H1037" s="2994"/>
      <c r="I1037" s="2996">
        <f t="shared" ref="I1037:I1100" si="173">(SUMIF($9:$9,H1037,$10:$10)-SUMIF($9:$9,$H$24,$10:$10)+100)/100</f>
        <v>1</v>
      </c>
      <c r="J1037" s="2994"/>
      <c r="K1037" s="2996">
        <f t="shared" ref="K1037:K1100" si="174">(SUMIF($11:$11,J1037,$12:$12)-SUMIF($11:$11,$J$24,$12:$12)+100)/100</f>
        <v>1</v>
      </c>
      <c r="L1037" s="2994"/>
      <c r="M1037" s="2996">
        <f t="shared" ref="M1037:M1100" si="175">(SUMIF($13:$13,L1037,$14:$14)-SUMIF($13:$13,$L$24,$14:$14)+100)/100</f>
        <v>1</v>
      </c>
      <c r="N1037" s="2994"/>
      <c r="O1037" s="2996">
        <f t="shared" ref="O1037:O1100" si="176">(SUMIF($15:$15,N1037,$16:$16)-SUMIF($15:$15,$N$24,$16:$16)+100)/100</f>
        <v>1</v>
      </c>
      <c r="P1037" s="2994"/>
      <c r="Q1037" s="2996">
        <f t="shared" ref="Q1037:Q1100" si="177">(SUMIF($17:$17,P1037,$18:$18)-SUMIF($17:$17,$P$24,$18:$18)+100)/100</f>
        <v>1</v>
      </c>
      <c r="R1037" s="2997">
        <f t="shared" ref="R1037:R1100" ca="1" si="178">IF(B1037="",0,ROUND($R$24*C1037*E1037*G1037*I1037*K1037*M1037*O1037*Q1037,0))</f>
        <v>17260</v>
      </c>
      <c r="S1037" s="2962">
        <f t="shared" ref="S1037:S1100" ca="1" si="179">ROUND(R1037*B1037/10000,0)</f>
        <v>105</v>
      </c>
    </row>
    <row r="1038" spans="1:19">
      <c r="A1038" s="2992" t="str">
        <f>Sheet1!F1019</f>
        <v>4-1304</v>
      </c>
      <c r="B1038" s="2992">
        <f>Sheet1!G1019</f>
        <v>60.69</v>
      </c>
      <c r="C1038" s="2996">
        <f t="shared" si="170"/>
        <v>1</v>
      </c>
      <c r="D1038" s="2994"/>
      <c r="E1038" s="2996">
        <f t="shared" si="171"/>
        <v>1</v>
      </c>
      <c r="F1038" s="2994"/>
      <c r="G1038" s="2996">
        <f t="shared" si="172"/>
        <v>1</v>
      </c>
      <c r="H1038" s="2994"/>
      <c r="I1038" s="2996">
        <f t="shared" si="173"/>
        <v>1</v>
      </c>
      <c r="J1038" s="2994"/>
      <c r="K1038" s="2996">
        <f t="shared" si="174"/>
        <v>1</v>
      </c>
      <c r="L1038" s="2994"/>
      <c r="M1038" s="2996">
        <f t="shared" si="175"/>
        <v>1</v>
      </c>
      <c r="N1038" s="2994"/>
      <c r="O1038" s="2996">
        <f t="shared" si="176"/>
        <v>1</v>
      </c>
      <c r="P1038" s="2994"/>
      <c r="Q1038" s="2996">
        <f t="shared" si="177"/>
        <v>1</v>
      </c>
      <c r="R1038" s="2997">
        <f t="shared" ca="1" si="178"/>
        <v>17260</v>
      </c>
      <c r="S1038" s="2962">
        <f t="shared" ca="1" si="179"/>
        <v>105</v>
      </c>
    </row>
    <row r="1039" spans="1:19">
      <c r="A1039" s="2992" t="str">
        <f>Sheet1!F1020</f>
        <v>4-1305</v>
      </c>
      <c r="B1039" s="2992">
        <f>Sheet1!G1020</f>
        <v>60.69</v>
      </c>
      <c r="C1039" s="2996">
        <f t="shared" si="170"/>
        <v>1</v>
      </c>
      <c r="D1039" s="2994"/>
      <c r="E1039" s="2996">
        <f t="shared" si="171"/>
        <v>1</v>
      </c>
      <c r="F1039" s="2994"/>
      <c r="G1039" s="2996">
        <f t="shared" si="172"/>
        <v>1</v>
      </c>
      <c r="H1039" s="2994"/>
      <c r="I1039" s="2996">
        <f t="shared" si="173"/>
        <v>1</v>
      </c>
      <c r="J1039" s="2994"/>
      <c r="K1039" s="2996">
        <f t="shared" si="174"/>
        <v>1</v>
      </c>
      <c r="L1039" s="2994"/>
      <c r="M1039" s="2996">
        <f t="shared" si="175"/>
        <v>1</v>
      </c>
      <c r="N1039" s="2994"/>
      <c r="O1039" s="2996">
        <f t="shared" si="176"/>
        <v>1</v>
      </c>
      <c r="P1039" s="2994"/>
      <c r="Q1039" s="2996">
        <f t="shared" si="177"/>
        <v>1</v>
      </c>
      <c r="R1039" s="2997">
        <f t="shared" ca="1" si="178"/>
        <v>17260</v>
      </c>
      <c r="S1039" s="2962">
        <f t="shared" ca="1" si="179"/>
        <v>105</v>
      </c>
    </row>
    <row r="1040" spans="1:19">
      <c r="A1040" s="2992" t="str">
        <f>Sheet1!F1021</f>
        <v>4-1306</v>
      </c>
      <c r="B1040" s="2992">
        <f>Sheet1!G1021</f>
        <v>60.69</v>
      </c>
      <c r="C1040" s="2996">
        <f t="shared" si="170"/>
        <v>1</v>
      </c>
      <c r="D1040" s="2994"/>
      <c r="E1040" s="2996">
        <f t="shared" si="171"/>
        <v>1</v>
      </c>
      <c r="F1040" s="2994"/>
      <c r="G1040" s="2996">
        <f t="shared" si="172"/>
        <v>1</v>
      </c>
      <c r="H1040" s="2994"/>
      <c r="I1040" s="2996">
        <f t="shared" si="173"/>
        <v>1</v>
      </c>
      <c r="J1040" s="2994"/>
      <c r="K1040" s="2996">
        <f t="shared" si="174"/>
        <v>1</v>
      </c>
      <c r="L1040" s="2994"/>
      <c r="M1040" s="2996">
        <f t="shared" si="175"/>
        <v>1</v>
      </c>
      <c r="N1040" s="2994"/>
      <c r="O1040" s="2996">
        <f t="shared" si="176"/>
        <v>1</v>
      </c>
      <c r="P1040" s="2994"/>
      <c r="Q1040" s="2996">
        <f t="shared" si="177"/>
        <v>1</v>
      </c>
      <c r="R1040" s="2997">
        <f t="shared" ca="1" si="178"/>
        <v>17260</v>
      </c>
      <c r="S1040" s="2962">
        <f t="shared" ca="1" si="179"/>
        <v>105</v>
      </c>
    </row>
    <row r="1041" spans="1:19">
      <c r="A1041" s="2992" t="str">
        <f>Sheet1!F1022</f>
        <v>4-1307</v>
      </c>
      <c r="B1041" s="2992">
        <f>Sheet1!G1022</f>
        <v>60.69</v>
      </c>
      <c r="C1041" s="2996">
        <f t="shared" si="170"/>
        <v>1</v>
      </c>
      <c r="D1041" s="2994"/>
      <c r="E1041" s="2996">
        <f t="shared" si="171"/>
        <v>1</v>
      </c>
      <c r="F1041" s="2994"/>
      <c r="G1041" s="2996">
        <f t="shared" si="172"/>
        <v>1</v>
      </c>
      <c r="H1041" s="2994"/>
      <c r="I1041" s="2996">
        <f t="shared" si="173"/>
        <v>1</v>
      </c>
      <c r="J1041" s="2994"/>
      <c r="K1041" s="2996">
        <f t="shared" si="174"/>
        <v>1</v>
      </c>
      <c r="L1041" s="2994"/>
      <c r="M1041" s="2996">
        <f t="shared" si="175"/>
        <v>1</v>
      </c>
      <c r="N1041" s="2994"/>
      <c r="O1041" s="2996">
        <f t="shared" si="176"/>
        <v>1</v>
      </c>
      <c r="P1041" s="2994"/>
      <c r="Q1041" s="2996">
        <f t="shared" si="177"/>
        <v>1</v>
      </c>
      <c r="R1041" s="2997">
        <f t="shared" ca="1" si="178"/>
        <v>17260</v>
      </c>
      <c r="S1041" s="2962">
        <f t="shared" ca="1" si="179"/>
        <v>105</v>
      </c>
    </row>
    <row r="1042" spans="1:19">
      <c r="A1042" s="2992" t="str">
        <f>Sheet1!F1023</f>
        <v>4-1308</v>
      </c>
      <c r="B1042" s="2992">
        <f>Sheet1!G1023</f>
        <v>60.69</v>
      </c>
      <c r="C1042" s="2996">
        <f t="shared" si="170"/>
        <v>1</v>
      </c>
      <c r="D1042" s="2994"/>
      <c r="E1042" s="2996">
        <f t="shared" si="171"/>
        <v>1</v>
      </c>
      <c r="F1042" s="2994"/>
      <c r="G1042" s="2996">
        <f t="shared" si="172"/>
        <v>1</v>
      </c>
      <c r="H1042" s="2994"/>
      <c r="I1042" s="2996">
        <f t="shared" si="173"/>
        <v>1</v>
      </c>
      <c r="J1042" s="2994"/>
      <c r="K1042" s="2996">
        <f t="shared" si="174"/>
        <v>1</v>
      </c>
      <c r="L1042" s="2994"/>
      <c r="M1042" s="2996">
        <f t="shared" si="175"/>
        <v>1</v>
      </c>
      <c r="N1042" s="2994"/>
      <c r="O1042" s="2996">
        <f t="shared" si="176"/>
        <v>1</v>
      </c>
      <c r="P1042" s="2994"/>
      <c r="Q1042" s="2996">
        <f t="shared" si="177"/>
        <v>1</v>
      </c>
      <c r="R1042" s="2997">
        <f t="shared" ca="1" si="178"/>
        <v>17260</v>
      </c>
      <c r="S1042" s="2962">
        <f t="shared" ca="1" si="179"/>
        <v>105</v>
      </c>
    </row>
    <row r="1043" spans="1:19">
      <c r="A1043" s="2992" t="str">
        <f>Sheet1!F1024</f>
        <v>4-1309</v>
      </c>
      <c r="B1043" s="2992">
        <f>Sheet1!G1024</f>
        <v>60.69</v>
      </c>
      <c r="C1043" s="2996">
        <f t="shared" si="170"/>
        <v>1</v>
      </c>
      <c r="D1043" s="2994"/>
      <c r="E1043" s="2996">
        <f t="shared" si="171"/>
        <v>1</v>
      </c>
      <c r="F1043" s="2994"/>
      <c r="G1043" s="2996">
        <f t="shared" si="172"/>
        <v>1</v>
      </c>
      <c r="H1043" s="2994"/>
      <c r="I1043" s="2996">
        <f t="shared" si="173"/>
        <v>1</v>
      </c>
      <c r="J1043" s="2994"/>
      <c r="K1043" s="2996">
        <f t="shared" si="174"/>
        <v>1</v>
      </c>
      <c r="L1043" s="2994"/>
      <c r="M1043" s="2996">
        <f t="shared" si="175"/>
        <v>1</v>
      </c>
      <c r="N1043" s="2994"/>
      <c r="O1043" s="2996">
        <f t="shared" si="176"/>
        <v>1</v>
      </c>
      <c r="P1043" s="2994"/>
      <c r="Q1043" s="2996">
        <f t="shared" si="177"/>
        <v>1</v>
      </c>
      <c r="R1043" s="2997">
        <f t="shared" ca="1" si="178"/>
        <v>17260</v>
      </c>
      <c r="S1043" s="2962">
        <f t="shared" ca="1" si="179"/>
        <v>105</v>
      </c>
    </row>
    <row r="1044" spans="1:19">
      <c r="A1044" s="2992" t="str">
        <f>Sheet1!F1025</f>
        <v>4-1310</v>
      </c>
      <c r="B1044" s="2992">
        <f>Sheet1!G1025</f>
        <v>60.69</v>
      </c>
      <c r="C1044" s="2996">
        <f t="shared" si="170"/>
        <v>1</v>
      </c>
      <c r="D1044" s="2994"/>
      <c r="E1044" s="2996">
        <f t="shared" si="171"/>
        <v>1</v>
      </c>
      <c r="F1044" s="2994"/>
      <c r="G1044" s="2996">
        <f t="shared" si="172"/>
        <v>1</v>
      </c>
      <c r="H1044" s="2994"/>
      <c r="I1044" s="2996">
        <f t="shared" si="173"/>
        <v>1</v>
      </c>
      <c r="J1044" s="2994"/>
      <c r="K1044" s="2996">
        <f t="shared" si="174"/>
        <v>1</v>
      </c>
      <c r="L1044" s="2994"/>
      <c r="M1044" s="2996">
        <f t="shared" si="175"/>
        <v>1</v>
      </c>
      <c r="N1044" s="2994"/>
      <c r="O1044" s="2996">
        <f t="shared" si="176"/>
        <v>1</v>
      </c>
      <c r="P1044" s="2994"/>
      <c r="Q1044" s="2996">
        <f t="shared" si="177"/>
        <v>1</v>
      </c>
      <c r="R1044" s="2997">
        <f t="shared" ca="1" si="178"/>
        <v>17260</v>
      </c>
      <c r="S1044" s="2962">
        <f t="shared" ca="1" si="179"/>
        <v>105</v>
      </c>
    </row>
    <row r="1045" spans="1:19">
      <c r="A1045" s="2992" t="str">
        <f>Sheet1!F1026</f>
        <v>4-1311</v>
      </c>
      <c r="B1045" s="2992">
        <f>Sheet1!G1026</f>
        <v>60.69</v>
      </c>
      <c r="C1045" s="2996">
        <f t="shared" si="170"/>
        <v>1</v>
      </c>
      <c r="D1045" s="2994"/>
      <c r="E1045" s="2996">
        <f t="shared" si="171"/>
        <v>1</v>
      </c>
      <c r="F1045" s="2994"/>
      <c r="G1045" s="2996">
        <f t="shared" si="172"/>
        <v>1</v>
      </c>
      <c r="H1045" s="2994"/>
      <c r="I1045" s="2996">
        <f t="shared" si="173"/>
        <v>1</v>
      </c>
      <c r="J1045" s="2994"/>
      <c r="K1045" s="2996">
        <f t="shared" si="174"/>
        <v>1</v>
      </c>
      <c r="L1045" s="2994"/>
      <c r="M1045" s="2996">
        <f t="shared" si="175"/>
        <v>1</v>
      </c>
      <c r="N1045" s="2994"/>
      <c r="O1045" s="2996">
        <f t="shared" si="176"/>
        <v>1</v>
      </c>
      <c r="P1045" s="2994"/>
      <c r="Q1045" s="2996">
        <f t="shared" si="177"/>
        <v>1</v>
      </c>
      <c r="R1045" s="2997">
        <f t="shared" ca="1" si="178"/>
        <v>17260</v>
      </c>
      <c r="S1045" s="2962">
        <f t="shared" ca="1" si="179"/>
        <v>105</v>
      </c>
    </row>
    <row r="1046" spans="1:19">
      <c r="A1046" s="2992" t="str">
        <f>Sheet1!F1027</f>
        <v>4-1312</v>
      </c>
      <c r="B1046" s="2992">
        <f>Sheet1!G1027</f>
        <v>54.3</v>
      </c>
      <c r="C1046" s="2996">
        <f t="shared" si="170"/>
        <v>1</v>
      </c>
      <c r="D1046" s="2994"/>
      <c r="E1046" s="2996">
        <f t="shared" si="171"/>
        <v>1</v>
      </c>
      <c r="F1046" s="2994"/>
      <c r="G1046" s="2996">
        <f t="shared" si="172"/>
        <v>1</v>
      </c>
      <c r="H1046" s="2994"/>
      <c r="I1046" s="2996">
        <f t="shared" si="173"/>
        <v>1</v>
      </c>
      <c r="J1046" s="2994"/>
      <c r="K1046" s="2996">
        <f t="shared" si="174"/>
        <v>1</v>
      </c>
      <c r="L1046" s="2994"/>
      <c r="M1046" s="2996">
        <f t="shared" si="175"/>
        <v>1</v>
      </c>
      <c r="N1046" s="2994"/>
      <c r="O1046" s="2996">
        <f t="shared" si="176"/>
        <v>1</v>
      </c>
      <c r="P1046" s="2994"/>
      <c r="Q1046" s="2996">
        <f t="shared" si="177"/>
        <v>1</v>
      </c>
      <c r="R1046" s="2997">
        <f t="shared" ca="1" si="178"/>
        <v>17260</v>
      </c>
      <c r="S1046" s="2962">
        <f t="shared" ca="1" si="179"/>
        <v>94</v>
      </c>
    </row>
    <row r="1047" spans="1:19">
      <c r="A1047" s="2992" t="str">
        <f>Sheet1!F1028</f>
        <v>4-1313</v>
      </c>
      <c r="B1047" s="2992">
        <f>Sheet1!G1028</f>
        <v>60.68</v>
      </c>
      <c r="C1047" s="2996">
        <f t="shared" si="170"/>
        <v>1</v>
      </c>
      <c r="D1047" s="2994"/>
      <c r="E1047" s="2996">
        <f t="shared" si="171"/>
        <v>1</v>
      </c>
      <c r="F1047" s="2994"/>
      <c r="G1047" s="2996">
        <f t="shared" si="172"/>
        <v>1</v>
      </c>
      <c r="H1047" s="2994"/>
      <c r="I1047" s="2996">
        <f t="shared" si="173"/>
        <v>1</v>
      </c>
      <c r="J1047" s="2994"/>
      <c r="K1047" s="2996">
        <f t="shared" si="174"/>
        <v>1</v>
      </c>
      <c r="L1047" s="2994"/>
      <c r="M1047" s="2996">
        <f t="shared" si="175"/>
        <v>1</v>
      </c>
      <c r="N1047" s="2994"/>
      <c r="O1047" s="2996">
        <f t="shared" si="176"/>
        <v>1</v>
      </c>
      <c r="P1047" s="2994"/>
      <c r="Q1047" s="2996">
        <f t="shared" si="177"/>
        <v>1</v>
      </c>
      <c r="R1047" s="2997">
        <f t="shared" ca="1" si="178"/>
        <v>17260</v>
      </c>
      <c r="S1047" s="2962">
        <f t="shared" ca="1" si="179"/>
        <v>105</v>
      </c>
    </row>
    <row r="1048" spans="1:19">
      <c r="A1048" s="2992" t="str">
        <f>Sheet1!F1029</f>
        <v>4-1314</v>
      </c>
      <c r="B1048" s="2992">
        <f>Sheet1!G1029</f>
        <v>80.459999999999994</v>
      </c>
      <c r="C1048" s="2996">
        <f t="shared" si="170"/>
        <v>1</v>
      </c>
      <c r="D1048" s="2994"/>
      <c r="E1048" s="2996">
        <f t="shared" si="171"/>
        <v>1</v>
      </c>
      <c r="F1048" s="2994"/>
      <c r="G1048" s="2996">
        <f t="shared" si="172"/>
        <v>1</v>
      </c>
      <c r="H1048" s="2994"/>
      <c r="I1048" s="2996">
        <f t="shared" si="173"/>
        <v>1</v>
      </c>
      <c r="J1048" s="2994"/>
      <c r="K1048" s="2996">
        <f t="shared" si="174"/>
        <v>1</v>
      </c>
      <c r="L1048" s="2994"/>
      <c r="M1048" s="2996">
        <f t="shared" si="175"/>
        <v>1</v>
      </c>
      <c r="N1048" s="2994"/>
      <c r="O1048" s="2996">
        <f t="shared" si="176"/>
        <v>1</v>
      </c>
      <c r="P1048" s="2994"/>
      <c r="Q1048" s="2996">
        <f t="shared" si="177"/>
        <v>1</v>
      </c>
      <c r="R1048" s="2997">
        <f t="shared" ca="1" si="178"/>
        <v>17260</v>
      </c>
      <c r="S1048" s="2962">
        <f t="shared" ca="1" si="179"/>
        <v>139</v>
      </c>
    </row>
    <row r="1049" spans="1:19">
      <c r="A1049" s="2992" t="str">
        <f>Sheet1!F1030</f>
        <v>4-1315</v>
      </c>
      <c r="B1049" s="2992">
        <f>Sheet1!G1030</f>
        <v>80.45</v>
      </c>
      <c r="C1049" s="2996">
        <f t="shared" si="170"/>
        <v>1</v>
      </c>
      <c r="D1049" s="2994"/>
      <c r="E1049" s="2996">
        <f t="shared" si="171"/>
        <v>1</v>
      </c>
      <c r="F1049" s="2994"/>
      <c r="G1049" s="2996">
        <f t="shared" si="172"/>
        <v>1</v>
      </c>
      <c r="H1049" s="2994"/>
      <c r="I1049" s="2996">
        <f t="shared" si="173"/>
        <v>1</v>
      </c>
      <c r="J1049" s="2994"/>
      <c r="K1049" s="2996">
        <f t="shared" si="174"/>
        <v>1</v>
      </c>
      <c r="L1049" s="2994"/>
      <c r="M1049" s="2996">
        <f t="shared" si="175"/>
        <v>1</v>
      </c>
      <c r="N1049" s="2994"/>
      <c r="O1049" s="2996">
        <f t="shared" si="176"/>
        <v>1</v>
      </c>
      <c r="P1049" s="2994"/>
      <c r="Q1049" s="2996">
        <f t="shared" si="177"/>
        <v>1</v>
      </c>
      <c r="R1049" s="2997">
        <f t="shared" ca="1" si="178"/>
        <v>17260</v>
      </c>
      <c r="S1049" s="2962">
        <f t="shared" ca="1" si="179"/>
        <v>139</v>
      </c>
    </row>
    <row r="1050" spans="1:19">
      <c r="A1050" s="2992" t="str">
        <f>Sheet1!F1031</f>
        <v>4-1316</v>
      </c>
      <c r="B1050" s="2992">
        <f>Sheet1!G1031</f>
        <v>60.69</v>
      </c>
      <c r="C1050" s="2996">
        <f t="shared" si="170"/>
        <v>1</v>
      </c>
      <c r="D1050" s="2994"/>
      <c r="E1050" s="2996">
        <f t="shared" si="171"/>
        <v>1</v>
      </c>
      <c r="F1050" s="2994"/>
      <c r="G1050" s="2996">
        <f t="shared" si="172"/>
        <v>1</v>
      </c>
      <c r="H1050" s="2994"/>
      <c r="I1050" s="2996">
        <f t="shared" si="173"/>
        <v>1</v>
      </c>
      <c r="J1050" s="2994"/>
      <c r="K1050" s="2996">
        <f t="shared" si="174"/>
        <v>1</v>
      </c>
      <c r="L1050" s="2994"/>
      <c r="M1050" s="2996">
        <f t="shared" si="175"/>
        <v>1</v>
      </c>
      <c r="N1050" s="2994"/>
      <c r="O1050" s="2996">
        <f t="shared" si="176"/>
        <v>1</v>
      </c>
      <c r="P1050" s="2994"/>
      <c r="Q1050" s="2996">
        <f t="shared" si="177"/>
        <v>1</v>
      </c>
      <c r="R1050" s="2997">
        <f t="shared" ca="1" si="178"/>
        <v>17260</v>
      </c>
      <c r="S1050" s="2962">
        <f t="shared" ca="1" si="179"/>
        <v>105</v>
      </c>
    </row>
    <row r="1051" spans="1:19">
      <c r="A1051" s="2992" t="str">
        <f>Sheet1!F1032</f>
        <v>4-1317</v>
      </c>
      <c r="B1051" s="2992">
        <f>Sheet1!G1032</f>
        <v>60.69</v>
      </c>
      <c r="C1051" s="2996">
        <f t="shared" si="170"/>
        <v>1</v>
      </c>
      <c r="D1051" s="2994"/>
      <c r="E1051" s="2996">
        <f t="shared" si="171"/>
        <v>1</v>
      </c>
      <c r="F1051" s="2994"/>
      <c r="G1051" s="2996">
        <f t="shared" si="172"/>
        <v>1</v>
      </c>
      <c r="H1051" s="2994"/>
      <c r="I1051" s="2996">
        <f t="shared" si="173"/>
        <v>1</v>
      </c>
      <c r="J1051" s="2994"/>
      <c r="K1051" s="2996">
        <f t="shared" si="174"/>
        <v>1</v>
      </c>
      <c r="L1051" s="2994"/>
      <c r="M1051" s="2996">
        <f t="shared" si="175"/>
        <v>1</v>
      </c>
      <c r="N1051" s="2994"/>
      <c r="O1051" s="2996">
        <f t="shared" si="176"/>
        <v>1</v>
      </c>
      <c r="P1051" s="2994"/>
      <c r="Q1051" s="2996">
        <f t="shared" si="177"/>
        <v>1</v>
      </c>
      <c r="R1051" s="2997">
        <f t="shared" ca="1" si="178"/>
        <v>17260</v>
      </c>
      <c r="S1051" s="2962">
        <f t="shared" ca="1" si="179"/>
        <v>105</v>
      </c>
    </row>
    <row r="1052" spans="1:19">
      <c r="A1052" s="2992" t="str">
        <f>Sheet1!F1033</f>
        <v>4-1318</v>
      </c>
      <c r="B1052" s="2992">
        <f>Sheet1!G1033</f>
        <v>60.68</v>
      </c>
      <c r="C1052" s="2996">
        <f t="shared" si="170"/>
        <v>1</v>
      </c>
      <c r="D1052" s="2994"/>
      <c r="E1052" s="2996">
        <f t="shared" si="171"/>
        <v>1</v>
      </c>
      <c r="F1052" s="2994"/>
      <c r="G1052" s="2996">
        <f t="shared" si="172"/>
        <v>1</v>
      </c>
      <c r="H1052" s="2994"/>
      <c r="I1052" s="2996">
        <f t="shared" si="173"/>
        <v>1</v>
      </c>
      <c r="J1052" s="2994"/>
      <c r="K1052" s="2996">
        <f t="shared" si="174"/>
        <v>1</v>
      </c>
      <c r="L1052" s="2994"/>
      <c r="M1052" s="2996">
        <f t="shared" si="175"/>
        <v>1</v>
      </c>
      <c r="N1052" s="2994"/>
      <c r="O1052" s="2996">
        <f t="shared" si="176"/>
        <v>1</v>
      </c>
      <c r="P1052" s="2994"/>
      <c r="Q1052" s="2996">
        <f t="shared" si="177"/>
        <v>1</v>
      </c>
      <c r="R1052" s="2997">
        <f t="shared" ca="1" si="178"/>
        <v>17260</v>
      </c>
      <c r="S1052" s="2962">
        <f t="shared" ca="1" si="179"/>
        <v>105</v>
      </c>
    </row>
    <row r="1053" spans="1:19">
      <c r="A1053" s="2992" t="str">
        <f>Sheet1!F1034</f>
        <v>4-1319</v>
      </c>
      <c r="B1053" s="2992">
        <f>Sheet1!G1034</f>
        <v>60.69</v>
      </c>
      <c r="C1053" s="2996">
        <f t="shared" si="170"/>
        <v>1</v>
      </c>
      <c r="D1053" s="2994"/>
      <c r="E1053" s="2996">
        <f t="shared" si="171"/>
        <v>1</v>
      </c>
      <c r="F1053" s="2994"/>
      <c r="G1053" s="2996">
        <f t="shared" si="172"/>
        <v>1</v>
      </c>
      <c r="H1053" s="2994"/>
      <c r="I1053" s="2996">
        <f t="shared" si="173"/>
        <v>1</v>
      </c>
      <c r="J1053" s="2994"/>
      <c r="K1053" s="2996">
        <f t="shared" si="174"/>
        <v>1</v>
      </c>
      <c r="L1053" s="2994"/>
      <c r="M1053" s="2996">
        <f t="shared" si="175"/>
        <v>1</v>
      </c>
      <c r="N1053" s="2994"/>
      <c r="O1053" s="2996">
        <f t="shared" si="176"/>
        <v>1</v>
      </c>
      <c r="P1053" s="2994"/>
      <c r="Q1053" s="2996">
        <f t="shared" si="177"/>
        <v>1</v>
      </c>
      <c r="R1053" s="2997">
        <f t="shared" ca="1" si="178"/>
        <v>17260</v>
      </c>
      <c r="S1053" s="2962">
        <f t="shared" ca="1" si="179"/>
        <v>105</v>
      </c>
    </row>
    <row r="1054" spans="1:19">
      <c r="A1054" s="2992" t="str">
        <f>Sheet1!F1035</f>
        <v>4-1320</v>
      </c>
      <c r="B1054" s="2992">
        <f>Sheet1!G1035</f>
        <v>60.69</v>
      </c>
      <c r="C1054" s="2996">
        <f t="shared" si="170"/>
        <v>1</v>
      </c>
      <c r="D1054" s="2994"/>
      <c r="E1054" s="2996">
        <f t="shared" si="171"/>
        <v>1</v>
      </c>
      <c r="F1054" s="2994"/>
      <c r="G1054" s="2996">
        <f t="shared" si="172"/>
        <v>1</v>
      </c>
      <c r="H1054" s="2994"/>
      <c r="I1054" s="2996">
        <f t="shared" si="173"/>
        <v>1</v>
      </c>
      <c r="J1054" s="2994"/>
      <c r="K1054" s="2996">
        <f t="shared" si="174"/>
        <v>1</v>
      </c>
      <c r="L1054" s="2994"/>
      <c r="M1054" s="2996">
        <f t="shared" si="175"/>
        <v>1</v>
      </c>
      <c r="N1054" s="2994"/>
      <c r="O1054" s="2996">
        <f t="shared" si="176"/>
        <v>1</v>
      </c>
      <c r="P1054" s="2994"/>
      <c r="Q1054" s="2996">
        <f t="shared" si="177"/>
        <v>1</v>
      </c>
      <c r="R1054" s="2997">
        <f t="shared" ca="1" si="178"/>
        <v>17260</v>
      </c>
      <c r="S1054" s="2962">
        <f t="shared" ca="1" si="179"/>
        <v>105</v>
      </c>
    </row>
    <row r="1055" spans="1:19">
      <c r="A1055" s="2992" t="str">
        <f>Sheet1!F1036</f>
        <v>4-1321</v>
      </c>
      <c r="B1055" s="2992">
        <f>Sheet1!G1036</f>
        <v>60.69</v>
      </c>
      <c r="C1055" s="2996">
        <f t="shared" si="170"/>
        <v>1</v>
      </c>
      <c r="D1055" s="2994"/>
      <c r="E1055" s="2996">
        <f t="shared" si="171"/>
        <v>1</v>
      </c>
      <c r="F1055" s="2994"/>
      <c r="G1055" s="2996">
        <f t="shared" si="172"/>
        <v>1</v>
      </c>
      <c r="H1055" s="2994"/>
      <c r="I1055" s="2996">
        <f t="shared" si="173"/>
        <v>1</v>
      </c>
      <c r="J1055" s="2994"/>
      <c r="K1055" s="2996">
        <f t="shared" si="174"/>
        <v>1</v>
      </c>
      <c r="L1055" s="2994"/>
      <c r="M1055" s="2996">
        <f t="shared" si="175"/>
        <v>1</v>
      </c>
      <c r="N1055" s="2994"/>
      <c r="O1055" s="2996">
        <f t="shared" si="176"/>
        <v>1</v>
      </c>
      <c r="P1055" s="2994"/>
      <c r="Q1055" s="2996">
        <f t="shared" si="177"/>
        <v>1</v>
      </c>
      <c r="R1055" s="2997">
        <f t="shared" ca="1" si="178"/>
        <v>17260</v>
      </c>
      <c r="S1055" s="2962">
        <f t="shared" ca="1" si="179"/>
        <v>105</v>
      </c>
    </row>
    <row r="1056" spans="1:19">
      <c r="A1056" s="2992" t="str">
        <f>Sheet1!F1037</f>
        <v>4-1322</v>
      </c>
      <c r="B1056" s="2992">
        <f>Sheet1!G1037</f>
        <v>60.69</v>
      </c>
      <c r="C1056" s="2996">
        <f t="shared" si="170"/>
        <v>1</v>
      </c>
      <c r="D1056" s="2994"/>
      <c r="E1056" s="2996">
        <f t="shared" si="171"/>
        <v>1</v>
      </c>
      <c r="F1056" s="2994"/>
      <c r="G1056" s="2996">
        <f t="shared" si="172"/>
        <v>1</v>
      </c>
      <c r="H1056" s="2994"/>
      <c r="I1056" s="2996">
        <f t="shared" si="173"/>
        <v>1</v>
      </c>
      <c r="J1056" s="2994"/>
      <c r="K1056" s="2996">
        <f t="shared" si="174"/>
        <v>1</v>
      </c>
      <c r="L1056" s="2994"/>
      <c r="M1056" s="2996">
        <f t="shared" si="175"/>
        <v>1</v>
      </c>
      <c r="N1056" s="2994"/>
      <c r="O1056" s="2996">
        <f t="shared" si="176"/>
        <v>1</v>
      </c>
      <c r="P1056" s="2994"/>
      <c r="Q1056" s="2996">
        <f t="shared" si="177"/>
        <v>1</v>
      </c>
      <c r="R1056" s="2997">
        <f t="shared" ca="1" si="178"/>
        <v>17260</v>
      </c>
      <c r="S1056" s="2962">
        <f t="shared" ca="1" si="179"/>
        <v>105</v>
      </c>
    </row>
    <row r="1057" spans="1:19">
      <c r="A1057" s="2992" t="str">
        <f>Sheet1!F1038</f>
        <v>4-1323</v>
      </c>
      <c r="B1057" s="2992">
        <f>Sheet1!G1038</f>
        <v>60.69</v>
      </c>
      <c r="C1057" s="2996">
        <f t="shared" si="170"/>
        <v>1</v>
      </c>
      <c r="D1057" s="2994"/>
      <c r="E1057" s="2996">
        <f t="shared" si="171"/>
        <v>1</v>
      </c>
      <c r="F1057" s="2994"/>
      <c r="G1057" s="2996">
        <f t="shared" si="172"/>
        <v>1</v>
      </c>
      <c r="H1057" s="2994"/>
      <c r="I1057" s="2996">
        <f t="shared" si="173"/>
        <v>1</v>
      </c>
      <c r="J1057" s="2994"/>
      <c r="K1057" s="2996">
        <f t="shared" si="174"/>
        <v>1</v>
      </c>
      <c r="L1057" s="2994"/>
      <c r="M1057" s="2996">
        <f t="shared" si="175"/>
        <v>1</v>
      </c>
      <c r="N1057" s="2994"/>
      <c r="O1057" s="2996">
        <f t="shared" si="176"/>
        <v>1</v>
      </c>
      <c r="P1057" s="2994"/>
      <c r="Q1057" s="2996">
        <f t="shared" si="177"/>
        <v>1</v>
      </c>
      <c r="R1057" s="2997">
        <f t="shared" ca="1" si="178"/>
        <v>17260</v>
      </c>
      <c r="S1057" s="2962">
        <f t="shared" ca="1" si="179"/>
        <v>105</v>
      </c>
    </row>
    <row r="1058" spans="1:19">
      <c r="A1058" s="2992" t="str">
        <f>Sheet1!F1039</f>
        <v>4-1324</v>
      </c>
      <c r="B1058" s="2992">
        <f>Sheet1!G1039</f>
        <v>60.69</v>
      </c>
      <c r="C1058" s="2996">
        <f t="shared" si="170"/>
        <v>1</v>
      </c>
      <c r="D1058" s="2994"/>
      <c r="E1058" s="2996">
        <f t="shared" si="171"/>
        <v>1</v>
      </c>
      <c r="F1058" s="2994"/>
      <c r="G1058" s="2996">
        <f t="shared" si="172"/>
        <v>1</v>
      </c>
      <c r="H1058" s="2994"/>
      <c r="I1058" s="2996">
        <f t="shared" si="173"/>
        <v>1</v>
      </c>
      <c r="J1058" s="2994"/>
      <c r="K1058" s="2996">
        <f t="shared" si="174"/>
        <v>1</v>
      </c>
      <c r="L1058" s="2994"/>
      <c r="M1058" s="2996">
        <f t="shared" si="175"/>
        <v>1</v>
      </c>
      <c r="N1058" s="2994"/>
      <c r="O1058" s="2996">
        <f t="shared" si="176"/>
        <v>1</v>
      </c>
      <c r="P1058" s="2994"/>
      <c r="Q1058" s="2996">
        <f t="shared" si="177"/>
        <v>1</v>
      </c>
      <c r="R1058" s="2997">
        <f t="shared" ca="1" si="178"/>
        <v>17260</v>
      </c>
      <c r="S1058" s="2962">
        <f t="shared" ca="1" si="179"/>
        <v>105</v>
      </c>
    </row>
    <row r="1059" spans="1:19">
      <c r="A1059" s="2992" t="str">
        <f>Sheet1!F1040</f>
        <v>4-1325</v>
      </c>
      <c r="B1059" s="2992">
        <f>Sheet1!G1040</f>
        <v>60.69</v>
      </c>
      <c r="C1059" s="2996">
        <f t="shared" si="170"/>
        <v>1</v>
      </c>
      <c r="D1059" s="2994"/>
      <c r="E1059" s="2996">
        <f t="shared" si="171"/>
        <v>1</v>
      </c>
      <c r="F1059" s="2994"/>
      <c r="G1059" s="2996">
        <f t="shared" si="172"/>
        <v>1</v>
      </c>
      <c r="H1059" s="2994"/>
      <c r="I1059" s="2996">
        <f t="shared" si="173"/>
        <v>1</v>
      </c>
      <c r="J1059" s="2994"/>
      <c r="K1059" s="2996">
        <f t="shared" si="174"/>
        <v>1</v>
      </c>
      <c r="L1059" s="2994"/>
      <c r="M1059" s="2996">
        <f t="shared" si="175"/>
        <v>1</v>
      </c>
      <c r="N1059" s="2994"/>
      <c r="O1059" s="2996">
        <f t="shared" si="176"/>
        <v>1</v>
      </c>
      <c r="P1059" s="2994"/>
      <c r="Q1059" s="2996">
        <f t="shared" si="177"/>
        <v>1</v>
      </c>
      <c r="R1059" s="2997">
        <f t="shared" ca="1" si="178"/>
        <v>17260</v>
      </c>
      <c r="S1059" s="2962">
        <f t="shared" ca="1" si="179"/>
        <v>105</v>
      </c>
    </row>
    <row r="1060" spans="1:19">
      <c r="A1060" s="2992" t="str">
        <f>Sheet1!F1041</f>
        <v>4-1326</v>
      </c>
      <c r="B1060" s="2992">
        <f>Sheet1!G1041</f>
        <v>60.69</v>
      </c>
      <c r="C1060" s="2996">
        <f t="shared" si="170"/>
        <v>1</v>
      </c>
      <c r="D1060" s="2994"/>
      <c r="E1060" s="2996">
        <f t="shared" si="171"/>
        <v>1</v>
      </c>
      <c r="F1060" s="2994"/>
      <c r="G1060" s="2996">
        <f t="shared" si="172"/>
        <v>1</v>
      </c>
      <c r="H1060" s="2994"/>
      <c r="I1060" s="2996">
        <f t="shared" si="173"/>
        <v>1</v>
      </c>
      <c r="J1060" s="2994"/>
      <c r="K1060" s="2996">
        <f t="shared" si="174"/>
        <v>1</v>
      </c>
      <c r="L1060" s="2994"/>
      <c r="M1060" s="2996">
        <f t="shared" si="175"/>
        <v>1</v>
      </c>
      <c r="N1060" s="2994"/>
      <c r="O1060" s="2996">
        <f t="shared" si="176"/>
        <v>1</v>
      </c>
      <c r="P1060" s="2994"/>
      <c r="Q1060" s="2996">
        <f t="shared" si="177"/>
        <v>1</v>
      </c>
      <c r="R1060" s="2997">
        <f t="shared" ca="1" si="178"/>
        <v>17260</v>
      </c>
      <c r="S1060" s="2962">
        <f t="shared" ca="1" si="179"/>
        <v>105</v>
      </c>
    </row>
    <row r="1061" spans="1:19">
      <c r="A1061" s="2992" t="str">
        <f>Sheet1!F1042</f>
        <v>4-1327</v>
      </c>
      <c r="B1061" s="2992">
        <f>Sheet1!G1042</f>
        <v>104.53</v>
      </c>
      <c r="C1061" s="2996">
        <f t="shared" si="170"/>
        <v>0.99</v>
      </c>
      <c r="D1061" s="2994"/>
      <c r="E1061" s="2996">
        <f t="shared" si="171"/>
        <v>1</v>
      </c>
      <c r="F1061" s="2994"/>
      <c r="G1061" s="2996">
        <f t="shared" si="172"/>
        <v>1</v>
      </c>
      <c r="H1061" s="2994"/>
      <c r="I1061" s="2996">
        <f t="shared" si="173"/>
        <v>1</v>
      </c>
      <c r="J1061" s="2994"/>
      <c r="K1061" s="2996">
        <f t="shared" si="174"/>
        <v>1</v>
      </c>
      <c r="L1061" s="2994"/>
      <c r="M1061" s="2996">
        <f t="shared" si="175"/>
        <v>1</v>
      </c>
      <c r="N1061" s="2994"/>
      <c r="O1061" s="2996">
        <f t="shared" si="176"/>
        <v>1</v>
      </c>
      <c r="P1061" s="2994"/>
      <c r="Q1061" s="2996">
        <f t="shared" si="177"/>
        <v>1</v>
      </c>
      <c r="R1061" s="2997">
        <f t="shared" ca="1" si="178"/>
        <v>17087</v>
      </c>
      <c r="S1061" s="2962">
        <f t="shared" ca="1" si="179"/>
        <v>179</v>
      </c>
    </row>
    <row r="1062" spans="1:19">
      <c r="A1062" s="2992" t="str">
        <f>Sheet1!F1043</f>
        <v>4-1328</v>
      </c>
      <c r="B1062" s="2992">
        <f>Sheet1!G1043</f>
        <v>55.78</v>
      </c>
      <c r="C1062" s="2996">
        <f t="shared" si="170"/>
        <v>1</v>
      </c>
      <c r="D1062" s="2994"/>
      <c r="E1062" s="2996">
        <f t="shared" si="171"/>
        <v>1</v>
      </c>
      <c r="F1062" s="2994"/>
      <c r="G1062" s="2996">
        <f t="shared" si="172"/>
        <v>1</v>
      </c>
      <c r="H1062" s="2994"/>
      <c r="I1062" s="2996">
        <f t="shared" si="173"/>
        <v>1</v>
      </c>
      <c r="J1062" s="2994"/>
      <c r="K1062" s="2996">
        <f t="shared" si="174"/>
        <v>1</v>
      </c>
      <c r="L1062" s="2994"/>
      <c r="M1062" s="2996">
        <f t="shared" si="175"/>
        <v>1</v>
      </c>
      <c r="N1062" s="2994"/>
      <c r="O1062" s="2996">
        <f t="shared" si="176"/>
        <v>1</v>
      </c>
      <c r="P1062" s="2994"/>
      <c r="Q1062" s="2996">
        <f t="shared" si="177"/>
        <v>1</v>
      </c>
      <c r="R1062" s="2997">
        <f t="shared" ca="1" si="178"/>
        <v>17260</v>
      </c>
      <c r="S1062" s="2962">
        <f t="shared" ca="1" si="179"/>
        <v>96</v>
      </c>
    </row>
    <row r="1063" spans="1:19">
      <c r="A1063" s="2992" t="str">
        <f>Sheet1!F1044</f>
        <v>4-1329</v>
      </c>
      <c r="B1063" s="2992">
        <f>Sheet1!G1044</f>
        <v>48.86</v>
      </c>
      <c r="C1063" s="2996">
        <f t="shared" si="170"/>
        <v>1</v>
      </c>
      <c r="D1063" s="2994"/>
      <c r="E1063" s="2996">
        <f t="shared" si="171"/>
        <v>1</v>
      </c>
      <c r="F1063" s="2994"/>
      <c r="G1063" s="2996">
        <f t="shared" si="172"/>
        <v>1</v>
      </c>
      <c r="H1063" s="2994"/>
      <c r="I1063" s="2996">
        <f t="shared" si="173"/>
        <v>1</v>
      </c>
      <c r="J1063" s="2994"/>
      <c r="K1063" s="2996">
        <f t="shared" si="174"/>
        <v>1</v>
      </c>
      <c r="L1063" s="2994"/>
      <c r="M1063" s="2996">
        <f t="shared" si="175"/>
        <v>1</v>
      </c>
      <c r="N1063" s="2994"/>
      <c r="O1063" s="2996">
        <f t="shared" si="176"/>
        <v>1</v>
      </c>
      <c r="P1063" s="2994"/>
      <c r="Q1063" s="2996">
        <f t="shared" si="177"/>
        <v>1</v>
      </c>
      <c r="R1063" s="2997">
        <f t="shared" ca="1" si="178"/>
        <v>17260</v>
      </c>
      <c r="S1063" s="2962">
        <f t="shared" ca="1" si="179"/>
        <v>84</v>
      </c>
    </row>
    <row r="1064" spans="1:19">
      <c r="A1064" s="2992" t="str">
        <f>Sheet1!F1045</f>
        <v>4-1330</v>
      </c>
      <c r="B1064" s="2992">
        <f>Sheet1!G1045</f>
        <v>48.86</v>
      </c>
      <c r="C1064" s="2996">
        <f t="shared" si="170"/>
        <v>1</v>
      </c>
      <c r="D1064" s="2994"/>
      <c r="E1064" s="2996">
        <f t="shared" si="171"/>
        <v>1</v>
      </c>
      <c r="F1064" s="2994"/>
      <c r="G1064" s="2996">
        <f t="shared" si="172"/>
        <v>1</v>
      </c>
      <c r="H1064" s="2994"/>
      <c r="I1064" s="2996">
        <f t="shared" si="173"/>
        <v>1</v>
      </c>
      <c r="J1064" s="2994"/>
      <c r="K1064" s="2996">
        <f t="shared" si="174"/>
        <v>1</v>
      </c>
      <c r="L1064" s="2994"/>
      <c r="M1064" s="2996">
        <f t="shared" si="175"/>
        <v>1</v>
      </c>
      <c r="N1064" s="2994"/>
      <c r="O1064" s="2996">
        <f t="shared" si="176"/>
        <v>1</v>
      </c>
      <c r="P1064" s="2994"/>
      <c r="Q1064" s="2996">
        <f t="shared" si="177"/>
        <v>1</v>
      </c>
      <c r="R1064" s="2997">
        <f t="shared" ca="1" si="178"/>
        <v>17260</v>
      </c>
      <c r="S1064" s="2962">
        <f t="shared" ca="1" si="179"/>
        <v>84</v>
      </c>
    </row>
    <row r="1065" spans="1:19">
      <c r="A1065" s="2992" t="str">
        <f>Sheet1!F1046</f>
        <v>4-1331</v>
      </c>
      <c r="B1065" s="2992">
        <f>Sheet1!G1046</f>
        <v>48.86</v>
      </c>
      <c r="C1065" s="2996">
        <f t="shared" si="170"/>
        <v>1</v>
      </c>
      <c r="D1065" s="2994"/>
      <c r="E1065" s="2996">
        <f t="shared" si="171"/>
        <v>1</v>
      </c>
      <c r="F1065" s="2994"/>
      <c r="G1065" s="2996">
        <f t="shared" si="172"/>
        <v>1</v>
      </c>
      <c r="H1065" s="2994"/>
      <c r="I1065" s="2996">
        <f t="shared" si="173"/>
        <v>1</v>
      </c>
      <c r="J1065" s="2994"/>
      <c r="K1065" s="2996">
        <f t="shared" si="174"/>
        <v>1</v>
      </c>
      <c r="L1065" s="2994"/>
      <c r="M1065" s="2996">
        <f t="shared" si="175"/>
        <v>1</v>
      </c>
      <c r="N1065" s="2994"/>
      <c r="O1065" s="2996">
        <f t="shared" si="176"/>
        <v>1</v>
      </c>
      <c r="P1065" s="2994"/>
      <c r="Q1065" s="2996">
        <f t="shared" si="177"/>
        <v>1</v>
      </c>
      <c r="R1065" s="2997">
        <f t="shared" ca="1" si="178"/>
        <v>17260</v>
      </c>
      <c r="S1065" s="2962">
        <f t="shared" ca="1" si="179"/>
        <v>84</v>
      </c>
    </row>
    <row r="1066" spans="1:19">
      <c r="A1066" s="2992" t="str">
        <f>Sheet1!F1047</f>
        <v>4-1332</v>
      </c>
      <c r="B1066" s="2992">
        <f>Sheet1!G1047</f>
        <v>54.5</v>
      </c>
      <c r="C1066" s="2996">
        <f t="shared" si="170"/>
        <v>1</v>
      </c>
      <c r="D1066" s="2994"/>
      <c r="E1066" s="2996">
        <f t="shared" si="171"/>
        <v>1</v>
      </c>
      <c r="F1066" s="2994"/>
      <c r="G1066" s="2996">
        <f t="shared" si="172"/>
        <v>1</v>
      </c>
      <c r="H1066" s="2994"/>
      <c r="I1066" s="2996">
        <f t="shared" si="173"/>
        <v>1</v>
      </c>
      <c r="J1066" s="2994"/>
      <c r="K1066" s="2996">
        <f t="shared" si="174"/>
        <v>1</v>
      </c>
      <c r="L1066" s="2994"/>
      <c r="M1066" s="2996">
        <f t="shared" si="175"/>
        <v>1</v>
      </c>
      <c r="N1066" s="2994"/>
      <c r="O1066" s="2996">
        <f t="shared" si="176"/>
        <v>1</v>
      </c>
      <c r="P1066" s="2994"/>
      <c r="Q1066" s="2996">
        <f t="shared" si="177"/>
        <v>1</v>
      </c>
      <c r="R1066" s="2997">
        <f t="shared" ca="1" si="178"/>
        <v>17260</v>
      </c>
      <c r="S1066" s="2962">
        <f t="shared" ca="1" si="179"/>
        <v>94</v>
      </c>
    </row>
    <row r="1067" spans="1:19">
      <c r="A1067" s="2992" t="str">
        <f>Sheet1!F1048</f>
        <v>4-1333</v>
      </c>
      <c r="B1067" s="2992">
        <f>Sheet1!G1048</f>
        <v>64.58</v>
      </c>
      <c r="C1067" s="2996">
        <f t="shared" si="170"/>
        <v>1</v>
      </c>
      <c r="D1067" s="2994"/>
      <c r="E1067" s="2996">
        <f t="shared" si="171"/>
        <v>1</v>
      </c>
      <c r="F1067" s="2994"/>
      <c r="G1067" s="2996">
        <f t="shared" si="172"/>
        <v>1</v>
      </c>
      <c r="H1067" s="2994"/>
      <c r="I1067" s="2996">
        <f t="shared" si="173"/>
        <v>1</v>
      </c>
      <c r="J1067" s="2994"/>
      <c r="K1067" s="2996">
        <f t="shared" si="174"/>
        <v>1</v>
      </c>
      <c r="L1067" s="2994"/>
      <c r="M1067" s="2996">
        <f t="shared" si="175"/>
        <v>1</v>
      </c>
      <c r="N1067" s="2994"/>
      <c r="O1067" s="2996">
        <f t="shared" si="176"/>
        <v>1</v>
      </c>
      <c r="P1067" s="2994"/>
      <c r="Q1067" s="2996">
        <f t="shared" si="177"/>
        <v>1</v>
      </c>
      <c r="R1067" s="2997">
        <f t="shared" ca="1" si="178"/>
        <v>17260</v>
      </c>
      <c r="S1067" s="2962">
        <f t="shared" ca="1" si="179"/>
        <v>111</v>
      </c>
    </row>
    <row r="1068" spans="1:19">
      <c r="A1068" s="2992" t="str">
        <f>Sheet1!F1049</f>
        <v>4-1334</v>
      </c>
      <c r="B1068" s="2992">
        <f>Sheet1!G1049</f>
        <v>45.32</v>
      </c>
      <c r="C1068" s="2996">
        <f t="shared" si="170"/>
        <v>1</v>
      </c>
      <c r="D1068" s="2994"/>
      <c r="E1068" s="2996">
        <f t="shared" si="171"/>
        <v>1</v>
      </c>
      <c r="F1068" s="2994"/>
      <c r="G1068" s="2996">
        <f t="shared" si="172"/>
        <v>1</v>
      </c>
      <c r="H1068" s="2994"/>
      <c r="I1068" s="2996">
        <f t="shared" si="173"/>
        <v>1</v>
      </c>
      <c r="J1068" s="2994"/>
      <c r="K1068" s="2996">
        <f t="shared" si="174"/>
        <v>1</v>
      </c>
      <c r="L1068" s="2994"/>
      <c r="M1068" s="2996">
        <f t="shared" si="175"/>
        <v>1</v>
      </c>
      <c r="N1068" s="2994"/>
      <c r="O1068" s="2996">
        <f t="shared" si="176"/>
        <v>1</v>
      </c>
      <c r="P1068" s="2994"/>
      <c r="Q1068" s="2996">
        <f t="shared" si="177"/>
        <v>1</v>
      </c>
      <c r="R1068" s="2997">
        <f t="shared" ca="1" si="178"/>
        <v>17260</v>
      </c>
      <c r="S1068" s="2962">
        <f t="shared" ca="1" si="179"/>
        <v>78</v>
      </c>
    </row>
    <row r="1069" spans="1:19">
      <c r="A1069" s="2992" t="str">
        <f>Sheet1!F1050</f>
        <v>4-1335</v>
      </c>
      <c r="B1069" s="2992">
        <f>Sheet1!G1050</f>
        <v>45.2</v>
      </c>
      <c r="C1069" s="2996">
        <f t="shared" si="170"/>
        <v>1</v>
      </c>
      <c r="D1069" s="2994"/>
      <c r="E1069" s="2996">
        <f t="shared" si="171"/>
        <v>1</v>
      </c>
      <c r="F1069" s="2994"/>
      <c r="G1069" s="2996">
        <f t="shared" si="172"/>
        <v>1</v>
      </c>
      <c r="H1069" s="2994"/>
      <c r="I1069" s="2996">
        <f t="shared" si="173"/>
        <v>1</v>
      </c>
      <c r="J1069" s="2994"/>
      <c r="K1069" s="2996">
        <f t="shared" si="174"/>
        <v>1</v>
      </c>
      <c r="L1069" s="2994"/>
      <c r="M1069" s="2996">
        <f t="shared" si="175"/>
        <v>1</v>
      </c>
      <c r="N1069" s="2994"/>
      <c r="O1069" s="2996">
        <f t="shared" si="176"/>
        <v>1</v>
      </c>
      <c r="P1069" s="2994"/>
      <c r="Q1069" s="2996">
        <f t="shared" si="177"/>
        <v>1</v>
      </c>
      <c r="R1069" s="2997">
        <f t="shared" ca="1" si="178"/>
        <v>17260</v>
      </c>
      <c r="S1069" s="2962">
        <f t="shared" ca="1" si="179"/>
        <v>78</v>
      </c>
    </row>
    <row r="1070" spans="1:19">
      <c r="A1070" s="2992" t="str">
        <f>Sheet1!F1051</f>
        <v>4-1336</v>
      </c>
      <c r="B1070" s="2992">
        <f>Sheet1!G1051</f>
        <v>45.32</v>
      </c>
      <c r="C1070" s="2996">
        <f t="shared" si="170"/>
        <v>1</v>
      </c>
      <c r="D1070" s="2994"/>
      <c r="E1070" s="2996">
        <f t="shared" si="171"/>
        <v>1</v>
      </c>
      <c r="F1070" s="2994"/>
      <c r="G1070" s="2996">
        <f t="shared" si="172"/>
        <v>1</v>
      </c>
      <c r="H1070" s="2994"/>
      <c r="I1070" s="2996">
        <f t="shared" si="173"/>
        <v>1</v>
      </c>
      <c r="J1070" s="2994"/>
      <c r="K1070" s="2996">
        <f t="shared" si="174"/>
        <v>1</v>
      </c>
      <c r="L1070" s="2994"/>
      <c r="M1070" s="2996">
        <f t="shared" si="175"/>
        <v>1</v>
      </c>
      <c r="N1070" s="2994"/>
      <c r="O1070" s="2996">
        <f t="shared" si="176"/>
        <v>1</v>
      </c>
      <c r="P1070" s="2994"/>
      <c r="Q1070" s="2996">
        <f t="shared" si="177"/>
        <v>1</v>
      </c>
      <c r="R1070" s="2997">
        <f t="shared" ca="1" si="178"/>
        <v>17260</v>
      </c>
      <c r="S1070" s="2962">
        <f t="shared" ca="1" si="179"/>
        <v>78</v>
      </c>
    </row>
    <row r="1071" spans="1:19">
      <c r="A1071" s="2992" t="str">
        <f>Sheet1!F1052</f>
        <v>4-1337</v>
      </c>
      <c r="B1071" s="2992">
        <f>Sheet1!G1052</f>
        <v>45.32</v>
      </c>
      <c r="C1071" s="2996">
        <f t="shared" si="170"/>
        <v>1</v>
      </c>
      <c r="D1071" s="2994"/>
      <c r="E1071" s="2996">
        <f t="shared" si="171"/>
        <v>1</v>
      </c>
      <c r="F1071" s="2994"/>
      <c r="G1071" s="2996">
        <f t="shared" si="172"/>
        <v>1</v>
      </c>
      <c r="H1071" s="2994"/>
      <c r="I1071" s="2996">
        <f t="shared" si="173"/>
        <v>1</v>
      </c>
      <c r="J1071" s="2994"/>
      <c r="K1071" s="2996">
        <f t="shared" si="174"/>
        <v>1</v>
      </c>
      <c r="L1071" s="2994"/>
      <c r="M1071" s="2996">
        <f t="shared" si="175"/>
        <v>1</v>
      </c>
      <c r="N1071" s="2994"/>
      <c r="O1071" s="2996">
        <f t="shared" si="176"/>
        <v>1</v>
      </c>
      <c r="P1071" s="2994"/>
      <c r="Q1071" s="2996">
        <f t="shared" si="177"/>
        <v>1</v>
      </c>
      <c r="R1071" s="2997">
        <f t="shared" ca="1" si="178"/>
        <v>17260</v>
      </c>
      <c r="S1071" s="2962">
        <f t="shared" ca="1" si="179"/>
        <v>78</v>
      </c>
    </row>
    <row r="1072" spans="1:19">
      <c r="A1072" s="2992" t="str">
        <f>Sheet1!F1053</f>
        <v>4-1338</v>
      </c>
      <c r="B1072" s="2992">
        <f>Sheet1!G1053</f>
        <v>48.86</v>
      </c>
      <c r="C1072" s="2996">
        <f t="shared" si="170"/>
        <v>1</v>
      </c>
      <c r="D1072" s="2994"/>
      <c r="E1072" s="2996">
        <f t="shared" si="171"/>
        <v>1</v>
      </c>
      <c r="F1072" s="2994"/>
      <c r="G1072" s="2996">
        <f t="shared" si="172"/>
        <v>1</v>
      </c>
      <c r="H1072" s="2994"/>
      <c r="I1072" s="2996">
        <f t="shared" si="173"/>
        <v>1</v>
      </c>
      <c r="J1072" s="2994"/>
      <c r="K1072" s="2996">
        <f t="shared" si="174"/>
        <v>1</v>
      </c>
      <c r="L1072" s="2994"/>
      <c r="M1072" s="2996">
        <f t="shared" si="175"/>
        <v>1</v>
      </c>
      <c r="N1072" s="2994"/>
      <c r="O1072" s="2996">
        <f t="shared" si="176"/>
        <v>1</v>
      </c>
      <c r="P1072" s="2994"/>
      <c r="Q1072" s="2996">
        <f t="shared" si="177"/>
        <v>1</v>
      </c>
      <c r="R1072" s="2997">
        <f t="shared" ca="1" si="178"/>
        <v>17260</v>
      </c>
      <c r="S1072" s="2962">
        <f t="shared" ca="1" si="179"/>
        <v>84</v>
      </c>
    </row>
    <row r="1073" spans="1:19">
      <c r="A1073" s="2992" t="str">
        <f>Sheet1!F1054</f>
        <v>4-1339</v>
      </c>
      <c r="B1073" s="2992">
        <f>Sheet1!G1054</f>
        <v>44.51</v>
      </c>
      <c r="C1073" s="2996">
        <f t="shared" si="170"/>
        <v>1</v>
      </c>
      <c r="D1073" s="2994"/>
      <c r="E1073" s="2996">
        <f t="shared" si="171"/>
        <v>1</v>
      </c>
      <c r="F1073" s="2994"/>
      <c r="G1073" s="2996">
        <f t="shared" si="172"/>
        <v>1</v>
      </c>
      <c r="H1073" s="2994"/>
      <c r="I1073" s="2996">
        <f t="shared" si="173"/>
        <v>1</v>
      </c>
      <c r="J1073" s="2994"/>
      <c r="K1073" s="2996">
        <f t="shared" si="174"/>
        <v>1</v>
      </c>
      <c r="L1073" s="2994"/>
      <c r="M1073" s="2996">
        <f t="shared" si="175"/>
        <v>1</v>
      </c>
      <c r="N1073" s="2994"/>
      <c r="O1073" s="2996">
        <f t="shared" si="176"/>
        <v>1</v>
      </c>
      <c r="P1073" s="2994"/>
      <c r="Q1073" s="2996">
        <f t="shared" si="177"/>
        <v>1</v>
      </c>
      <c r="R1073" s="2997">
        <f t="shared" ca="1" si="178"/>
        <v>17260</v>
      </c>
      <c r="S1073" s="2962">
        <f t="shared" ca="1" si="179"/>
        <v>77</v>
      </c>
    </row>
    <row r="1074" spans="1:19">
      <c r="A1074" s="2992" t="str">
        <f>Sheet1!F1055</f>
        <v>4-1340</v>
      </c>
      <c r="B1074" s="2992">
        <f>Sheet1!G1055</f>
        <v>54.67</v>
      </c>
      <c r="C1074" s="2996">
        <f t="shared" si="170"/>
        <v>1</v>
      </c>
      <c r="D1074" s="2994"/>
      <c r="E1074" s="2996">
        <f t="shared" si="171"/>
        <v>1</v>
      </c>
      <c r="F1074" s="2994"/>
      <c r="G1074" s="2996">
        <f t="shared" si="172"/>
        <v>1</v>
      </c>
      <c r="H1074" s="2994"/>
      <c r="I1074" s="2996">
        <f t="shared" si="173"/>
        <v>1</v>
      </c>
      <c r="J1074" s="2994"/>
      <c r="K1074" s="2996">
        <f t="shared" si="174"/>
        <v>1</v>
      </c>
      <c r="L1074" s="2994"/>
      <c r="M1074" s="2996">
        <f t="shared" si="175"/>
        <v>1</v>
      </c>
      <c r="N1074" s="2994"/>
      <c r="O1074" s="2996">
        <f t="shared" si="176"/>
        <v>1</v>
      </c>
      <c r="P1074" s="2994"/>
      <c r="Q1074" s="2996">
        <f t="shared" si="177"/>
        <v>1</v>
      </c>
      <c r="R1074" s="2997">
        <f t="shared" ca="1" si="178"/>
        <v>17260</v>
      </c>
      <c r="S1074" s="2962">
        <f t="shared" ca="1" si="179"/>
        <v>94</v>
      </c>
    </row>
    <row r="1075" spans="1:19">
      <c r="A1075" s="2992" t="str">
        <f>Sheet1!F1056</f>
        <v>4-1341</v>
      </c>
      <c r="B1075" s="2992">
        <f>Sheet1!G1056</f>
        <v>48.86</v>
      </c>
      <c r="C1075" s="2996">
        <f t="shared" si="170"/>
        <v>1</v>
      </c>
      <c r="D1075" s="2994"/>
      <c r="E1075" s="2996">
        <f t="shared" si="171"/>
        <v>1</v>
      </c>
      <c r="F1075" s="2994"/>
      <c r="G1075" s="2996">
        <f t="shared" si="172"/>
        <v>1</v>
      </c>
      <c r="H1075" s="2994"/>
      <c r="I1075" s="2996">
        <f t="shared" si="173"/>
        <v>1</v>
      </c>
      <c r="J1075" s="2994"/>
      <c r="K1075" s="2996">
        <f t="shared" si="174"/>
        <v>1</v>
      </c>
      <c r="L1075" s="2994"/>
      <c r="M1075" s="2996">
        <f t="shared" si="175"/>
        <v>1</v>
      </c>
      <c r="N1075" s="2994"/>
      <c r="O1075" s="2996">
        <f t="shared" si="176"/>
        <v>1</v>
      </c>
      <c r="P1075" s="2994"/>
      <c r="Q1075" s="2996">
        <f t="shared" si="177"/>
        <v>1</v>
      </c>
      <c r="R1075" s="2997">
        <f t="shared" ca="1" si="178"/>
        <v>17260</v>
      </c>
      <c r="S1075" s="2962">
        <f t="shared" ca="1" si="179"/>
        <v>84</v>
      </c>
    </row>
    <row r="1076" spans="1:19">
      <c r="A1076" s="2992" t="str">
        <f>Sheet1!F1057</f>
        <v>4-1342</v>
      </c>
      <c r="B1076" s="2992">
        <f>Sheet1!G1057</f>
        <v>48.86</v>
      </c>
      <c r="C1076" s="2996">
        <f t="shared" si="170"/>
        <v>1</v>
      </c>
      <c r="D1076" s="2994"/>
      <c r="E1076" s="2996">
        <f t="shared" si="171"/>
        <v>1</v>
      </c>
      <c r="F1076" s="2994"/>
      <c r="G1076" s="2996">
        <f t="shared" si="172"/>
        <v>1</v>
      </c>
      <c r="H1076" s="2994"/>
      <c r="I1076" s="2996">
        <f t="shared" si="173"/>
        <v>1</v>
      </c>
      <c r="J1076" s="2994"/>
      <c r="K1076" s="2996">
        <f t="shared" si="174"/>
        <v>1</v>
      </c>
      <c r="L1076" s="2994"/>
      <c r="M1076" s="2996">
        <f t="shared" si="175"/>
        <v>1</v>
      </c>
      <c r="N1076" s="2994"/>
      <c r="O1076" s="2996">
        <f t="shared" si="176"/>
        <v>1</v>
      </c>
      <c r="P1076" s="2994"/>
      <c r="Q1076" s="2996">
        <f t="shared" si="177"/>
        <v>1</v>
      </c>
      <c r="R1076" s="2997">
        <f t="shared" ca="1" si="178"/>
        <v>17260</v>
      </c>
      <c r="S1076" s="2962">
        <f t="shared" ca="1" si="179"/>
        <v>84</v>
      </c>
    </row>
    <row r="1077" spans="1:19">
      <c r="A1077" s="2992" t="str">
        <f>Sheet1!F1058</f>
        <v>4-1343</v>
      </c>
      <c r="B1077" s="2992">
        <f>Sheet1!G1058</f>
        <v>48.86</v>
      </c>
      <c r="C1077" s="2996">
        <f t="shared" si="170"/>
        <v>1</v>
      </c>
      <c r="D1077" s="2994"/>
      <c r="E1077" s="2996">
        <f t="shared" si="171"/>
        <v>1</v>
      </c>
      <c r="F1077" s="2994"/>
      <c r="G1077" s="2996">
        <f t="shared" si="172"/>
        <v>1</v>
      </c>
      <c r="H1077" s="2994"/>
      <c r="I1077" s="2996">
        <f t="shared" si="173"/>
        <v>1</v>
      </c>
      <c r="J1077" s="2994"/>
      <c r="K1077" s="2996">
        <f t="shared" si="174"/>
        <v>1</v>
      </c>
      <c r="L1077" s="2994"/>
      <c r="M1077" s="2996">
        <f t="shared" si="175"/>
        <v>1</v>
      </c>
      <c r="N1077" s="2994"/>
      <c r="O1077" s="2996">
        <f t="shared" si="176"/>
        <v>1</v>
      </c>
      <c r="P1077" s="2994"/>
      <c r="Q1077" s="2996">
        <f t="shared" si="177"/>
        <v>1</v>
      </c>
      <c r="R1077" s="2997">
        <f t="shared" ca="1" si="178"/>
        <v>17260</v>
      </c>
      <c r="S1077" s="2962">
        <f t="shared" ca="1" si="179"/>
        <v>84</v>
      </c>
    </row>
    <row r="1078" spans="1:19">
      <c r="A1078" s="2992" t="str">
        <f>Sheet1!F1059</f>
        <v>4-1344</v>
      </c>
      <c r="B1078" s="2992">
        <f>Sheet1!G1059</f>
        <v>54.87</v>
      </c>
      <c r="C1078" s="2996">
        <f t="shared" si="170"/>
        <v>1</v>
      </c>
      <c r="D1078" s="2994"/>
      <c r="E1078" s="2996">
        <f t="shared" si="171"/>
        <v>1</v>
      </c>
      <c r="F1078" s="2994"/>
      <c r="G1078" s="2996">
        <f t="shared" si="172"/>
        <v>1</v>
      </c>
      <c r="H1078" s="2994"/>
      <c r="I1078" s="2996">
        <f t="shared" si="173"/>
        <v>1</v>
      </c>
      <c r="J1078" s="2994"/>
      <c r="K1078" s="2996">
        <f t="shared" si="174"/>
        <v>1</v>
      </c>
      <c r="L1078" s="2994"/>
      <c r="M1078" s="2996">
        <f t="shared" si="175"/>
        <v>1</v>
      </c>
      <c r="N1078" s="2994"/>
      <c r="O1078" s="2996">
        <f t="shared" si="176"/>
        <v>1</v>
      </c>
      <c r="P1078" s="2994"/>
      <c r="Q1078" s="2996">
        <f t="shared" si="177"/>
        <v>1</v>
      </c>
      <c r="R1078" s="2997">
        <f t="shared" ca="1" si="178"/>
        <v>17260</v>
      </c>
      <c r="S1078" s="2962">
        <f t="shared" ca="1" si="179"/>
        <v>95</v>
      </c>
    </row>
    <row r="1079" spans="1:19">
      <c r="A1079" s="2992" t="str">
        <f>Sheet1!F1060</f>
        <v>4-1345</v>
      </c>
      <c r="B1079" s="2992">
        <f>Sheet1!G1060</f>
        <v>88.13</v>
      </c>
      <c r="C1079" s="2996">
        <f t="shared" si="170"/>
        <v>1</v>
      </c>
      <c r="D1079" s="2994"/>
      <c r="E1079" s="2996">
        <f t="shared" si="171"/>
        <v>1</v>
      </c>
      <c r="F1079" s="2994"/>
      <c r="G1079" s="2996">
        <f t="shared" si="172"/>
        <v>1</v>
      </c>
      <c r="H1079" s="2994"/>
      <c r="I1079" s="2996">
        <f t="shared" si="173"/>
        <v>1</v>
      </c>
      <c r="J1079" s="2994"/>
      <c r="K1079" s="2996">
        <f t="shared" si="174"/>
        <v>1</v>
      </c>
      <c r="L1079" s="2994"/>
      <c r="M1079" s="2996">
        <f t="shared" si="175"/>
        <v>1</v>
      </c>
      <c r="N1079" s="2994"/>
      <c r="O1079" s="2996">
        <f t="shared" si="176"/>
        <v>1</v>
      </c>
      <c r="P1079" s="2994"/>
      <c r="Q1079" s="2996">
        <f t="shared" si="177"/>
        <v>1</v>
      </c>
      <c r="R1079" s="2997">
        <f t="shared" ca="1" si="178"/>
        <v>17260</v>
      </c>
      <c r="S1079" s="2962">
        <f t="shared" ca="1" si="179"/>
        <v>152</v>
      </c>
    </row>
    <row r="1080" spans="1:19">
      <c r="A1080" s="2992" t="str">
        <f>Sheet1!F1061</f>
        <v>1-1401</v>
      </c>
      <c r="B1080" s="2992">
        <f>Sheet1!G1061</f>
        <v>186.33</v>
      </c>
      <c r="C1080" s="2996">
        <f t="shared" si="170"/>
        <v>0.99</v>
      </c>
      <c r="D1080" s="2994"/>
      <c r="E1080" s="2996">
        <f t="shared" si="171"/>
        <v>1</v>
      </c>
      <c r="F1080" s="2994"/>
      <c r="G1080" s="2996">
        <f t="shared" si="172"/>
        <v>1</v>
      </c>
      <c r="H1080" s="2994"/>
      <c r="I1080" s="2996">
        <f t="shared" si="173"/>
        <v>1</v>
      </c>
      <c r="J1080" s="2994"/>
      <c r="K1080" s="2996">
        <f t="shared" si="174"/>
        <v>1</v>
      </c>
      <c r="L1080" s="2994"/>
      <c r="M1080" s="2996">
        <f t="shared" si="175"/>
        <v>1</v>
      </c>
      <c r="N1080" s="2994"/>
      <c r="O1080" s="2996">
        <f t="shared" si="176"/>
        <v>1</v>
      </c>
      <c r="P1080" s="2994"/>
      <c r="Q1080" s="2996">
        <f t="shared" si="177"/>
        <v>1</v>
      </c>
      <c r="R1080" s="2997">
        <f t="shared" ca="1" si="178"/>
        <v>17087</v>
      </c>
      <c r="S1080" s="2962">
        <f t="shared" ca="1" si="179"/>
        <v>318</v>
      </c>
    </row>
    <row r="1081" spans="1:19">
      <c r="A1081" s="2992" t="str">
        <f>Sheet1!F1062</f>
        <v>1-1402</v>
      </c>
      <c r="B1081" s="2992">
        <f>Sheet1!G1062</f>
        <v>188.39</v>
      </c>
      <c r="C1081" s="2996">
        <f t="shared" si="170"/>
        <v>0.99</v>
      </c>
      <c r="D1081" s="2994"/>
      <c r="E1081" s="2996">
        <f t="shared" si="171"/>
        <v>1</v>
      </c>
      <c r="F1081" s="2994"/>
      <c r="G1081" s="2996">
        <f t="shared" si="172"/>
        <v>1</v>
      </c>
      <c r="H1081" s="2994"/>
      <c r="I1081" s="2996">
        <f t="shared" si="173"/>
        <v>1</v>
      </c>
      <c r="J1081" s="2994"/>
      <c r="K1081" s="2996">
        <f t="shared" si="174"/>
        <v>1</v>
      </c>
      <c r="L1081" s="2994"/>
      <c r="M1081" s="2996">
        <f t="shared" si="175"/>
        <v>1</v>
      </c>
      <c r="N1081" s="2994"/>
      <c r="O1081" s="2996">
        <f t="shared" si="176"/>
        <v>1</v>
      </c>
      <c r="P1081" s="2994"/>
      <c r="Q1081" s="2996">
        <f t="shared" si="177"/>
        <v>1</v>
      </c>
      <c r="R1081" s="2997">
        <f t="shared" ca="1" si="178"/>
        <v>17087</v>
      </c>
      <c r="S1081" s="2962">
        <f t="shared" ca="1" si="179"/>
        <v>322</v>
      </c>
    </row>
    <row r="1082" spans="1:19">
      <c r="A1082" s="2992" t="str">
        <f>Sheet1!F1063</f>
        <v>1-1403</v>
      </c>
      <c r="B1082" s="2992">
        <f>Sheet1!G1063</f>
        <v>188.39</v>
      </c>
      <c r="C1082" s="2996">
        <f t="shared" si="170"/>
        <v>0.99</v>
      </c>
      <c r="D1082" s="2994"/>
      <c r="E1082" s="2996">
        <f t="shared" si="171"/>
        <v>1</v>
      </c>
      <c r="F1082" s="2994"/>
      <c r="G1082" s="2996">
        <f t="shared" si="172"/>
        <v>1</v>
      </c>
      <c r="H1082" s="2994"/>
      <c r="I1082" s="2996">
        <f t="shared" si="173"/>
        <v>1</v>
      </c>
      <c r="J1082" s="2994"/>
      <c r="K1082" s="2996">
        <f t="shared" si="174"/>
        <v>1</v>
      </c>
      <c r="L1082" s="2994"/>
      <c r="M1082" s="2996">
        <f t="shared" si="175"/>
        <v>1</v>
      </c>
      <c r="N1082" s="2994"/>
      <c r="O1082" s="2996">
        <f t="shared" si="176"/>
        <v>1</v>
      </c>
      <c r="P1082" s="2994"/>
      <c r="Q1082" s="2996">
        <f t="shared" si="177"/>
        <v>1</v>
      </c>
      <c r="R1082" s="2997">
        <f t="shared" ca="1" si="178"/>
        <v>17087</v>
      </c>
      <c r="S1082" s="2962">
        <f t="shared" ca="1" si="179"/>
        <v>322</v>
      </c>
    </row>
    <row r="1083" spans="1:19">
      <c r="A1083" s="2992" t="str">
        <f>Sheet1!F1064</f>
        <v>1-1404</v>
      </c>
      <c r="B1083" s="2992">
        <f>Sheet1!G1064</f>
        <v>188.39</v>
      </c>
      <c r="C1083" s="2996">
        <f t="shared" si="170"/>
        <v>0.99</v>
      </c>
      <c r="D1083" s="2994"/>
      <c r="E1083" s="2996">
        <f t="shared" si="171"/>
        <v>1</v>
      </c>
      <c r="F1083" s="2994"/>
      <c r="G1083" s="2996">
        <f t="shared" si="172"/>
        <v>1</v>
      </c>
      <c r="H1083" s="2994"/>
      <c r="I1083" s="2996">
        <f t="shared" si="173"/>
        <v>1</v>
      </c>
      <c r="J1083" s="2994"/>
      <c r="K1083" s="2996">
        <f t="shared" si="174"/>
        <v>1</v>
      </c>
      <c r="L1083" s="2994"/>
      <c r="M1083" s="2996">
        <f t="shared" si="175"/>
        <v>1</v>
      </c>
      <c r="N1083" s="2994"/>
      <c r="O1083" s="2996">
        <f t="shared" si="176"/>
        <v>1</v>
      </c>
      <c r="P1083" s="2994"/>
      <c r="Q1083" s="2996">
        <f t="shared" si="177"/>
        <v>1</v>
      </c>
      <c r="R1083" s="2997">
        <f t="shared" ca="1" si="178"/>
        <v>17087</v>
      </c>
      <c r="S1083" s="2962">
        <f t="shared" ca="1" si="179"/>
        <v>322</v>
      </c>
    </row>
    <row r="1084" spans="1:19">
      <c r="A1084" s="2992" t="str">
        <f>Sheet1!F1065</f>
        <v>1-1405</v>
      </c>
      <c r="B1084" s="2992">
        <f>Sheet1!G1065</f>
        <v>188.39</v>
      </c>
      <c r="C1084" s="2996">
        <f t="shared" si="170"/>
        <v>0.99</v>
      </c>
      <c r="D1084" s="2994"/>
      <c r="E1084" s="2996">
        <f t="shared" si="171"/>
        <v>1</v>
      </c>
      <c r="F1084" s="2994"/>
      <c r="G1084" s="2996">
        <f t="shared" si="172"/>
        <v>1</v>
      </c>
      <c r="H1084" s="2994"/>
      <c r="I1084" s="2996">
        <f t="shared" si="173"/>
        <v>1</v>
      </c>
      <c r="J1084" s="2994"/>
      <c r="K1084" s="2996">
        <f t="shared" si="174"/>
        <v>1</v>
      </c>
      <c r="L1084" s="2994"/>
      <c r="M1084" s="2996">
        <f t="shared" si="175"/>
        <v>1</v>
      </c>
      <c r="N1084" s="2994"/>
      <c r="O1084" s="2996">
        <f t="shared" si="176"/>
        <v>1</v>
      </c>
      <c r="P1084" s="2994"/>
      <c r="Q1084" s="2996">
        <f t="shared" si="177"/>
        <v>1</v>
      </c>
      <c r="R1084" s="2997">
        <f t="shared" ca="1" si="178"/>
        <v>17087</v>
      </c>
      <c r="S1084" s="2962">
        <f t="shared" ca="1" si="179"/>
        <v>322</v>
      </c>
    </row>
    <row r="1085" spans="1:19">
      <c r="A1085" s="2992" t="str">
        <f>Sheet1!F1066</f>
        <v>1-1406</v>
      </c>
      <c r="B1085" s="2992">
        <f>Sheet1!G1066</f>
        <v>188.39</v>
      </c>
      <c r="C1085" s="2996">
        <f t="shared" si="170"/>
        <v>0.99</v>
      </c>
      <c r="D1085" s="2994"/>
      <c r="E1085" s="2996">
        <f t="shared" si="171"/>
        <v>1</v>
      </c>
      <c r="F1085" s="2994"/>
      <c r="G1085" s="2996">
        <f t="shared" si="172"/>
        <v>1</v>
      </c>
      <c r="H1085" s="2994"/>
      <c r="I1085" s="2996">
        <f t="shared" si="173"/>
        <v>1</v>
      </c>
      <c r="J1085" s="2994"/>
      <c r="K1085" s="2996">
        <f t="shared" si="174"/>
        <v>1</v>
      </c>
      <c r="L1085" s="2994"/>
      <c r="M1085" s="2996">
        <f t="shared" si="175"/>
        <v>1</v>
      </c>
      <c r="N1085" s="2994"/>
      <c r="O1085" s="2996">
        <f t="shared" si="176"/>
        <v>1</v>
      </c>
      <c r="P1085" s="2994"/>
      <c r="Q1085" s="2996">
        <f t="shared" si="177"/>
        <v>1</v>
      </c>
      <c r="R1085" s="2997">
        <f t="shared" ca="1" si="178"/>
        <v>17087</v>
      </c>
      <c r="S1085" s="2962">
        <f t="shared" ca="1" si="179"/>
        <v>322</v>
      </c>
    </row>
    <row r="1086" spans="1:19">
      <c r="A1086" s="2992" t="str">
        <f>Sheet1!F1067</f>
        <v>1-1407</v>
      </c>
      <c r="B1086" s="2992">
        <f>Sheet1!G1067</f>
        <v>187.53</v>
      </c>
      <c r="C1086" s="2996">
        <f t="shared" si="170"/>
        <v>0.99</v>
      </c>
      <c r="D1086" s="2994"/>
      <c r="E1086" s="2996">
        <f t="shared" si="171"/>
        <v>1</v>
      </c>
      <c r="F1086" s="2994"/>
      <c r="G1086" s="2996">
        <f t="shared" si="172"/>
        <v>1</v>
      </c>
      <c r="H1086" s="2994"/>
      <c r="I1086" s="2996">
        <f t="shared" si="173"/>
        <v>1</v>
      </c>
      <c r="J1086" s="2994"/>
      <c r="K1086" s="2996">
        <f t="shared" si="174"/>
        <v>1</v>
      </c>
      <c r="L1086" s="2994"/>
      <c r="M1086" s="2996">
        <f t="shared" si="175"/>
        <v>1</v>
      </c>
      <c r="N1086" s="2994"/>
      <c r="O1086" s="2996">
        <f t="shared" si="176"/>
        <v>1</v>
      </c>
      <c r="P1086" s="2994"/>
      <c r="Q1086" s="2996">
        <f t="shared" si="177"/>
        <v>1</v>
      </c>
      <c r="R1086" s="2997">
        <f t="shared" ca="1" si="178"/>
        <v>17087</v>
      </c>
      <c r="S1086" s="2962">
        <f t="shared" ca="1" si="179"/>
        <v>320</v>
      </c>
    </row>
    <row r="1087" spans="1:19">
      <c r="A1087" s="2992" t="str">
        <f>Sheet1!F1068</f>
        <v>1-1408</v>
      </c>
      <c r="B1087" s="2992">
        <f>Sheet1!G1068</f>
        <v>210.19</v>
      </c>
      <c r="C1087" s="2996">
        <f t="shared" si="170"/>
        <v>0.98</v>
      </c>
      <c r="D1087" s="2994"/>
      <c r="E1087" s="2996">
        <f t="shared" si="171"/>
        <v>1</v>
      </c>
      <c r="F1087" s="2994"/>
      <c r="G1087" s="2996">
        <f t="shared" si="172"/>
        <v>1</v>
      </c>
      <c r="H1087" s="2994"/>
      <c r="I1087" s="2996">
        <f t="shared" si="173"/>
        <v>1</v>
      </c>
      <c r="J1087" s="2994"/>
      <c r="K1087" s="2996">
        <f t="shared" si="174"/>
        <v>1</v>
      </c>
      <c r="L1087" s="2994"/>
      <c r="M1087" s="2996">
        <f t="shared" si="175"/>
        <v>1</v>
      </c>
      <c r="N1087" s="2994"/>
      <c r="O1087" s="2996">
        <f t="shared" si="176"/>
        <v>1</v>
      </c>
      <c r="P1087" s="2994"/>
      <c r="Q1087" s="2996">
        <f t="shared" si="177"/>
        <v>1</v>
      </c>
      <c r="R1087" s="2997">
        <f t="shared" ca="1" si="178"/>
        <v>16915</v>
      </c>
      <c r="S1087" s="2962">
        <f t="shared" ca="1" si="179"/>
        <v>356</v>
      </c>
    </row>
    <row r="1088" spans="1:19">
      <c r="A1088" s="2992" t="str">
        <f>Sheet1!F1069</f>
        <v>1-1409</v>
      </c>
      <c r="B1088" s="2992">
        <f>Sheet1!G1069</f>
        <v>169.2</v>
      </c>
      <c r="C1088" s="2996">
        <f t="shared" si="170"/>
        <v>0.99</v>
      </c>
      <c r="D1088" s="2994"/>
      <c r="E1088" s="2996">
        <f t="shared" si="171"/>
        <v>1</v>
      </c>
      <c r="F1088" s="2994"/>
      <c r="G1088" s="2996">
        <f t="shared" si="172"/>
        <v>1</v>
      </c>
      <c r="H1088" s="2994"/>
      <c r="I1088" s="2996">
        <f t="shared" si="173"/>
        <v>1</v>
      </c>
      <c r="J1088" s="2994"/>
      <c r="K1088" s="2996">
        <f t="shared" si="174"/>
        <v>1</v>
      </c>
      <c r="L1088" s="2994"/>
      <c r="M1088" s="2996">
        <f t="shared" si="175"/>
        <v>1</v>
      </c>
      <c r="N1088" s="2994"/>
      <c r="O1088" s="2996">
        <f t="shared" si="176"/>
        <v>1</v>
      </c>
      <c r="P1088" s="2994"/>
      <c r="Q1088" s="2996">
        <f t="shared" si="177"/>
        <v>1</v>
      </c>
      <c r="R1088" s="2997">
        <f t="shared" ca="1" si="178"/>
        <v>17087</v>
      </c>
      <c r="S1088" s="2962">
        <f t="shared" ca="1" si="179"/>
        <v>289</v>
      </c>
    </row>
    <row r="1089" spans="1:19">
      <c r="A1089" s="2992" t="str">
        <f>Sheet1!F1070</f>
        <v>1-1410</v>
      </c>
      <c r="B1089" s="2992">
        <f>Sheet1!G1070</f>
        <v>178.35</v>
      </c>
      <c r="C1089" s="2996">
        <f t="shared" si="170"/>
        <v>0.99</v>
      </c>
      <c r="D1089" s="2994"/>
      <c r="E1089" s="2996">
        <f t="shared" si="171"/>
        <v>1</v>
      </c>
      <c r="F1089" s="2994"/>
      <c r="G1089" s="2996">
        <f t="shared" si="172"/>
        <v>1</v>
      </c>
      <c r="H1089" s="2994"/>
      <c r="I1089" s="2996">
        <f t="shared" si="173"/>
        <v>1</v>
      </c>
      <c r="J1089" s="2994"/>
      <c r="K1089" s="2996">
        <f t="shared" si="174"/>
        <v>1</v>
      </c>
      <c r="L1089" s="2994"/>
      <c r="M1089" s="2996">
        <f t="shared" si="175"/>
        <v>1</v>
      </c>
      <c r="N1089" s="2994"/>
      <c r="O1089" s="2996">
        <f t="shared" si="176"/>
        <v>1</v>
      </c>
      <c r="P1089" s="2994"/>
      <c r="Q1089" s="2996">
        <f t="shared" si="177"/>
        <v>1</v>
      </c>
      <c r="R1089" s="2997">
        <f t="shared" ca="1" si="178"/>
        <v>17087</v>
      </c>
      <c r="S1089" s="2962">
        <f t="shared" ca="1" si="179"/>
        <v>305</v>
      </c>
    </row>
    <row r="1090" spans="1:19">
      <c r="A1090" s="2992" t="str">
        <f>Sheet1!F1071</f>
        <v>1-1411</v>
      </c>
      <c r="B1090" s="2992">
        <f>Sheet1!G1071</f>
        <v>208.92</v>
      </c>
      <c r="C1090" s="2996">
        <f t="shared" si="170"/>
        <v>0.98</v>
      </c>
      <c r="D1090" s="2994"/>
      <c r="E1090" s="2996">
        <f t="shared" si="171"/>
        <v>1</v>
      </c>
      <c r="F1090" s="2994"/>
      <c r="G1090" s="2996">
        <f t="shared" si="172"/>
        <v>1</v>
      </c>
      <c r="H1090" s="2994"/>
      <c r="I1090" s="2996">
        <f t="shared" si="173"/>
        <v>1</v>
      </c>
      <c r="J1090" s="2994"/>
      <c r="K1090" s="2996">
        <f t="shared" si="174"/>
        <v>1</v>
      </c>
      <c r="L1090" s="2994"/>
      <c r="M1090" s="2996">
        <f t="shared" si="175"/>
        <v>1</v>
      </c>
      <c r="N1090" s="2994"/>
      <c r="O1090" s="2996">
        <f t="shared" si="176"/>
        <v>1</v>
      </c>
      <c r="P1090" s="2994"/>
      <c r="Q1090" s="2996">
        <f t="shared" si="177"/>
        <v>1</v>
      </c>
      <c r="R1090" s="2997">
        <f t="shared" ca="1" si="178"/>
        <v>16915</v>
      </c>
      <c r="S1090" s="2962">
        <f t="shared" ca="1" si="179"/>
        <v>353</v>
      </c>
    </row>
    <row r="1091" spans="1:19">
      <c r="A1091" s="2992" t="str">
        <f>Sheet1!F1072</f>
        <v>1-1412</v>
      </c>
      <c r="B1091" s="2992">
        <f>Sheet1!G1072</f>
        <v>188.35</v>
      </c>
      <c r="C1091" s="2996">
        <f t="shared" si="170"/>
        <v>0.99</v>
      </c>
      <c r="D1091" s="2994"/>
      <c r="E1091" s="2996">
        <f t="shared" si="171"/>
        <v>1</v>
      </c>
      <c r="F1091" s="2994"/>
      <c r="G1091" s="2996">
        <f t="shared" si="172"/>
        <v>1</v>
      </c>
      <c r="H1091" s="2994"/>
      <c r="I1091" s="2996">
        <f t="shared" si="173"/>
        <v>1</v>
      </c>
      <c r="J1091" s="2994"/>
      <c r="K1091" s="2996">
        <f t="shared" si="174"/>
        <v>1</v>
      </c>
      <c r="L1091" s="2994"/>
      <c r="M1091" s="2996">
        <f t="shared" si="175"/>
        <v>1</v>
      </c>
      <c r="N1091" s="2994"/>
      <c r="O1091" s="2996">
        <f t="shared" si="176"/>
        <v>1</v>
      </c>
      <c r="P1091" s="2994"/>
      <c r="Q1091" s="2996">
        <f t="shared" si="177"/>
        <v>1</v>
      </c>
      <c r="R1091" s="2997">
        <f t="shared" ca="1" si="178"/>
        <v>17087</v>
      </c>
      <c r="S1091" s="2962">
        <f t="shared" ca="1" si="179"/>
        <v>322</v>
      </c>
    </row>
    <row r="1092" spans="1:19">
      <c r="A1092" s="2992" t="str">
        <f>Sheet1!F1073</f>
        <v>1-1413</v>
      </c>
      <c r="B1092" s="2992">
        <f>Sheet1!G1073</f>
        <v>188.39</v>
      </c>
      <c r="C1092" s="2996">
        <f t="shared" si="170"/>
        <v>0.99</v>
      </c>
      <c r="D1092" s="2994"/>
      <c r="E1092" s="2996">
        <f t="shared" si="171"/>
        <v>1</v>
      </c>
      <c r="F1092" s="2994"/>
      <c r="G1092" s="2996">
        <f t="shared" si="172"/>
        <v>1</v>
      </c>
      <c r="H1092" s="2994"/>
      <c r="I1092" s="2996">
        <f t="shared" si="173"/>
        <v>1</v>
      </c>
      <c r="J1092" s="2994"/>
      <c r="K1092" s="2996">
        <f t="shared" si="174"/>
        <v>1</v>
      </c>
      <c r="L1092" s="2994"/>
      <c r="M1092" s="2996">
        <f t="shared" si="175"/>
        <v>1</v>
      </c>
      <c r="N1092" s="2994"/>
      <c r="O1092" s="2996">
        <f t="shared" si="176"/>
        <v>1</v>
      </c>
      <c r="P1092" s="2994"/>
      <c r="Q1092" s="2996">
        <f t="shared" si="177"/>
        <v>1</v>
      </c>
      <c r="R1092" s="2997">
        <f t="shared" ca="1" si="178"/>
        <v>17087</v>
      </c>
      <c r="S1092" s="2962">
        <f t="shared" ca="1" si="179"/>
        <v>322</v>
      </c>
    </row>
    <row r="1093" spans="1:19">
      <c r="A1093" s="2992" t="str">
        <f>Sheet1!F1074</f>
        <v>1-1414</v>
      </c>
      <c r="B1093" s="2992">
        <f>Sheet1!G1074</f>
        <v>188.39</v>
      </c>
      <c r="C1093" s="2996">
        <f t="shared" si="170"/>
        <v>0.99</v>
      </c>
      <c r="D1093" s="2994"/>
      <c r="E1093" s="2996">
        <f t="shared" si="171"/>
        <v>1</v>
      </c>
      <c r="F1093" s="2994"/>
      <c r="G1093" s="2996">
        <f t="shared" si="172"/>
        <v>1</v>
      </c>
      <c r="H1093" s="2994"/>
      <c r="I1093" s="2996">
        <f t="shared" si="173"/>
        <v>1</v>
      </c>
      <c r="J1093" s="2994"/>
      <c r="K1093" s="2996">
        <f t="shared" si="174"/>
        <v>1</v>
      </c>
      <c r="L1093" s="2994"/>
      <c r="M1093" s="2996">
        <f t="shared" si="175"/>
        <v>1</v>
      </c>
      <c r="N1093" s="2994"/>
      <c r="O1093" s="2996">
        <f t="shared" si="176"/>
        <v>1</v>
      </c>
      <c r="P1093" s="2994"/>
      <c r="Q1093" s="2996">
        <f t="shared" si="177"/>
        <v>1</v>
      </c>
      <c r="R1093" s="2997">
        <f t="shared" ca="1" si="178"/>
        <v>17087</v>
      </c>
      <c r="S1093" s="2962">
        <f t="shared" ca="1" si="179"/>
        <v>322</v>
      </c>
    </row>
    <row r="1094" spans="1:19">
      <c r="A1094" s="2992" t="str">
        <f>Sheet1!F1075</f>
        <v>1-1415</v>
      </c>
      <c r="B1094" s="2992">
        <f>Sheet1!G1075</f>
        <v>188.39</v>
      </c>
      <c r="C1094" s="2996">
        <f t="shared" si="170"/>
        <v>0.99</v>
      </c>
      <c r="D1094" s="2994"/>
      <c r="E1094" s="2996">
        <f t="shared" si="171"/>
        <v>1</v>
      </c>
      <c r="F1094" s="2994"/>
      <c r="G1094" s="2996">
        <f t="shared" si="172"/>
        <v>1</v>
      </c>
      <c r="H1094" s="2994"/>
      <c r="I1094" s="2996">
        <f t="shared" si="173"/>
        <v>1</v>
      </c>
      <c r="J1094" s="2994"/>
      <c r="K1094" s="2996">
        <f t="shared" si="174"/>
        <v>1</v>
      </c>
      <c r="L1094" s="2994"/>
      <c r="M1094" s="2996">
        <f t="shared" si="175"/>
        <v>1</v>
      </c>
      <c r="N1094" s="2994"/>
      <c r="O1094" s="2996">
        <f t="shared" si="176"/>
        <v>1</v>
      </c>
      <c r="P1094" s="2994"/>
      <c r="Q1094" s="2996">
        <f t="shared" si="177"/>
        <v>1</v>
      </c>
      <c r="R1094" s="2997">
        <f t="shared" ca="1" si="178"/>
        <v>17087</v>
      </c>
      <c r="S1094" s="2962">
        <f t="shared" ca="1" si="179"/>
        <v>322</v>
      </c>
    </row>
    <row r="1095" spans="1:19">
      <c r="A1095" s="2992" t="str">
        <f>Sheet1!F1076</f>
        <v>1-1416</v>
      </c>
      <c r="B1095" s="2992">
        <f>Sheet1!G1076</f>
        <v>188.39</v>
      </c>
      <c r="C1095" s="2996">
        <f t="shared" si="170"/>
        <v>0.99</v>
      </c>
      <c r="D1095" s="2994"/>
      <c r="E1095" s="2996">
        <f t="shared" si="171"/>
        <v>1</v>
      </c>
      <c r="F1095" s="2994"/>
      <c r="G1095" s="2996">
        <f t="shared" si="172"/>
        <v>1</v>
      </c>
      <c r="H1095" s="2994"/>
      <c r="I1095" s="2996">
        <f t="shared" si="173"/>
        <v>1</v>
      </c>
      <c r="J1095" s="2994"/>
      <c r="K1095" s="2996">
        <f t="shared" si="174"/>
        <v>1</v>
      </c>
      <c r="L1095" s="2994"/>
      <c r="M1095" s="2996">
        <f t="shared" si="175"/>
        <v>1</v>
      </c>
      <c r="N1095" s="2994"/>
      <c r="O1095" s="2996">
        <f t="shared" si="176"/>
        <v>1</v>
      </c>
      <c r="P1095" s="2994"/>
      <c r="Q1095" s="2996">
        <f t="shared" si="177"/>
        <v>1</v>
      </c>
      <c r="R1095" s="2997">
        <f t="shared" ca="1" si="178"/>
        <v>17087</v>
      </c>
      <c r="S1095" s="2962">
        <f t="shared" ca="1" si="179"/>
        <v>322</v>
      </c>
    </row>
    <row r="1096" spans="1:19">
      <c r="A1096" s="2992" t="str">
        <f>Sheet1!F1077</f>
        <v>1-1417</v>
      </c>
      <c r="B1096" s="2992">
        <f>Sheet1!G1077</f>
        <v>188.39</v>
      </c>
      <c r="C1096" s="2996">
        <f t="shared" si="170"/>
        <v>0.99</v>
      </c>
      <c r="D1096" s="2994"/>
      <c r="E1096" s="2996">
        <f t="shared" si="171"/>
        <v>1</v>
      </c>
      <c r="F1096" s="2994"/>
      <c r="G1096" s="2996">
        <f t="shared" si="172"/>
        <v>1</v>
      </c>
      <c r="H1096" s="2994"/>
      <c r="I1096" s="2996">
        <f t="shared" si="173"/>
        <v>1</v>
      </c>
      <c r="J1096" s="2994"/>
      <c r="K1096" s="2996">
        <f t="shared" si="174"/>
        <v>1</v>
      </c>
      <c r="L1096" s="2994"/>
      <c r="M1096" s="2996">
        <f t="shared" si="175"/>
        <v>1</v>
      </c>
      <c r="N1096" s="2994"/>
      <c r="O1096" s="2996">
        <f t="shared" si="176"/>
        <v>1</v>
      </c>
      <c r="P1096" s="2994"/>
      <c r="Q1096" s="2996">
        <f t="shared" si="177"/>
        <v>1</v>
      </c>
      <c r="R1096" s="2997">
        <f t="shared" ca="1" si="178"/>
        <v>17087</v>
      </c>
      <c r="S1096" s="2962">
        <f t="shared" ca="1" si="179"/>
        <v>322</v>
      </c>
    </row>
    <row r="1097" spans="1:19">
      <c r="A1097" s="2992" t="str">
        <f>Sheet1!F1078</f>
        <v>1-1418</v>
      </c>
      <c r="B1097" s="2992">
        <f>Sheet1!G1078</f>
        <v>279.91000000000003</v>
      </c>
      <c r="C1097" s="2996">
        <f t="shared" si="170"/>
        <v>0.98</v>
      </c>
      <c r="D1097" s="2994"/>
      <c r="E1097" s="2996">
        <f t="shared" si="171"/>
        <v>1</v>
      </c>
      <c r="F1097" s="2994"/>
      <c r="G1097" s="2996">
        <f t="shared" si="172"/>
        <v>1</v>
      </c>
      <c r="H1097" s="2994"/>
      <c r="I1097" s="2996">
        <f t="shared" si="173"/>
        <v>1</v>
      </c>
      <c r="J1097" s="2994"/>
      <c r="K1097" s="2996">
        <f t="shared" si="174"/>
        <v>1</v>
      </c>
      <c r="L1097" s="2994"/>
      <c r="M1097" s="2996">
        <f t="shared" si="175"/>
        <v>1</v>
      </c>
      <c r="N1097" s="2994"/>
      <c r="O1097" s="2996">
        <f t="shared" si="176"/>
        <v>1</v>
      </c>
      <c r="P1097" s="2994"/>
      <c r="Q1097" s="2996">
        <f t="shared" si="177"/>
        <v>1</v>
      </c>
      <c r="R1097" s="2997">
        <f t="shared" ca="1" si="178"/>
        <v>16915</v>
      </c>
      <c r="S1097" s="2962">
        <f t="shared" ca="1" si="179"/>
        <v>473</v>
      </c>
    </row>
    <row r="1098" spans="1:19">
      <c r="A1098" s="2992" t="str">
        <f>Sheet1!F1079</f>
        <v>1-1419</v>
      </c>
      <c r="B1098" s="2992">
        <f>Sheet1!G1079</f>
        <v>175.75</v>
      </c>
      <c r="C1098" s="2996">
        <f t="shared" si="170"/>
        <v>0.99</v>
      </c>
      <c r="D1098" s="2994"/>
      <c r="E1098" s="2996">
        <f t="shared" si="171"/>
        <v>1</v>
      </c>
      <c r="F1098" s="2994"/>
      <c r="G1098" s="2996">
        <f t="shared" si="172"/>
        <v>1</v>
      </c>
      <c r="H1098" s="2994"/>
      <c r="I1098" s="2996">
        <f t="shared" si="173"/>
        <v>1</v>
      </c>
      <c r="J1098" s="2994"/>
      <c r="K1098" s="2996">
        <f t="shared" si="174"/>
        <v>1</v>
      </c>
      <c r="L1098" s="2994"/>
      <c r="M1098" s="2996">
        <f t="shared" si="175"/>
        <v>1</v>
      </c>
      <c r="N1098" s="2994"/>
      <c r="O1098" s="2996">
        <f t="shared" si="176"/>
        <v>1</v>
      </c>
      <c r="P1098" s="2994"/>
      <c r="Q1098" s="2996">
        <f t="shared" si="177"/>
        <v>1</v>
      </c>
      <c r="R1098" s="2997">
        <f t="shared" ca="1" si="178"/>
        <v>17087</v>
      </c>
      <c r="S1098" s="2962">
        <f t="shared" ca="1" si="179"/>
        <v>300</v>
      </c>
    </row>
    <row r="1099" spans="1:19">
      <c r="A1099" s="2992" t="str">
        <f>Sheet1!F1080</f>
        <v>1-1420</v>
      </c>
      <c r="B1099" s="2992">
        <f>Sheet1!G1080</f>
        <v>188.32</v>
      </c>
      <c r="C1099" s="2996">
        <f t="shared" si="170"/>
        <v>0.99</v>
      </c>
      <c r="D1099" s="2994"/>
      <c r="E1099" s="2996">
        <f t="shared" si="171"/>
        <v>1</v>
      </c>
      <c r="F1099" s="2994"/>
      <c r="G1099" s="2996">
        <f t="shared" si="172"/>
        <v>1</v>
      </c>
      <c r="H1099" s="2994"/>
      <c r="I1099" s="2996">
        <f t="shared" si="173"/>
        <v>1</v>
      </c>
      <c r="J1099" s="2994"/>
      <c r="K1099" s="2996">
        <f t="shared" si="174"/>
        <v>1</v>
      </c>
      <c r="L1099" s="2994"/>
      <c r="M1099" s="2996">
        <f t="shared" si="175"/>
        <v>1</v>
      </c>
      <c r="N1099" s="2994"/>
      <c r="O1099" s="2996">
        <f t="shared" si="176"/>
        <v>1</v>
      </c>
      <c r="P1099" s="2994"/>
      <c r="Q1099" s="2996">
        <f t="shared" si="177"/>
        <v>1</v>
      </c>
      <c r="R1099" s="2997">
        <f t="shared" ca="1" si="178"/>
        <v>17087</v>
      </c>
      <c r="S1099" s="2962">
        <f t="shared" ca="1" si="179"/>
        <v>322</v>
      </c>
    </row>
    <row r="1100" spans="1:19">
      <c r="A1100" s="2992" t="str">
        <f>Sheet1!F1081</f>
        <v>2-1401</v>
      </c>
      <c r="B1100" s="2992">
        <f>Sheet1!G1081</f>
        <v>210.22</v>
      </c>
      <c r="C1100" s="2996">
        <f t="shared" si="170"/>
        <v>0.98</v>
      </c>
      <c r="D1100" s="2994"/>
      <c r="E1100" s="2996">
        <f t="shared" si="171"/>
        <v>1</v>
      </c>
      <c r="F1100" s="2994"/>
      <c r="G1100" s="2996">
        <f t="shared" si="172"/>
        <v>1</v>
      </c>
      <c r="H1100" s="2994"/>
      <c r="I1100" s="2996">
        <f t="shared" si="173"/>
        <v>1</v>
      </c>
      <c r="J1100" s="2994"/>
      <c r="K1100" s="2996">
        <f t="shared" si="174"/>
        <v>1</v>
      </c>
      <c r="L1100" s="2994"/>
      <c r="M1100" s="2996">
        <f t="shared" si="175"/>
        <v>1</v>
      </c>
      <c r="N1100" s="2994"/>
      <c r="O1100" s="2996">
        <f t="shared" si="176"/>
        <v>1</v>
      </c>
      <c r="P1100" s="2994"/>
      <c r="Q1100" s="2996">
        <f t="shared" si="177"/>
        <v>1</v>
      </c>
      <c r="R1100" s="2997">
        <f t="shared" ca="1" si="178"/>
        <v>16915</v>
      </c>
      <c r="S1100" s="2962">
        <f t="shared" ca="1" si="179"/>
        <v>356</v>
      </c>
    </row>
    <row r="1101" spans="1:19">
      <c r="A1101" s="2992" t="str">
        <f>Sheet1!F1082</f>
        <v>2-1402</v>
      </c>
      <c r="B1101" s="2992">
        <f>Sheet1!G1082</f>
        <v>187.56</v>
      </c>
      <c r="C1101" s="2996">
        <f t="shared" ref="C1101:C1164" si="180">IF(B1101="",1,(LOOKUP(B1101,$3:$3,$4:$4)-LOOKUP($B$24,$3:$3,$4:$4)+100)/100)</f>
        <v>0.99</v>
      </c>
      <c r="D1101" s="2994"/>
      <c r="E1101" s="2996">
        <f t="shared" ref="E1101:E1164" si="181">(SUMIF($5:$5,D1101,$6:$6)-SUMIF($5:$5,$D$24,$6:$6)+100)/100</f>
        <v>1</v>
      </c>
      <c r="F1101" s="2994"/>
      <c r="G1101" s="2996">
        <f t="shared" ref="G1101:G1164" si="182">(SUMIF($7:$7,F1101,$8:$8)-SUMIF($7:$7,$F$24,$8:$8)+100)/100</f>
        <v>1</v>
      </c>
      <c r="H1101" s="2994"/>
      <c r="I1101" s="2996">
        <f t="shared" ref="I1101:I1164" si="183">(SUMIF($9:$9,H1101,$10:$10)-SUMIF($9:$9,$H$24,$10:$10)+100)/100</f>
        <v>1</v>
      </c>
      <c r="J1101" s="2994"/>
      <c r="K1101" s="2996">
        <f t="shared" ref="K1101:K1164" si="184">(SUMIF($11:$11,J1101,$12:$12)-SUMIF($11:$11,$J$24,$12:$12)+100)/100</f>
        <v>1</v>
      </c>
      <c r="L1101" s="2994"/>
      <c r="M1101" s="2996">
        <f t="shared" ref="M1101:M1164" si="185">(SUMIF($13:$13,L1101,$14:$14)-SUMIF($13:$13,$L$24,$14:$14)+100)/100</f>
        <v>1</v>
      </c>
      <c r="N1101" s="2994"/>
      <c r="O1101" s="2996">
        <f t="shared" ref="O1101:O1164" si="186">(SUMIF($15:$15,N1101,$16:$16)-SUMIF($15:$15,$N$24,$16:$16)+100)/100</f>
        <v>1</v>
      </c>
      <c r="P1101" s="2994"/>
      <c r="Q1101" s="2996">
        <f t="shared" ref="Q1101:Q1164" si="187">(SUMIF($17:$17,P1101,$18:$18)-SUMIF($17:$17,$P$24,$18:$18)+100)/100</f>
        <v>1</v>
      </c>
      <c r="R1101" s="2997">
        <f t="shared" ref="R1101:R1164" ca="1" si="188">IF(B1101="",0,ROUND($R$24*C1101*E1101*G1101*I1101*K1101*M1101*O1101*Q1101,0))</f>
        <v>17087</v>
      </c>
      <c r="S1101" s="2962">
        <f t="shared" ref="S1101:S1164" ca="1" si="189">ROUND(R1101*B1101/10000,0)</f>
        <v>320</v>
      </c>
    </row>
    <row r="1102" spans="1:19">
      <c r="A1102" s="2992" t="str">
        <f>Sheet1!F1083</f>
        <v>2-1403</v>
      </c>
      <c r="B1102" s="2992">
        <f>Sheet1!G1083</f>
        <v>188.42</v>
      </c>
      <c r="C1102" s="2996">
        <f t="shared" si="180"/>
        <v>0.99</v>
      </c>
      <c r="D1102" s="2994"/>
      <c r="E1102" s="2996">
        <f t="shared" si="181"/>
        <v>1</v>
      </c>
      <c r="F1102" s="2994"/>
      <c r="G1102" s="2996">
        <f t="shared" si="182"/>
        <v>1</v>
      </c>
      <c r="H1102" s="2994"/>
      <c r="I1102" s="2996">
        <f t="shared" si="183"/>
        <v>1</v>
      </c>
      <c r="J1102" s="2994"/>
      <c r="K1102" s="2996">
        <f t="shared" si="184"/>
        <v>1</v>
      </c>
      <c r="L1102" s="2994"/>
      <c r="M1102" s="2996">
        <f t="shared" si="185"/>
        <v>1</v>
      </c>
      <c r="N1102" s="2994"/>
      <c r="O1102" s="2996">
        <f t="shared" si="186"/>
        <v>1</v>
      </c>
      <c r="P1102" s="2994"/>
      <c r="Q1102" s="2996">
        <f t="shared" si="187"/>
        <v>1</v>
      </c>
      <c r="R1102" s="2997">
        <f t="shared" ca="1" si="188"/>
        <v>17087</v>
      </c>
      <c r="S1102" s="2962">
        <f t="shared" ca="1" si="189"/>
        <v>322</v>
      </c>
    </row>
    <row r="1103" spans="1:19">
      <c r="A1103" s="2992" t="str">
        <f>Sheet1!F1084</f>
        <v>2-1404</v>
      </c>
      <c r="B1103" s="2992">
        <f>Sheet1!G1084</f>
        <v>188.42</v>
      </c>
      <c r="C1103" s="2996">
        <f t="shared" si="180"/>
        <v>0.99</v>
      </c>
      <c r="D1103" s="2994"/>
      <c r="E1103" s="2996">
        <f t="shared" si="181"/>
        <v>1</v>
      </c>
      <c r="F1103" s="2994"/>
      <c r="G1103" s="2996">
        <f t="shared" si="182"/>
        <v>1</v>
      </c>
      <c r="H1103" s="2994"/>
      <c r="I1103" s="2996">
        <f t="shared" si="183"/>
        <v>1</v>
      </c>
      <c r="J1103" s="2994"/>
      <c r="K1103" s="2996">
        <f t="shared" si="184"/>
        <v>1</v>
      </c>
      <c r="L1103" s="2994"/>
      <c r="M1103" s="2996">
        <f t="shared" si="185"/>
        <v>1</v>
      </c>
      <c r="N1103" s="2994"/>
      <c r="O1103" s="2996">
        <f t="shared" si="186"/>
        <v>1</v>
      </c>
      <c r="P1103" s="2994"/>
      <c r="Q1103" s="2996">
        <f t="shared" si="187"/>
        <v>1</v>
      </c>
      <c r="R1103" s="2997">
        <f t="shared" ca="1" si="188"/>
        <v>17087</v>
      </c>
      <c r="S1103" s="2962">
        <f t="shared" ca="1" si="189"/>
        <v>322</v>
      </c>
    </row>
    <row r="1104" spans="1:19">
      <c r="A1104" s="2992" t="str">
        <f>Sheet1!F1085</f>
        <v>2-1405</v>
      </c>
      <c r="B1104" s="2992">
        <f>Sheet1!G1085</f>
        <v>188.42</v>
      </c>
      <c r="C1104" s="2996">
        <f t="shared" si="180"/>
        <v>0.99</v>
      </c>
      <c r="D1104" s="2994"/>
      <c r="E1104" s="2996">
        <f t="shared" si="181"/>
        <v>1</v>
      </c>
      <c r="F1104" s="2994"/>
      <c r="G1104" s="2996">
        <f t="shared" si="182"/>
        <v>1</v>
      </c>
      <c r="H1104" s="2994"/>
      <c r="I1104" s="2996">
        <f t="shared" si="183"/>
        <v>1</v>
      </c>
      <c r="J1104" s="2994"/>
      <c r="K1104" s="2996">
        <f t="shared" si="184"/>
        <v>1</v>
      </c>
      <c r="L1104" s="2994"/>
      <c r="M1104" s="2996">
        <f t="shared" si="185"/>
        <v>1</v>
      </c>
      <c r="N1104" s="2994"/>
      <c r="O1104" s="2996">
        <f t="shared" si="186"/>
        <v>1</v>
      </c>
      <c r="P1104" s="2994"/>
      <c r="Q1104" s="2996">
        <f t="shared" si="187"/>
        <v>1</v>
      </c>
      <c r="R1104" s="2997">
        <f t="shared" ca="1" si="188"/>
        <v>17087</v>
      </c>
      <c r="S1104" s="2962">
        <f t="shared" ca="1" si="189"/>
        <v>322</v>
      </c>
    </row>
    <row r="1105" spans="1:19">
      <c r="A1105" s="2992" t="str">
        <f>Sheet1!F1086</f>
        <v>2-1406</v>
      </c>
      <c r="B1105" s="2992">
        <f>Sheet1!G1086</f>
        <v>188.42</v>
      </c>
      <c r="C1105" s="2996">
        <f t="shared" si="180"/>
        <v>0.99</v>
      </c>
      <c r="D1105" s="2994"/>
      <c r="E1105" s="2996">
        <f t="shared" si="181"/>
        <v>1</v>
      </c>
      <c r="F1105" s="2994"/>
      <c r="G1105" s="2996">
        <f t="shared" si="182"/>
        <v>1</v>
      </c>
      <c r="H1105" s="2994"/>
      <c r="I1105" s="2996">
        <f t="shared" si="183"/>
        <v>1</v>
      </c>
      <c r="J1105" s="2994"/>
      <c r="K1105" s="2996">
        <f t="shared" si="184"/>
        <v>1</v>
      </c>
      <c r="L1105" s="2994"/>
      <c r="M1105" s="2996">
        <f t="shared" si="185"/>
        <v>1</v>
      </c>
      <c r="N1105" s="2994"/>
      <c r="O1105" s="2996">
        <f t="shared" si="186"/>
        <v>1</v>
      </c>
      <c r="P1105" s="2994"/>
      <c r="Q1105" s="2996">
        <f t="shared" si="187"/>
        <v>1</v>
      </c>
      <c r="R1105" s="2997">
        <f t="shared" ca="1" si="188"/>
        <v>17087</v>
      </c>
      <c r="S1105" s="2962">
        <f t="shared" ca="1" si="189"/>
        <v>322</v>
      </c>
    </row>
    <row r="1106" spans="1:19">
      <c r="A1106" s="2992" t="str">
        <f>Sheet1!F1087</f>
        <v>2-1407</v>
      </c>
      <c r="B1106" s="2992">
        <f>Sheet1!G1087</f>
        <v>188.42</v>
      </c>
      <c r="C1106" s="2996">
        <f t="shared" si="180"/>
        <v>0.99</v>
      </c>
      <c r="D1106" s="2994"/>
      <c r="E1106" s="2996">
        <f t="shared" si="181"/>
        <v>1</v>
      </c>
      <c r="F1106" s="2994"/>
      <c r="G1106" s="2996">
        <f t="shared" si="182"/>
        <v>1</v>
      </c>
      <c r="H1106" s="2994"/>
      <c r="I1106" s="2996">
        <f t="shared" si="183"/>
        <v>1</v>
      </c>
      <c r="J1106" s="2994"/>
      <c r="K1106" s="2996">
        <f t="shared" si="184"/>
        <v>1</v>
      </c>
      <c r="L1106" s="2994"/>
      <c r="M1106" s="2996">
        <f t="shared" si="185"/>
        <v>1</v>
      </c>
      <c r="N1106" s="2994"/>
      <c r="O1106" s="2996">
        <f t="shared" si="186"/>
        <v>1</v>
      </c>
      <c r="P1106" s="2994"/>
      <c r="Q1106" s="2996">
        <f t="shared" si="187"/>
        <v>1</v>
      </c>
      <c r="R1106" s="2997">
        <f t="shared" ca="1" si="188"/>
        <v>17087</v>
      </c>
      <c r="S1106" s="2962">
        <f t="shared" ca="1" si="189"/>
        <v>322</v>
      </c>
    </row>
    <row r="1107" spans="1:19">
      <c r="A1107" s="2992" t="str">
        <f>Sheet1!F1088</f>
        <v>2-1408</v>
      </c>
      <c r="B1107" s="2992">
        <f>Sheet1!G1088</f>
        <v>186.36</v>
      </c>
      <c r="C1107" s="2996">
        <f t="shared" si="180"/>
        <v>0.99</v>
      </c>
      <c r="D1107" s="2994"/>
      <c r="E1107" s="2996">
        <f t="shared" si="181"/>
        <v>1</v>
      </c>
      <c r="F1107" s="2994"/>
      <c r="G1107" s="2996">
        <f t="shared" si="182"/>
        <v>1</v>
      </c>
      <c r="H1107" s="2994"/>
      <c r="I1107" s="2996">
        <f t="shared" si="183"/>
        <v>1</v>
      </c>
      <c r="J1107" s="2994"/>
      <c r="K1107" s="2996">
        <f t="shared" si="184"/>
        <v>1</v>
      </c>
      <c r="L1107" s="2994"/>
      <c r="M1107" s="2996">
        <f t="shared" si="185"/>
        <v>1</v>
      </c>
      <c r="N1107" s="2994"/>
      <c r="O1107" s="2996">
        <f t="shared" si="186"/>
        <v>1</v>
      </c>
      <c r="P1107" s="2994"/>
      <c r="Q1107" s="2996">
        <f t="shared" si="187"/>
        <v>1</v>
      </c>
      <c r="R1107" s="2997">
        <f t="shared" ca="1" si="188"/>
        <v>17087</v>
      </c>
      <c r="S1107" s="2962">
        <f t="shared" ca="1" si="189"/>
        <v>318</v>
      </c>
    </row>
    <row r="1108" spans="1:19">
      <c r="A1108" s="2992" t="str">
        <f>Sheet1!F1089</f>
        <v>2-1409</v>
      </c>
      <c r="B1108" s="2992">
        <f>Sheet1!G1089</f>
        <v>188.36</v>
      </c>
      <c r="C1108" s="2996">
        <f t="shared" si="180"/>
        <v>0.99</v>
      </c>
      <c r="D1108" s="2994"/>
      <c r="E1108" s="2996">
        <f t="shared" si="181"/>
        <v>1</v>
      </c>
      <c r="F1108" s="2994"/>
      <c r="G1108" s="2996">
        <f t="shared" si="182"/>
        <v>1</v>
      </c>
      <c r="H1108" s="2994"/>
      <c r="I1108" s="2996">
        <f t="shared" si="183"/>
        <v>1</v>
      </c>
      <c r="J1108" s="2994"/>
      <c r="K1108" s="2996">
        <f t="shared" si="184"/>
        <v>1</v>
      </c>
      <c r="L1108" s="2994"/>
      <c r="M1108" s="2996">
        <f t="shared" si="185"/>
        <v>1</v>
      </c>
      <c r="N1108" s="2994"/>
      <c r="O1108" s="2996">
        <f t="shared" si="186"/>
        <v>1</v>
      </c>
      <c r="P1108" s="2994"/>
      <c r="Q1108" s="2996">
        <f t="shared" si="187"/>
        <v>1</v>
      </c>
      <c r="R1108" s="2997">
        <f t="shared" ca="1" si="188"/>
        <v>17087</v>
      </c>
      <c r="S1108" s="2962">
        <f t="shared" ca="1" si="189"/>
        <v>322</v>
      </c>
    </row>
    <row r="1109" spans="1:19">
      <c r="A1109" s="2992" t="str">
        <f>Sheet1!F1090</f>
        <v>2-1410</v>
      </c>
      <c r="B1109" s="2992">
        <f>Sheet1!G1090</f>
        <v>175.78</v>
      </c>
      <c r="C1109" s="2996">
        <f t="shared" si="180"/>
        <v>0.99</v>
      </c>
      <c r="D1109" s="2994"/>
      <c r="E1109" s="2996">
        <f t="shared" si="181"/>
        <v>1</v>
      </c>
      <c r="F1109" s="2994"/>
      <c r="G1109" s="2996">
        <f t="shared" si="182"/>
        <v>1</v>
      </c>
      <c r="H1109" s="2994"/>
      <c r="I1109" s="2996">
        <f t="shared" si="183"/>
        <v>1</v>
      </c>
      <c r="J1109" s="2994"/>
      <c r="K1109" s="2996">
        <f t="shared" si="184"/>
        <v>1</v>
      </c>
      <c r="L1109" s="2994"/>
      <c r="M1109" s="2996">
        <f t="shared" si="185"/>
        <v>1</v>
      </c>
      <c r="N1109" s="2994"/>
      <c r="O1109" s="2996">
        <f t="shared" si="186"/>
        <v>1</v>
      </c>
      <c r="P1109" s="2994"/>
      <c r="Q1109" s="2996">
        <f t="shared" si="187"/>
        <v>1</v>
      </c>
      <c r="R1109" s="2997">
        <f t="shared" ca="1" si="188"/>
        <v>17087</v>
      </c>
      <c r="S1109" s="2962">
        <f t="shared" ca="1" si="189"/>
        <v>300</v>
      </c>
    </row>
    <row r="1110" spans="1:19">
      <c r="A1110" s="2992" t="str">
        <f>Sheet1!F1091</f>
        <v>2-1411</v>
      </c>
      <c r="B1110" s="2992">
        <f>Sheet1!G1091</f>
        <v>279.95999999999998</v>
      </c>
      <c r="C1110" s="2996">
        <f t="shared" si="180"/>
        <v>0.98</v>
      </c>
      <c r="D1110" s="2994"/>
      <c r="E1110" s="2996">
        <f t="shared" si="181"/>
        <v>1</v>
      </c>
      <c r="F1110" s="2994"/>
      <c r="G1110" s="2996">
        <f t="shared" si="182"/>
        <v>1</v>
      </c>
      <c r="H1110" s="2994"/>
      <c r="I1110" s="2996">
        <f t="shared" si="183"/>
        <v>1</v>
      </c>
      <c r="J1110" s="2994"/>
      <c r="K1110" s="2996">
        <f t="shared" si="184"/>
        <v>1</v>
      </c>
      <c r="L1110" s="2994"/>
      <c r="M1110" s="2996">
        <f t="shared" si="185"/>
        <v>1</v>
      </c>
      <c r="N1110" s="2994"/>
      <c r="O1110" s="2996">
        <f t="shared" si="186"/>
        <v>1</v>
      </c>
      <c r="P1110" s="2994"/>
      <c r="Q1110" s="2996">
        <f t="shared" si="187"/>
        <v>1</v>
      </c>
      <c r="R1110" s="2997">
        <f t="shared" ca="1" si="188"/>
        <v>16915</v>
      </c>
      <c r="S1110" s="2962">
        <f t="shared" ca="1" si="189"/>
        <v>474</v>
      </c>
    </row>
    <row r="1111" spans="1:19">
      <c r="A1111" s="2992" t="str">
        <f>Sheet1!F1092</f>
        <v>2-1412</v>
      </c>
      <c r="B1111" s="2992">
        <f>Sheet1!G1092</f>
        <v>188.43</v>
      </c>
      <c r="C1111" s="2996">
        <f t="shared" si="180"/>
        <v>0.99</v>
      </c>
      <c r="D1111" s="2994"/>
      <c r="E1111" s="2996">
        <f t="shared" si="181"/>
        <v>1</v>
      </c>
      <c r="F1111" s="2994"/>
      <c r="G1111" s="2996">
        <f t="shared" si="182"/>
        <v>1</v>
      </c>
      <c r="H1111" s="2994"/>
      <c r="I1111" s="2996">
        <f t="shared" si="183"/>
        <v>1</v>
      </c>
      <c r="J1111" s="2994"/>
      <c r="K1111" s="2996">
        <f t="shared" si="184"/>
        <v>1</v>
      </c>
      <c r="L1111" s="2994"/>
      <c r="M1111" s="2996">
        <f t="shared" si="185"/>
        <v>1</v>
      </c>
      <c r="N1111" s="2994"/>
      <c r="O1111" s="2996">
        <f t="shared" si="186"/>
        <v>1</v>
      </c>
      <c r="P1111" s="2994"/>
      <c r="Q1111" s="2996">
        <f t="shared" si="187"/>
        <v>1</v>
      </c>
      <c r="R1111" s="2997">
        <f t="shared" ca="1" si="188"/>
        <v>17087</v>
      </c>
      <c r="S1111" s="2962">
        <f t="shared" ca="1" si="189"/>
        <v>322</v>
      </c>
    </row>
    <row r="1112" spans="1:19">
      <c r="A1112" s="2992" t="str">
        <f>Sheet1!F1093</f>
        <v>2-1413</v>
      </c>
      <c r="B1112" s="2992">
        <f>Sheet1!G1093</f>
        <v>188.43</v>
      </c>
      <c r="C1112" s="2996">
        <f t="shared" si="180"/>
        <v>0.99</v>
      </c>
      <c r="D1112" s="2994"/>
      <c r="E1112" s="2996">
        <f t="shared" si="181"/>
        <v>1</v>
      </c>
      <c r="F1112" s="2994"/>
      <c r="G1112" s="2996">
        <f t="shared" si="182"/>
        <v>1</v>
      </c>
      <c r="H1112" s="2994"/>
      <c r="I1112" s="2996">
        <f t="shared" si="183"/>
        <v>1</v>
      </c>
      <c r="J1112" s="2994"/>
      <c r="K1112" s="2996">
        <f t="shared" si="184"/>
        <v>1</v>
      </c>
      <c r="L1112" s="2994"/>
      <c r="M1112" s="2996">
        <f t="shared" si="185"/>
        <v>1</v>
      </c>
      <c r="N1112" s="2994"/>
      <c r="O1112" s="2996">
        <f t="shared" si="186"/>
        <v>1</v>
      </c>
      <c r="P1112" s="2994"/>
      <c r="Q1112" s="2996">
        <f t="shared" si="187"/>
        <v>1</v>
      </c>
      <c r="R1112" s="2997">
        <f t="shared" ca="1" si="188"/>
        <v>17087</v>
      </c>
      <c r="S1112" s="2962">
        <f t="shared" ca="1" si="189"/>
        <v>322</v>
      </c>
    </row>
    <row r="1113" spans="1:19">
      <c r="A1113" s="2992" t="str">
        <f>Sheet1!F1094</f>
        <v>2-1414</v>
      </c>
      <c r="B1113" s="2992">
        <f>Sheet1!G1094</f>
        <v>188.43</v>
      </c>
      <c r="C1113" s="2996">
        <f t="shared" si="180"/>
        <v>0.99</v>
      </c>
      <c r="D1113" s="2994"/>
      <c r="E1113" s="2996">
        <f t="shared" si="181"/>
        <v>1</v>
      </c>
      <c r="F1113" s="2994"/>
      <c r="G1113" s="2996">
        <f t="shared" si="182"/>
        <v>1</v>
      </c>
      <c r="H1113" s="2994"/>
      <c r="I1113" s="2996">
        <f t="shared" si="183"/>
        <v>1</v>
      </c>
      <c r="J1113" s="2994"/>
      <c r="K1113" s="2996">
        <f t="shared" si="184"/>
        <v>1</v>
      </c>
      <c r="L1113" s="2994"/>
      <c r="M1113" s="2996">
        <f t="shared" si="185"/>
        <v>1</v>
      </c>
      <c r="N1113" s="2994"/>
      <c r="O1113" s="2996">
        <f t="shared" si="186"/>
        <v>1</v>
      </c>
      <c r="P1113" s="2994"/>
      <c r="Q1113" s="2996">
        <f t="shared" si="187"/>
        <v>1</v>
      </c>
      <c r="R1113" s="2997">
        <f t="shared" ca="1" si="188"/>
        <v>17087</v>
      </c>
      <c r="S1113" s="2962">
        <f t="shared" ca="1" si="189"/>
        <v>322</v>
      </c>
    </row>
    <row r="1114" spans="1:19">
      <c r="A1114" s="2992" t="str">
        <f>Sheet1!F1095</f>
        <v>2-1415</v>
      </c>
      <c r="B1114" s="2992">
        <f>Sheet1!G1095</f>
        <v>188.43</v>
      </c>
      <c r="C1114" s="2996">
        <f t="shared" si="180"/>
        <v>0.99</v>
      </c>
      <c r="D1114" s="2994"/>
      <c r="E1114" s="2996">
        <f t="shared" si="181"/>
        <v>1</v>
      </c>
      <c r="F1114" s="2994"/>
      <c r="G1114" s="2996">
        <f t="shared" si="182"/>
        <v>1</v>
      </c>
      <c r="H1114" s="2994"/>
      <c r="I1114" s="2996">
        <f t="shared" si="183"/>
        <v>1</v>
      </c>
      <c r="J1114" s="2994"/>
      <c r="K1114" s="2996">
        <f t="shared" si="184"/>
        <v>1</v>
      </c>
      <c r="L1114" s="2994"/>
      <c r="M1114" s="2996">
        <f t="shared" si="185"/>
        <v>1</v>
      </c>
      <c r="N1114" s="2994"/>
      <c r="O1114" s="2996">
        <f t="shared" si="186"/>
        <v>1</v>
      </c>
      <c r="P1114" s="2994"/>
      <c r="Q1114" s="2996">
        <f t="shared" si="187"/>
        <v>1</v>
      </c>
      <c r="R1114" s="2997">
        <f t="shared" ca="1" si="188"/>
        <v>17087</v>
      </c>
      <c r="S1114" s="2962">
        <f t="shared" ca="1" si="189"/>
        <v>322</v>
      </c>
    </row>
    <row r="1115" spans="1:19">
      <c r="A1115" s="2992" t="str">
        <f>Sheet1!F1096</f>
        <v>2-1416</v>
      </c>
      <c r="B1115" s="2992">
        <f>Sheet1!G1096</f>
        <v>188.43</v>
      </c>
      <c r="C1115" s="2996">
        <f t="shared" si="180"/>
        <v>0.99</v>
      </c>
      <c r="D1115" s="2994"/>
      <c r="E1115" s="2996">
        <f t="shared" si="181"/>
        <v>1</v>
      </c>
      <c r="F1115" s="2994"/>
      <c r="G1115" s="2996">
        <f t="shared" si="182"/>
        <v>1</v>
      </c>
      <c r="H1115" s="2994"/>
      <c r="I1115" s="2996">
        <f t="shared" si="183"/>
        <v>1</v>
      </c>
      <c r="J1115" s="2994"/>
      <c r="K1115" s="2996">
        <f t="shared" si="184"/>
        <v>1</v>
      </c>
      <c r="L1115" s="2994"/>
      <c r="M1115" s="2996">
        <f t="shared" si="185"/>
        <v>1</v>
      </c>
      <c r="N1115" s="2994"/>
      <c r="O1115" s="2996">
        <f t="shared" si="186"/>
        <v>1</v>
      </c>
      <c r="P1115" s="2994"/>
      <c r="Q1115" s="2996">
        <f t="shared" si="187"/>
        <v>1</v>
      </c>
      <c r="R1115" s="2997">
        <f t="shared" ca="1" si="188"/>
        <v>17087</v>
      </c>
      <c r="S1115" s="2962">
        <f t="shared" ca="1" si="189"/>
        <v>322</v>
      </c>
    </row>
    <row r="1116" spans="1:19">
      <c r="A1116" s="2992" t="str">
        <f>Sheet1!F1097</f>
        <v>2-1417</v>
      </c>
      <c r="B1116" s="2992">
        <f>Sheet1!G1097</f>
        <v>188.38</v>
      </c>
      <c r="C1116" s="2996">
        <f t="shared" si="180"/>
        <v>0.99</v>
      </c>
      <c r="D1116" s="2994"/>
      <c r="E1116" s="2996">
        <f t="shared" si="181"/>
        <v>1</v>
      </c>
      <c r="F1116" s="2994"/>
      <c r="G1116" s="2996">
        <f t="shared" si="182"/>
        <v>1</v>
      </c>
      <c r="H1116" s="2994"/>
      <c r="I1116" s="2996">
        <f t="shared" si="183"/>
        <v>1</v>
      </c>
      <c r="J1116" s="2994"/>
      <c r="K1116" s="2996">
        <f t="shared" si="184"/>
        <v>1</v>
      </c>
      <c r="L1116" s="2994"/>
      <c r="M1116" s="2996">
        <f t="shared" si="185"/>
        <v>1</v>
      </c>
      <c r="N1116" s="2994"/>
      <c r="O1116" s="2996">
        <f t="shared" si="186"/>
        <v>1</v>
      </c>
      <c r="P1116" s="2994"/>
      <c r="Q1116" s="2996">
        <f t="shared" si="187"/>
        <v>1</v>
      </c>
      <c r="R1116" s="2997">
        <f t="shared" ca="1" si="188"/>
        <v>17087</v>
      </c>
      <c r="S1116" s="2962">
        <f t="shared" ca="1" si="189"/>
        <v>322</v>
      </c>
    </row>
    <row r="1117" spans="1:19">
      <c r="A1117" s="2992" t="str">
        <f>Sheet1!F1098</f>
        <v>2-1418</v>
      </c>
      <c r="B1117" s="2992">
        <f>Sheet1!G1098</f>
        <v>208.95</v>
      </c>
      <c r="C1117" s="2996">
        <f t="shared" si="180"/>
        <v>0.98</v>
      </c>
      <c r="D1117" s="2994"/>
      <c r="E1117" s="2996">
        <f t="shared" si="181"/>
        <v>1</v>
      </c>
      <c r="F1117" s="2994"/>
      <c r="G1117" s="2996">
        <f t="shared" si="182"/>
        <v>1</v>
      </c>
      <c r="H1117" s="2994"/>
      <c r="I1117" s="2996">
        <f t="shared" si="183"/>
        <v>1</v>
      </c>
      <c r="J1117" s="2994"/>
      <c r="K1117" s="2996">
        <f t="shared" si="184"/>
        <v>1</v>
      </c>
      <c r="L1117" s="2994"/>
      <c r="M1117" s="2996">
        <f t="shared" si="185"/>
        <v>1</v>
      </c>
      <c r="N1117" s="2994"/>
      <c r="O1117" s="2996">
        <f t="shared" si="186"/>
        <v>1</v>
      </c>
      <c r="P1117" s="2994"/>
      <c r="Q1117" s="2996">
        <f t="shared" si="187"/>
        <v>1</v>
      </c>
      <c r="R1117" s="2997">
        <f t="shared" ca="1" si="188"/>
        <v>16915</v>
      </c>
      <c r="S1117" s="2962">
        <f t="shared" ca="1" si="189"/>
        <v>353</v>
      </c>
    </row>
    <row r="1118" spans="1:19">
      <c r="A1118" s="2992" t="str">
        <f>Sheet1!F1099</f>
        <v>2-1419</v>
      </c>
      <c r="B1118" s="2992">
        <f>Sheet1!G1099</f>
        <v>189.85</v>
      </c>
      <c r="C1118" s="2996">
        <f t="shared" si="180"/>
        <v>0.99</v>
      </c>
      <c r="D1118" s="2994"/>
      <c r="E1118" s="2996">
        <f t="shared" si="181"/>
        <v>1</v>
      </c>
      <c r="F1118" s="2994"/>
      <c r="G1118" s="2996">
        <f t="shared" si="182"/>
        <v>1</v>
      </c>
      <c r="H1118" s="2994"/>
      <c r="I1118" s="2996">
        <f t="shared" si="183"/>
        <v>1</v>
      </c>
      <c r="J1118" s="2994"/>
      <c r="K1118" s="2996">
        <f t="shared" si="184"/>
        <v>1</v>
      </c>
      <c r="L1118" s="2994"/>
      <c r="M1118" s="2996">
        <f t="shared" si="185"/>
        <v>1</v>
      </c>
      <c r="N1118" s="2994"/>
      <c r="O1118" s="2996">
        <f t="shared" si="186"/>
        <v>1</v>
      </c>
      <c r="P1118" s="2994"/>
      <c r="Q1118" s="2996">
        <f t="shared" si="187"/>
        <v>1</v>
      </c>
      <c r="R1118" s="2997">
        <f t="shared" ca="1" si="188"/>
        <v>17087</v>
      </c>
      <c r="S1118" s="2962">
        <f t="shared" ca="1" si="189"/>
        <v>324</v>
      </c>
    </row>
    <row r="1119" spans="1:19">
      <c r="A1119" s="2992" t="str">
        <f>Sheet1!F1100</f>
        <v>2-1420</v>
      </c>
      <c r="B1119" s="2992">
        <f>Sheet1!G1100</f>
        <v>169.23</v>
      </c>
      <c r="C1119" s="2996">
        <f t="shared" si="180"/>
        <v>0.99</v>
      </c>
      <c r="D1119" s="2994"/>
      <c r="E1119" s="2996">
        <f t="shared" si="181"/>
        <v>1</v>
      </c>
      <c r="F1119" s="2994"/>
      <c r="G1119" s="2996">
        <f t="shared" si="182"/>
        <v>1</v>
      </c>
      <c r="H1119" s="2994"/>
      <c r="I1119" s="2996">
        <f t="shared" si="183"/>
        <v>1</v>
      </c>
      <c r="J1119" s="2994"/>
      <c r="K1119" s="2996">
        <f t="shared" si="184"/>
        <v>1</v>
      </c>
      <c r="L1119" s="2994"/>
      <c r="M1119" s="2996">
        <f t="shared" si="185"/>
        <v>1</v>
      </c>
      <c r="N1119" s="2994"/>
      <c r="O1119" s="2996">
        <f t="shared" si="186"/>
        <v>1</v>
      </c>
      <c r="P1119" s="2994"/>
      <c r="Q1119" s="2996">
        <f t="shared" si="187"/>
        <v>1</v>
      </c>
      <c r="R1119" s="2997">
        <f t="shared" ca="1" si="188"/>
        <v>17087</v>
      </c>
      <c r="S1119" s="2962">
        <f t="shared" ca="1" si="189"/>
        <v>289</v>
      </c>
    </row>
    <row r="1120" spans="1:19">
      <c r="A1120" s="2992" t="str">
        <f>Sheet1!F1101</f>
        <v>3-1401</v>
      </c>
      <c r="B1120" s="2992">
        <f>Sheet1!G1101</f>
        <v>55.7</v>
      </c>
      <c r="C1120" s="2996">
        <f t="shared" si="180"/>
        <v>1</v>
      </c>
      <c r="D1120" s="2994"/>
      <c r="E1120" s="2996">
        <f t="shared" si="181"/>
        <v>1</v>
      </c>
      <c r="F1120" s="2994"/>
      <c r="G1120" s="2996">
        <f t="shared" si="182"/>
        <v>1</v>
      </c>
      <c r="H1120" s="2994"/>
      <c r="I1120" s="2996">
        <f t="shared" si="183"/>
        <v>1</v>
      </c>
      <c r="J1120" s="2994"/>
      <c r="K1120" s="2996">
        <f t="shared" si="184"/>
        <v>1</v>
      </c>
      <c r="L1120" s="2994"/>
      <c r="M1120" s="2996">
        <f t="shared" si="185"/>
        <v>1</v>
      </c>
      <c r="N1120" s="2994"/>
      <c r="O1120" s="2996">
        <f t="shared" si="186"/>
        <v>1</v>
      </c>
      <c r="P1120" s="2994"/>
      <c r="Q1120" s="2996">
        <f t="shared" si="187"/>
        <v>1</v>
      </c>
      <c r="R1120" s="2997">
        <f t="shared" ca="1" si="188"/>
        <v>17260</v>
      </c>
      <c r="S1120" s="2962">
        <f t="shared" ca="1" si="189"/>
        <v>96</v>
      </c>
    </row>
    <row r="1121" spans="1:19">
      <c r="A1121" s="2992" t="str">
        <f>Sheet1!F1102</f>
        <v>3-1402</v>
      </c>
      <c r="B1121" s="2992">
        <f>Sheet1!G1102</f>
        <v>49.53</v>
      </c>
      <c r="C1121" s="2996">
        <f t="shared" si="180"/>
        <v>1</v>
      </c>
      <c r="D1121" s="2994"/>
      <c r="E1121" s="2996">
        <f t="shared" si="181"/>
        <v>1</v>
      </c>
      <c r="F1121" s="2994"/>
      <c r="G1121" s="2996">
        <f t="shared" si="182"/>
        <v>1</v>
      </c>
      <c r="H1121" s="2994"/>
      <c r="I1121" s="2996">
        <f t="shared" si="183"/>
        <v>1</v>
      </c>
      <c r="J1121" s="2994"/>
      <c r="K1121" s="2996">
        <f t="shared" si="184"/>
        <v>1</v>
      </c>
      <c r="L1121" s="2994"/>
      <c r="M1121" s="2996">
        <f t="shared" si="185"/>
        <v>1</v>
      </c>
      <c r="N1121" s="2994"/>
      <c r="O1121" s="2996">
        <f t="shared" si="186"/>
        <v>1</v>
      </c>
      <c r="P1121" s="2994"/>
      <c r="Q1121" s="2996">
        <f t="shared" si="187"/>
        <v>1</v>
      </c>
      <c r="R1121" s="2997">
        <f t="shared" ca="1" si="188"/>
        <v>17260</v>
      </c>
      <c r="S1121" s="2962">
        <f t="shared" ca="1" si="189"/>
        <v>85</v>
      </c>
    </row>
    <row r="1122" spans="1:19">
      <c r="A1122" s="2992" t="str">
        <f>Sheet1!F1103</f>
        <v>3-1403</v>
      </c>
      <c r="B1122" s="2992">
        <f>Sheet1!G1103</f>
        <v>50.63</v>
      </c>
      <c r="C1122" s="2996">
        <f t="shared" si="180"/>
        <v>1</v>
      </c>
      <c r="D1122" s="2994"/>
      <c r="E1122" s="2996">
        <f t="shared" si="181"/>
        <v>1</v>
      </c>
      <c r="F1122" s="2994"/>
      <c r="G1122" s="2996">
        <f t="shared" si="182"/>
        <v>1</v>
      </c>
      <c r="H1122" s="2994"/>
      <c r="I1122" s="2996">
        <f t="shared" si="183"/>
        <v>1</v>
      </c>
      <c r="J1122" s="2994"/>
      <c r="K1122" s="2996">
        <f t="shared" si="184"/>
        <v>1</v>
      </c>
      <c r="L1122" s="2994"/>
      <c r="M1122" s="2996">
        <f t="shared" si="185"/>
        <v>1</v>
      </c>
      <c r="N1122" s="2994"/>
      <c r="O1122" s="2996">
        <f t="shared" si="186"/>
        <v>1</v>
      </c>
      <c r="P1122" s="2994"/>
      <c r="Q1122" s="2996">
        <f t="shared" si="187"/>
        <v>1</v>
      </c>
      <c r="R1122" s="2997">
        <f t="shared" ca="1" si="188"/>
        <v>17260</v>
      </c>
      <c r="S1122" s="2962">
        <f t="shared" ca="1" si="189"/>
        <v>87</v>
      </c>
    </row>
    <row r="1123" spans="1:19">
      <c r="A1123" s="2992" t="str">
        <f>Sheet1!F1104</f>
        <v>3-1404</v>
      </c>
      <c r="B1123" s="2992">
        <f>Sheet1!G1104</f>
        <v>50.63</v>
      </c>
      <c r="C1123" s="2996">
        <f t="shared" si="180"/>
        <v>1</v>
      </c>
      <c r="D1123" s="2994"/>
      <c r="E1123" s="2996">
        <f t="shared" si="181"/>
        <v>1</v>
      </c>
      <c r="F1123" s="2994"/>
      <c r="G1123" s="2996">
        <f t="shared" si="182"/>
        <v>1</v>
      </c>
      <c r="H1123" s="2994"/>
      <c r="I1123" s="2996">
        <f t="shared" si="183"/>
        <v>1</v>
      </c>
      <c r="J1123" s="2994"/>
      <c r="K1123" s="2996">
        <f t="shared" si="184"/>
        <v>1</v>
      </c>
      <c r="L1123" s="2994"/>
      <c r="M1123" s="2996">
        <f t="shared" si="185"/>
        <v>1</v>
      </c>
      <c r="N1123" s="2994"/>
      <c r="O1123" s="2996">
        <f t="shared" si="186"/>
        <v>1</v>
      </c>
      <c r="P1123" s="2994"/>
      <c r="Q1123" s="2996">
        <f t="shared" si="187"/>
        <v>1</v>
      </c>
      <c r="R1123" s="2997">
        <f t="shared" ca="1" si="188"/>
        <v>17260</v>
      </c>
      <c r="S1123" s="2962">
        <f t="shared" ca="1" si="189"/>
        <v>87</v>
      </c>
    </row>
    <row r="1124" spans="1:19">
      <c r="A1124" s="2992" t="str">
        <f>Sheet1!F1105</f>
        <v>3-1405</v>
      </c>
      <c r="B1124" s="2992">
        <f>Sheet1!G1105</f>
        <v>50.63</v>
      </c>
      <c r="C1124" s="2996">
        <f t="shared" si="180"/>
        <v>1</v>
      </c>
      <c r="D1124" s="2994"/>
      <c r="E1124" s="2996">
        <f t="shared" si="181"/>
        <v>1</v>
      </c>
      <c r="F1124" s="2994"/>
      <c r="G1124" s="2996">
        <f t="shared" si="182"/>
        <v>1</v>
      </c>
      <c r="H1124" s="2994"/>
      <c r="I1124" s="2996">
        <f t="shared" si="183"/>
        <v>1</v>
      </c>
      <c r="J1124" s="2994"/>
      <c r="K1124" s="2996">
        <f t="shared" si="184"/>
        <v>1</v>
      </c>
      <c r="L1124" s="2994"/>
      <c r="M1124" s="2996">
        <f t="shared" si="185"/>
        <v>1</v>
      </c>
      <c r="N1124" s="2994"/>
      <c r="O1124" s="2996">
        <f t="shared" si="186"/>
        <v>1</v>
      </c>
      <c r="P1124" s="2994"/>
      <c r="Q1124" s="2996">
        <f t="shared" si="187"/>
        <v>1</v>
      </c>
      <c r="R1124" s="2997">
        <f t="shared" ca="1" si="188"/>
        <v>17260</v>
      </c>
      <c r="S1124" s="2962">
        <f t="shared" ca="1" si="189"/>
        <v>87</v>
      </c>
    </row>
    <row r="1125" spans="1:19">
      <c r="A1125" s="2992" t="str">
        <f>Sheet1!F1106</f>
        <v>3-1406</v>
      </c>
      <c r="B1125" s="2992">
        <f>Sheet1!G1106</f>
        <v>50.63</v>
      </c>
      <c r="C1125" s="2996">
        <f t="shared" si="180"/>
        <v>1</v>
      </c>
      <c r="D1125" s="2994"/>
      <c r="E1125" s="2996">
        <f t="shared" si="181"/>
        <v>1</v>
      </c>
      <c r="F1125" s="2994"/>
      <c r="G1125" s="2996">
        <f t="shared" si="182"/>
        <v>1</v>
      </c>
      <c r="H1125" s="2994"/>
      <c r="I1125" s="2996">
        <f t="shared" si="183"/>
        <v>1</v>
      </c>
      <c r="J1125" s="2994"/>
      <c r="K1125" s="2996">
        <f t="shared" si="184"/>
        <v>1</v>
      </c>
      <c r="L1125" s="2994"/>
      <c r="M1125" s="2996">
        <f t="shared" si="185"/>
        <v>1</v>
      </c>
      <c r="N1125" s="2994"/>
      <c r="O1125" s="2996">
        <f t="shared" si="186"/>
        <v>1</v>
      </c>
      <c r="P1125" s="2994"/>
      <c r="Q1125" s="2996">
        <f t="shared" si="187"/>
        <v>1</v>
      </c>
      <c r="R1125" s="2997">
        <f t="shared" ca="1" si="188"/>
        <v>17260</v>
      </c>
      <c r="S1125" s="2962">
        <f t="shared" ca="1" si="189"/>
        <v>87</v>
      </c>
    </row>
    <row r="1126" spans="1:19">
      <c r="A1126" s="2992" t="str">
        <f>Sheet1!F1107</f>
        <v>3-1407</v>
      </c>
      <c r="B1126" s="2992">
        <f>Sheet1!G1107</f>
        <v>50.63</v>
      </c>
      <c r="C1126" s="2996">
        <f t="shared" si="180"/>
        <v>1</v>
      </c>
      <c r="D1126" s="2994"/>
      <c r="E1126" s="2996">
        <f t="shared" si="181"/>
        <v>1</v>
      </c>
      <c r="F1126" s="2994"/>
      <c r="G1126" s="2996">
        <f t="shared" si="182"/>
        <v>1</v>
      </c>
      <c r="H1126" s="2994"/>
      <c r="I1126" s="2996">
        <f t="shared" si="183"/>
        <v>1</v>
      </c>
      <c r="J1126" s="2994"/>
      <c r="K1126" s="2996">
        <f t="shared" si="184"/>
        <v>1</v>
      </c>
      <c r="L1126" s="2994"/>
      <c r="M1126" s="2996">
        <f t="shared" si="185"/>
        <v>1</v>
      </c>
      <c r="N1126" s="2994"/>
      <c r="O1126" s="2996">
        <f t="shared" si="186"/>
        <v>1</v>
      </c>
      <c r="P1126" s="2994"/>
      <c r="Q1126" s="2996">
        <f t="shared" si="187"/>
        <v>1</v>
      </c>
      <c r="R1126" s="2997">
        <f t="shared" ca="1" si="188"/>
        <v>17260</v>
      </c>
      <c r="S1126" s="2962">
        <f t="shared" ca="1" si="189"/>
        <v>87</v>
      </c>
    </row>
    <row r="1127" spans="1:19">
      <c r="A1127" s="2992" t="str">
        <f>Sheet1!F1108</f>
        <v>3-1408</v>
      </c>
      <c r="B1127" s="2992">
        <f>Sheet1!G1108</f>
        <v>50.63</v>
      </c>
      <c r="C1127" s="2996">
        <f t="shared" si="180"/>
        <v>1</v>
      </c>
      <c r="D1127" s="2994"/>
      <c r="E1127" s="2996">
        <f t="shared" si="181"/>
        <v>1</v>
      </c>
      <c r="F1127" s="2994"/>
      <c r="G1127" s="2996">
        <f t="shared" si="182"/>
        <v>1</v>
      </c>
      <c r="H1127" s="2994"/>
      <c r="I1127" s="2996">
        <f t="shared" si="183"/>
        <v>1</v>
      </c>
      <c r="J1127" s="2994"/>
      <c r="K1127" s="2996">
        <f t="shared" si="184"/>
        <v>1</v>
      </c>
      <c r="L1127" s="2994"/>
      <c r="M1127" s="2996">
        <f t="shared" si="185"/>
        <v>1</v>
      </c>
      <c r="N1127" s="2994"/>
      <c r="O1127" s="2996">
        <f t="shared" si="186"/>
        <v>1</v>
      </c>
      <c r="P1127" s="2994"/>
      <c r="Q1127" s="2996">
        <f t="shared" si="187"/>
        <v>1</v>
      </c>
      <c r="R1127" s="2997">
        <f t="shared" ca="1" si="188"/>
        <v>17260</v>
      </c>
      <c r="S1127" s="2962">
        <f t="shared" ca="1" si="189"/>
        <v>87</v>
      </c>
    </row>
    <row r="1128" spans="1:19">
      <c r="A1128" s="2992" t="str">
        <f>Sheet1!F1109</f>
        <v>3-1409</v>
      </c>
      <c r="B1128" s="2992">
        <f>Sheet1!G1109</f>
        <v>50.63</v>
      </c>
      <c r="C1128" s="2996">
        <f t="shared" si="180"/>
        <v>1</v>
      </c>
      <c r="D1128" s="2994"/>
      <c r="E1128" s="2996">
        <f t="shared" si="181"/>
        <v>1</v>
      </c>
      <c r="F1128" s="2994"/>
      <c r="G1128" s="2996">
        <f t="shared" si="182"/>
        <v>1</v>
      </c>
      <c r="H1128" s="2994"/>
      <c r="I1128" s="2996">
        <f t="shared" si="183"/>
        <v>1</v>
      </c>
      <c r="J1128" s="2994"/>
      <c r="K1128" s="2996">
        <f t="shared" si="184"/>
        <v>1</v>
      </c>
      <c r="L1128" s="2994"/>
      <c r="M1128" s="2996">
        <f t="shared" si="185"/>
        <v>1</v>
      </c>
      <c r="N1128" s="2994"/>
      <c r="O1128" s="2996">
        <f t="shared" si="186"/>
        <v>1</v>
      </c>
      <c r="P1128" s="2994"/>
      <c r="Q1128" s="2996">
        <f t="shared" si="187"/>
        <v>1</v>
      </c>
      <c r="R1128" s="2997">
        <f t="shared" ca="1" si="188"/>
        <v>17260</v>
      </c>
      <c r="S1128" s="2962">
        <f t="shared" ca="1" si="189"/>
        <v>87</v>
      </c>
    </row>
    <row r="1129" spans="1:19">
      <c r="A1129" s="2992" t="str">
        <f>Sheet1!F1110</f>
        <v>3-1410</v>
      </c>
      <c r="B1129" s="2992">
        <f>Sheet1!G1110</f>
        <v>50.63</v>
      </c>
      <c r="C1129" s="2996">
        <f t="shared" si="180"/>
        <v>1</v>
      </c>
      <c r="D1129" s="2994"/>
      <c r="E1129" s="2996">
        <f t="shared" si="181"/>
        <v>1</v>
      </c>
      <c r="F1129" s="2994"/>
      <c r="G1129" s="2996">
        <f t="shared" si="182"/>
        <v>1</v>
      </c>
      <c r="H1129" s="2994"/>
      <c r="I1129" s="2996">
        <f t="shared" si="183"/>
        <v>1</v>
      </c>
      <c r="J1129" s="2994"/>
      <c r="K1129" s="2996">
        <f t="shared" si="184"/>
        <v>1</v>
      </c>
      <c r="L1129" s="2994"/>
      <c r="M1129" s="2996">
        <f t="shared" si="185"/>
        <v>1</v>
      </c>
      <c r="N1129" s="2994"/>
      <c r="O1129" s="2996">
        <f t="shared" si="186"/>
        <v>1</v>
      </c>
      <c r="P1129" s="2994"/>
      <c r="Q1129" s="2996">
        <f t="shared" si="187"/>
        <v>1</v>
      </c>
      <c r="R1129" s="2997">
        <f t="shared" ca="1" si="188"/>
        <v>17260</v>
      </c>
      <c r="S1129" s="2962">
        <f t="shared" ca="1" si="189"/>
        <v>87</v>
      </c>
    </row>
    <row r="1130" spans="1:19">
      <c r="A1130" s="2992" t="str">
        <f>Sheet1!F1111</f>
        <v>3-1411</v>
      </c>
      <c r="B1130" s="2992">
        <f>Sheet1!G1111</f>
        <v>50.63</v>
      </c>
      <c r="C1130" s="2996">
        <f t="shared" si="180"/>
        <v>1</v>
      </c>
      <c r="D1130" s="2994"/>
      <c r="E1130" s="2996">
        <f t="shared" si="181"/>
        <v>1</v>
      </c>
      <c r="F1130" s="2994"/>
      <c r="G1130" s="2996">
        <f t="shared" si="182"/>
        <v>1</v>
      </c>
      <c r="H1130" s="2994"/>
      <c r="I1130" s="2996">
        <f t="shared" si="183"/>
        <v>1</v>
      </c>
      <c r="J1130" s="2994"/>
      <c r="K1130" s="2996">
        <f t="shared" si="184"/>
        <v>1</v>
      </c>
      <c r="L1130" s="2994"/>
      <c r="M1130" s="2996">
        <f t="shared" si="185"/>
        <v>1</v>
      </c>
      <c r="N1130" s="2994"/>
      <c r="O1130" s="2996">
        <f t="shared" si="186"/>
        <v>1</v>
      </c>
      <c r="P1130" s="2994"/>
      <c r="Q1130" s="2996">
        <f t="shared" si="187"/>
        <v>1</v>
      </c>
      <c r="R1130" s="2997">
        <f t="shared" ca="1" si="188"/>
        <v>17260</v>
      </c>
      <c r="S1130" s="2962">
        <f t="shared" ca="1" si="189"/>
        <v>87</v>
      </c>
    </row>
    <row r="1131" spans="1:19">
      <c r="A1131" s="2992" t="str">
        <f>Sheet1!F1112</f>
        <v>3-1412</v>
      </c>
      <c r="B1131" s="2992">
        <f>Sheet1!G1112</f>
        <v>50.63</v>
      </c>
      <c r="C1131" s="2996">
        <f t="shared" si="180"/>
        <v>1</v>
      </c>
      <c r="D1131" s="2994"/>
      <c r="E1131" s="2996">
        <f t="shared" si="181"/>
        <v>1</v>
      </c>
      <c r="F1131" s="2994"/>
      <c r="G1131" s="2996">
        <f t="shared" si="182"/>
        <v>1</v>
      </c>
      <c r="H1131" s="2994"/>
      <c r="I1131" s="2996">
        <f t="shared" si="183"/>
        <v>1</v>
      </c>
      <c r="J1131" s="2994"/>
      <c r="K1131" s="2996">
        <f t="shared" si="184"/>
        <v>1</v>
      </c>
      <c r="L1131" s="2994"/>
      <c r="M1131" s="2996">
        <f t="shared" si="185"/>
        <v>1</v>
      </c>
      <c r="N1131" s="2994"/>
      <c r="O1131" s="2996">
        <f t="shared" si="186"/>
        <v>1</v>
      </c>
      <c r="P1131" s="2994"/>
      <c r="Q1131" s="2996">
        <f t="shared" si="187"/>
        <v>1</v>
      </c>
      <c r="R1131" s="2997">
        <f t="shared" ca="1" si="188"/>
        <v>17260</v>
      </c>
      <c r="S1131" s="2962">
        <f t="shared" ca="1" si="189"/>
        <v>87</v>
      </c>
    </row>
    <row r="1132" spans="1:19">
      <c r="A1132" s="2992" t="str">
        <f>Sheet1!F1113</f>
        <v>3-1413</v>
      </c>
      <c r="B1132" s="2992">
        <f>Sheet1!G1113</f>
        <v>49.61</v>
      </c>
      <c r="C1132" s="2996">
        <f t="shared" si="180"/>
        <v>1</v>
      </c>
      <c r="D1132" s="2994"/>
      <c r="E1132" s="2996">
        <f t="shared" si="181"/>
        <v>1</v>
      </c>
      <c r="F1132" s="2994"/>
      <c r="G1132" s="2996">
        <f t="shared" si="182"/>
        <v>1</v>
      </c>
      <c r="H1132" s="2994"/>
      <c r="I1132" s="2996">
        <f t="shared" si="183"/>
        <v>1</v>
      </c>
      <c r="J1132" s="2994"/>
      <c r="K1132" s="2996">
        <f t="shared" si="184"/>
        <v>1</v>
      </c>
      <c r="L1132" s="2994"/>
      <c r="M1132" s="2996">
        <f t="shared" si="185"/>
        <v>1</v>
      </c>
      <c r="N1132" s="2994"/>
      <c r="O1132" s="2996">
        <f t="shared" si="186"/>
        <v>1</v>
      </c>
      <c r="P1132" s="2994"/>
      <c r="Q1132" s="2996">
        <f t="shared" si="187"/>
        <v>1</v>
      </c>
      <c r="R1132" s="2997">
        <f t="shared" ca="1" si="188"/>
        <v>17260</v>
      </c>
      <c r="S1132" s="2962">
        <f t="shared" ca="1" si="189"/>
        <v>86</v>
      </c>
    </row>
    <row r="1133" spans="1:19">
      <c r="A1133" s="2992" t="str">
        <f>Sheet1!F1114</f>
        <v>3-1414</v>
      </c>
      <c r="B1133" s="2992">
        <f>Sheet1!G1114</f>
        <v>46.31</v>
      </c>
      <c r="C1133" s="2996">
        <f t="shared" si="180"/>
        <v>1</v>
      </c>
      <c r="D1133" s="2994"/>
      <c r="E1133" s="2996">
        <f t="shared" si="181"/>
        <v>1</v>
      </c>
      <c r="F1133" s="2994"/>
      <c r="G1133" s="2996">
        <f t="shared" si="182"/>
        <v>1</v>
      </c>
      <c r="H1133" s="2994"/>
      <c r="I1133" s="2996">
        <f t="shared" si="183"/>
        <v>1</v>
      </c>
      <c r="J1133" s="2994"/>
      <c r="K1133" s="2996">
        <f t="shared" si="184"/>
        <v>1</v>
      </c>
      <c r="L1133" s="2994"/>
      <c r="M1133" s="2996">
        <f t="shared" si="185"/>
        <v>1</v>
      </c>
      <c r="N1133" s="2994"/>
      <c r="O1133" s="2996">
        <f t="shared" si="186"/>
        <v>1</v>
      </c>
      <c r="P1133" s="2994"/>
      <c r="Q1133" s="2996">
        <f t="shared" si="187"/>
        <v>1</v>
      </c>
      <c r="R1133" s="2997">
        <f t="shared" ca="1" si="188"/>
        <v>17260</v>
      </c>
      <c r="S1133" s="2962">
        <f t="shared" ca="1" si="189"/>
        <v>80</v>
      </c>
    </row>
    <row r="1134" spans="1:19">
      <c r="A1134" s="2992" t="str">
        <f>Sheet1!F1115</f>
        <v>3-1415</v>
      </c>
      <c r="B1134" s="2992">
        <f>Sheet1!G1115</f>
        <v>50.63</v>
      </c>
      <c r="C1134" s="2996">
        <f t="shared" si="180"/>
        <v>1</v>
      </c>
      <c r="D1134" s="2994"/>
      <c r="E1134" s="2996">
        <f t="shared" si="181"/>
        <v>1</v>
      </c>
      <c r="F1134" s="2994"/>
      <c r="G1134" s="2996">
        <f t="shared" si="182"/>
        <v>1</v>
      </c>
      <c r="H1134" s="2994"/>
      <c r="I1134" s="2996">
        <f t="shared" si="183"/>
        <v>1</v>
      </c>
      <c r="J1134" s="2994"/>
      <c r="K1134" s="2996">
        <f t="shared" si="184"/>
        <v>1</v>
      </c>
      <c r="L1134" s="2994"/>
      <c r="M1134" s="2996">
        <f t="shared" si="185"/>
        <v>1</v>
      </c>
      <c r="N1134" s="2994"/>
      <c r="O1134" s="2996">
        <f t="shared" si="186"/>
        <v>1</v>
      </c>
      <c r="P1134" s="2994"/>
      <c r="Q1134" s="2996">
        <f t="shared" si="187"/>
        <v>1</v>
      </c>
      <c r="R1134" s="2997">
        <f t="shared" ca="1" si="188"/>
        <v>17260</v>
      </c>
      <c r="S1134" s="2962">
        <f t="shared" ca="1" si="189"/>
        <v>87</v>
      </c>
    </row>
    <row r="1135" spans="1:19">
      <c r="A1135" s="2992" t="str">
        <f>Sheet1!F1116</f>
        <v>3-1416</v>
      </c>
      <c r="B1135" s="2992">
        <f>Sheet1!G1116</f>
        <v>50.63</v>
      </c>
      <c r="C1135" s="2996">
        <f t="shared" si="180"/>
        <v>1</v>
      </c>
      <c r="D1135" s="2994"/>
      <c r="E1135" s="2996">
        <f t="shared" si="181"/>
        <v>1</v>
      </c>
      <c r="F1135" s="2994"/>
      <c r="G1135" s="2996">
        <f t="shared" si="182"/>
        <v>1</v>
      </c>
      <c r="H1135" s="2994"/>
      <c r="I1135" s="2996">
        <f t="shared" si="183"/>
        <v>1</v>
      </c>
      <c r="J1135" s="2994"/>
      <c r="K1135" s="2996">
        <f t="shared" si="184"/>
        <v>1</v>
      </c>
      <c r="L1135" s="2994"/>
      <c r="M1135" s="2996">
        <f t="shared" si="185"/>
        <v>1</v>
      </c>
      <c r="N1135" s="2994"/>
      <c r="O1135" s="2996">
        <f t="shared" si="186"/>
        <v>1</v>
      </c>
      <c r="P1135" s="2994"/>
      <c r="Q1135" s="2996">
        <f t="shared" si="187"/>
        <v>1</v>
      </c>
      <c r="R1135" s="2997">
        <f t="shared" ca="1" si="188"/>
        <v>17260</v>
      </c>
      <c r="S1135" s="2962">
        <f t="shared" ca="1" si="189"/>
        <v>87</v>
      </c>
    </row>
    <row r="1136" spans="1:19">
      <c r="A1136" s="2992" t="str">
        <f>Sheet1!F1117</f>
        <v>3-1417</v>
      </c>
      <c r="B1136" s="2992">
        <f>Sheet1!G1117</f>
        <v>62.54</v>
      </c>
      <c r="C1136" s="2996">
        <f t="shared" si="180"/>
        <v>1</v>
      </c>
      <c r="D1136" s="2994"/>
      <c r="E1136" s="2996">
        <f t="shared" si="181"/>
        <v>1</v>
      </c>
      <c r="F1136" s="2994"/>
      <c r="G1136" s="2996">
        <f t="shared" si="182"/>
        <v>1</v>
      </c>
      <c r="H1136" s="2994"/>
      <c r="I1136" s="2996">
        <f t="shared" si="183"/>
        <v>1</v>
      </c>
      <c r="J1136" s="2994"/>
      <c r="K1136" s="2996">
        <f t="shared" si="184"/>
        <v>1</v>
      </c>
      <c r="L1136" s="2994"/>
      <c r="M1136" s="2996">
        <f t="shared" si="185"/>
        <v>1</v>
      </c>
      <c r="N1136" s="2994"/>
      <c r="O1136" s="2996">
        <f t="shared" si="186"/>
        <v>1</v>
      </c>
      <c r="P1136" s="2994"/>
      <c r="Q1136" s="2996">
        <f t="shared" si="187"/>
        <v>1</v>
      </c>
      <c r="R1136" s="2997">
        <f t="shared" ca="1" si="188"/>
        <v>17260</v>
      </c>
      <c r="S1136" s="2962">
        <f t="shared" ca="1" si="189"/>
        <v>108</v>
      </c>
    </row>
    <row r="1137" spans="1:19">
      <c r="A1137" s="2992" t="str">
        <f>Sheet1!F1118</f>
        <v>3-1418</v>
      </c>
      <c r="B1137" s="2992">
        <f>Sheet1!G1118</f>
        <v>62.56</v>
      </c>
      <c r="C1137" s="2996">
        <f t="shared" si="180"/>
        <v>1</v>
      </c>
      <c r="D1137" s="2994"/>
      <c r="E1137" s="2996">
        <f t="shared" si="181"/>
        <v>1</v>
      </c>
      <c r="F1137" s="2994"/>
      <c r="G1137" s="2996">
        <f t="shared" si="182"/>
        <v>1</v>
      </c>
      <c r="H1137" s="2994"/>
      <c r="I1137" s="2996">
        <f t="shared" si="183"/>
        <v>1</v>
      </c>
      <c r="J1137" s="2994"/>
      <c r="K1137" s="2996">
        <f t="shared" si="184"/>
        <v>1</v>
      </c>
      <c r="L1137" s="2994"/>
      <c r="M1137" s="2996">
        <f t="shared" si="185"/>
        <v>1</v>
      </c>
      <c r="N1137" s="2994"/>
      <c r="O1137" s="2996">
        <f t="shared" si="186"/>
        <v>1</v>
      </c>
      <c r="P1137" s="2994"/>
      <c r="Q1137" s="2996">
        <f t="shared" si="187"/>
        <v>1</v>
      </c>
      <c r="R1137" s="2997">
        <f t="shared" ca="1" si="188"/>
        <v>17260</v>
      </c>
      <c r="S1137" s="2962">
        <f t="shared" ca="1" si="189"/>
        <v>108</v>
      </c>
    </row>
    <row r="1138" spans="1:19">
      <c r="A1138" s="2992" t="str">
        <f>Sheet1!F1119</f>
        <v>3-1419</v>
      </c>
      <c r="B1138" s="2992">
        <f>Sheet1!G1119</f>
        <v>62.56</v>
      </c>
      <c r="C1138" s="2996">
        <f t="shared" si="180"/>
        <v>1</v>
      </c>
      <c r="D1138" s="2994"/>
      <c r="E1138" s="2996">
        <f t="shared" si="181"/>
        <v>1</v>
      </c>
      <c r="F1138" s="2994"/>
      <c r="G1138" s="2996">
        <f t="shared" si="182"/>
        <v>1</v>
      </c>
      <c r="H1138" s="2994"/>
      <c r="I1138" s="2996">
        <f t="shared" si="183"/>
        <v>1</v>
      </c>
      <c r="J1138" s="2994"/>
      <c r="K1138" s="2996">
        <f t="shared" si="184"/>
        <v>1</v>
      </c>
      <c r="L1138" s="2994"/>
      <c r="M1138" s="2996">
        <f t="shared" si="185"/>
        <v>1</v>
      </c>
      <c r="N1138" s="2994"/>
      <c r="O1138" s="2996">
        <f t="shared" si="186"/>
        <v>1</v>
      </c>
      <c r="P1138" s="2994"/>
      <c r="Q1138" s="2996">
        <f t="shared" si="187"/>
        <v>1</v>
      </c>
      <c r="R1138" s="2997">
        <f t="shared" ca="1" si="188"/>
        <v>17260</v>
      </c>
      <c r="S1138" s="2962">
        <f t="shared" ca="1" si="189"/>
        <v>108</v>
      </c>
    </row>
    <row r="1139" spans="1:19">
      <c r="A1139" s="2992" t="str">
        <f>Sheet1!F1120</f>
        <v>3-1420</v>
      </c>
      <c r="B1139" s="2992">
        <f>Sheet1!G1120</f>
        <v>62.54</v>
      </c>
      <c r="C1139" s="2996">
        <f t="shared" si="180"/>
        <v>1</v>
      </c>
      <c r="D1139" s="2994"/>
      <c r="E1139" s="2996">
        <f t="shared" si="181"/>
        <v>1</v>
      </c>
      <c r="F1139" s="2994"/>
      <c r="G1139" s="2996">
        <f t="shared" si="182"/>
        <v>1</v>
      </c>
      <c r="H1139" s="2994"/>
      <c r="I1139" s="2996">
        <f t="shared" si="183"/>
        <v>1</v>
      </c>
      <c r="J1139" s="2994"/>
      <c r="K1139" s="2996">
        <f t="shared" si="184"/>
        <v>1</v>
      </c>
      <c r="L1139" s="2994"/>
      <c r="M1139" s="2996">
        <f t="shared" si="185"/>
        <v>1</v>
      </c>
      <c r="N1139" s="2994"/>
      <c r="O1139" s="2996">
        <f t="shared" si="186"/>
        <v>1</v>
      </c>
      <c r="P1139" s="2994"/>
      <c r="Q1139" s="2996">
        <f t="shared" si="187"/>
        <v>1</v>
      </c>
      <c r="R1139" s="2997">
        <f t="shared" ca="1" si="188"/>
        <v>17260</v>
      </c>
      <c r="S1139" s="2962">
        <f t="shared" ca="1" si="189"/>
        <v>108</v>
      </c>
    </row>
    <row r="1140" spans="1:19">
      <c r="A1140" s="2992" t="str">
        <f>Sheet1!F1121</f>
        <v>3-1421</v>
      </c>
      <c r="B1140" s="2992">
        <f>Sheet1!G1121</f>
        <v>60.63</v>
      </c>
      <c r="C1140" s="2996">
        <f t="shared" si="180"/>
        <v>1</v>
      </c>
      <c r="D1140" s="2994"/>
      <c r="E1140" s="2996">
        <f t="shared" si="181"/>
        <v>1</v>
      </c>
      <c r="F1140" s="2994"/>
      <c r="G1140" s="2996">
        <f t="shared" si="182"/>
        <v>1</v>
      </c>
      <c r="H1140" s="2994"/>
      <c r="I1140" s="2996">
        <f t="shared" si="183"/>
        <v>1</v>
      </c>
      <c r="J1140" s="2994"/>
      <c r="K1140" s="2996">
        <f t="shared" si="184"/>
        <v>1</v>
      </c>
      <c r="L1140" s="2994"/>
      <c r="M1140" s="2996">
        <f t="shared" si="185"/>
        <v>1</v>
      </c>
      <c r="N1140" s="2994"/>
      <c r="O1140" s="2996">
        <f t="shared" si="186"/>
        <v>1</v>
      </c>
      <c r="P1140" s="2994"/>
      <c r="Q1140" s="2996">
        <f t="shared" si="187"/>
        <v>1</v>
      </c>
      <c r="R1140" s="2997">
        <f t="shared" ca="1" si="188"/>
        <v>17260</v>
      </c>
      <c r="S1140" s="2962">
        <f t="shared" ca="1" si="189"/>
        <v>105</v>
      </c>
    </row>
    <row r="1141" spans="1:19">
      <c r="A1141" s="2992" t="str">
        <f>Sheet1!F1122</f>
        <v>3-1422</v>
      </c>
      <c r="B1141" s="2992">
        <f>Sheet1!G1122</f>
        <v>60.63</v>
      </c>
      <c r="C1141" s="2996">
        <f t="shared" si="180"/>
        <v>1</v>
      </c>
      <c r="D1141" s="2994"/>
      <c r="E1141" s="2996">
        <f t="shared" si="181"/>
        <v>1</v>
      </c>
      <c r="F1141" s="2994"/>
      <c r="G1141" s="2996">
        <f t="shared" si="182"/>
        <v>1</v>
      </c>
      <c r="H1141" s="2994"/>
      <c r="I1141" s="2996">
        <f t="shared" si="183"/>
        <v>1</v>
      </c>
      <c r="J1141" s="2994"/>
      <c r="K1141" s="2996">
        <f t="shared" si="184"/>
        <v>1</v>
      </c>
      <c r="L1141" s="2994"/>
      <c r="M1141" s="2996">
        <f t="shared" si="185"/>
        <v>1</v>
      </c>
      <c r="N1141" s="2994"/>
      <c r="O1141" s="2996">
        <f t="shared" si="186"/>
        <v>1</v>
      </c>
      <c r="P1141" s="2994"/>
      <c r="Q1141" s="2996">
        <f t="shared" si="187"/>
        <v>1</v>
      </c>
      <c r="R1141" s="2997">
        <f t="shared" ca="1" si="188"/>
        <v>17260</v>
      </c>
      <c r="S1141" s="2962">
        <f t="shared" ca="1" si="189"/>
        <v>105</v>
      </c>
    </row>
    <row r="1142" spans="1:19">
      <c r="A1142" s="2992" t="str">
        <f>Sheet1!F1123</f>
        <v>3-1423</v>
      </c>
      <c r="B1142" s="2992">
        <f>Sheet1!G1123</f>
        <v>60.63</v>
      </c>
      <c r="C1142" s="2996">
        <f t="shared" si="180"/>
        <v>1</v>
      </c>
      <c r="D1142" s="2994"/>
      <c r="E1142" s="2996">
        <f t="shared" si="181"/>
        <v>1</v>
      </c>
      <c r="F1142" s="2994"/>
      <c r="G1142" s="2996">
        <f t="shared" si="182"/>
        <v>1</v>
      </c>
      <c r="H1142" s="2994"/>
      <c r="I1142" s="2996">
        <f t="shared" si="183"/>
        <v>1</v>
      </c>
      <c r="J1142" s="2994"/>
      <c r="K1142" s="2996">
        <f t="shared" si="184"/>
        <v>1</v>
      </c>
      <c r="L1142" s="2994"/>
      <c r="M1142" s="2996">
        <f t="shared" si="185"/>
        <v>1</v>
      </c>
      <c r="N1142" s="2994"/>
      <c r="O1142" s="2996">
        <f t="shared" si="186"/>
        <v>1</v>
      </c>
      <c r="P1142" s="2994"/>
      <c r="Q1142" s="2996">
        <f t="shared" si="187"/>
        <v>1</v>
      </c>
      <c r="R1142" s="2997">
        <f t="shared" ca="1" si="188"/>
        <v>17260</v>
      </c>
      <c r="S1142" s="2962">
        <f t="shared" ca="1" si="189"/>
        <v>105</v>
      </c>
    </row>
    <row r="1143" spans="1:19">
      <c r="A1143" s="2992" t="str">
        <f>Sheet1!F1124</f>
        <v>3-1424</v>
      </c>
      <c r="B1143" s="2992">
        <f>Sheet1!G1124</f>
        <v>60.63</v>
      </c>
      <c r="C1143" s="2996">
        <f t="shared" si="180"/>
        <v>1</v>
      </c>
      <c r="D1143" s="2994"/>
      <c r="E1143" s="2996">
        <f t="shared" si="181"/>
        <v>1</v>
      </c>
      <c r="F1143" s="2994"/>
      <c r="G1143" s="2996">
        <f t="shared" si="182"/>
        <v>1</v>
      </c>
      <c r="H1143" s="2994"/>
      <c r="I1143" s="2996">
        <f t="shared" si="183"/>
        <v>1</v>
      </c>
      <c r="J1143" s="2994"/>
      <c r="K1143" s="2996">
        <f t="shared" si="184"/>
        <v>1</v>
      </c>
      <c r="L1143" s="2994"/>
      <c r="M1143" s="2996">
        <f t="shared" si="185"/>
        <v>1</v>
      </c>
      <c r="N1143" s="2994"/>
      <c r="O1143" s="2996">
        <f t="shared" si="186"/>
        <v>1</v>
      </c>
      <c r="P1143" s="2994"/>
      <c r="Q1143" s="2996">
        <f t="shared" si="187"/>
        <v>1</v>
      </c>
      <c r="R1143" s="2997">
        <f t="shared" ca="1" si="188"/>
        <v>17260</v>
      </c>
      <c r="S1143" s="2962">
        <f t="shared" ca="1" si="189"/>
        <v>105</v>
      </c>
    </row>
    <row r="1144" spans="1:19">
      <c r="A1144" s="2992" t="str">
        <f>Sheet1!F1125</f>
        <v>3-1425</v>
      </c>
      <c r="B1144" s="2992">
        <f>Sheet1!G1125</f>
        <v>60.63</v>
      </c>
      <c r="C1144" s="2996">
        <f t="shared" si="180"/>
        <v>1</v>
      </c>
      <c r="D1144" s="2994"/>
      <c r="E1144" s="2996">
        <f t="shared" si="181"/>
        <v>1</v>
      </c>
      <c r="F1144" s="2994"/>
      <c r="G1144" s="2996">
        <f t="shared" si="182"/>
        <v>1</v>
      </c>
      <c r="H1144" s="2994"/>
      <c r="I1144" s="2996">
        <f t="shared" si="183"/>
        <v>1</v>
      </c>
      <c r="J1144" s="2994"/>
      <c r="K1144" s="2996">
        <f t="shared" si="184"/>
        <v>1</v>
      </c>
      <c r="L1144" s="2994"/>
      <c r="M1144" s="2996">
        <f t="shared" si="185"/>
        <v>1</v>
      </c>
      <c r="N1144" s="2994"/>
      <c r="O1144" s="2996">
        <f t="shared" si="186"/>
        <v>1</v>
      </c>
      <c r="P1144" s="2994"/>
      <c r="Q1144" s="2996">
        <f t="shared" si="187"/>
        <v>1</v>
      </c>
      <c r="R1144" s="2997">
        <f t="shared" ca="1" si="188"/>
        <v>17260</v>
      </c>
      <c r="S1144" s="2962">
        <f t="shared" ca="1" si="189"/>
        <v>105</v>
      </c>
    </row>
    <row r="1145" spans="1:19">
      <c r="A1145" s="2992" t="str">
        <f>Sheet1!F1126</f>
        <v>3-1426</v>
      </c>
      <c r="B1145" s="2992">
        <f>Sheet1!G1126</f>
        <v>60.63</v>
      </c>
      <c r="C1145" s="2996">
        <f t="shared" si="180"/>
        <v>1</v>
      </c>
      <c r="D1145" s="2994"/>
      <c r="E1145" s="2996">
        <f t="shared" si="181"/>
        <v>1</v>
      </c>
      <c r="F1145" s="2994"/>
      <c r="G1145" s="2996">
        <f t="shared" si="182"/>
        <v>1</v>
      </c>
      <c r="H1145" s="2994"/>
      <c r="I1145" s="2996">
        <f t="shared" si="183"/>
        <v>1</v>
      </c>
      <c r="J1145" s="2994"/>
      <c r="K1145" s="2996">
        <f t="shared" si="184"/>
        <v>1</v>
      </c>
      <c r="L1145" s="2994"/>
      <c r="M1145" s="2996">
        <f t="shared" si="185"/>
        <v>1</v>
      </c>
      <c r="N1145" s="2994"/>
      <c r="O1145" s="2996">
        <f t="shared" si="186"/>
        <v>1</v>
      </c>
      <c r="P1145" s="2994"/>
      <c r="Q1145" s="2996">
        <f t="shared" si="187"/>
        <v>1</v>
      </c>
      <c r="R1145" s="2997">
        <f t="shared" ca="1" si="188"/>
        <v>17260</v>
      </c>
      <c r="S1145" s="2962">
        <f t="shared" ca="1" si="189"/>
        <v>105</v>
      </c>
    </row>
    <row r="1146" spans="1:19">
      <c r="A1146" s="2992" t="str">
        <f>Sheet1!F1127</f>
        <v>3-1427</v>
      </c>
      <c r="B1146" s="2992">
        <f>Sheet1!G1127</f>
        <v>60.63</v>
      </c>
      <c r="C1146" s="2996">
        <f t="shared" si="180"/>
        <v>1</v>
      </c>
      <c r="D1146" s="2994"/>
      <c r="E1146" s="2996">
        <f t="shared" si="181"/>
        <v>1</v>
      </c>
      <c r="F1146" s="2994"/>
      <c r="G1146" s="2996">
        <f t="shared" si="182"/>
        <v>1</v>
      </c>
      <c r="H1146" s="2994"/>
      <c r="I1146" s="2996">
        <f t="shared" si="183"/>
        <v>1</v>
      </c>
      <c r="J1146" s="2994"/>
      <c r="K1146" s="2996">
        <f t="shared" si="184"/>
        <v>1</v>
      </c>
      <c r="L1146" s="2994"/>
      <c r="M1146" s="2996">
        <f t="shared" si="185"/>
        <v>1</v>
      </c>
      <c r="N1146" s="2994"/>
      <c r="O1146" s="2996">
        <f t="shared" si="186"/>
        <v>1</v>
      </c>
      <c r="P1146" s="2994"/>
      <c r="Q1146" s="2996">
        <f t="shared" si="187"/>
        <v>1</v>
      </c>
      <c r="R1146" s="2997">
        <f t="shared" ca="1" si="188"/>
        <v>17260</v>
      </c>
      <c r="S1146" s="2962">
        <f t="shared" ca="1" si="189"/>
        <v>105</v>
      </c>
    </row>
    <row r="1147" spans="1:19">
      <c r="A1147" s="2992" t="str">
        <f>Sheet1!F1128</f>
        <v>3-1428</v>
      </c>
      <c r="B1147" s="2992">
        <f>Sheet1!G1128</f>
        <v>60.63</v>
      </c>
      <c r="C1147" s="2996">
        <f t="shared" si="180"/>
        <v>1</v>
      </c>
      <c r="D1147" s="2994"/>
      <c r="E1147" s="2996">
        <f t="shared" si="181"/>
        <v>1</v>
      </c>
      <c r="F1147" s="2994"/>
      <c r="G1147" s="2996">
        <f t="shared" si="182"/>
        <v>1</v>
      </c>
      <c r="H1147" s="2994"/>
      <c r="I1147" s="2996">
        <f t="shared" si="183"/>
        <v>1</v>
      </c>
      <c r="J1147" s="2994"/>
      <c r="K1147" s="2996">
        <f t="shared" si="184"/>
        <v>1</v>
      </c>
      <c r="L1147" s="2994"/>
      <c r="M1147" s="2996">
        <f t="shared" si="185"/>
        <v>1</v>
      </c>
      <c r="N1147" s="2994"/>
      <c r="O1147" s="2996">
        <f t="shared" si="186"/>
        <v>1</v>
      </c>
      <c r="P1147" s="2994"/>
      <c r="Q1147" s="2996">
        <f t="shared" si="187"/>
        <v>1</v>
      </c>
      <c r="R1147" s="2997">
        <f t="shared" ca="1" si="188"/>
        <v>17260</v>
      </c>
      <c r="S1147" s="2962">
        <f t="shared" ca="1" si="189"/>
        <v>105</v>
      </c>
    </row>
    <row r="1148" spans="1:19">
      <c r="A1148" s="2992" t="str">
        <f>Sheet1!F1129</f>
        <v>3-1429</v>
      </c>
      <c r="B1148" s="2992">
        <f>Sheet1!G1129</f>
        <v>60.63</v>
      </c>
      <c r="C1148" s="2996">
        <f t="shared" si="180"/>
        <v>1</v>
      </c>
      <c r="D1148" s="2994"/>
      <c r="E1148" s="2996">
        <f t="shared" si="181"/>
        <v>1</v>
      </c>
      <c r="F1148" s="2994"/>
      <c r="G1148" s="2996">
        <f t="shared" si="182"/>
        <v>1</v>
      </c>
      <c r="H1148" s="2994"/>
      <c r="I1148" s="2996">
        <f t="shared" si="183"/>
        <v>1</v>
      </c>
      <c r="J1148" s="2994"/>
      <c r="K1148" s="2996">
        <f t="shared" si="184"/>
        <v>1</v>
      </c>
      <c r="L1148" s="2994"/>
      <c r="M1148" s="2996">
        <f t="shared" si="185"/>
        <v>1</v>
      </c>
      <c r="N1148" s="2994"/>
      <c r="O1148" s="2996">
        <f t="shared" si="186"/>
        <v>1</v>
      </c>
      <c r="P1148" s="2994"/>
      <c r="Q1148" s="2996">
        <f t="shared" si="187"/>
        <v>1</v>
      </c>
      <c r="R1148" s="2997">
        <f t="shared" ca="1" si="188"/>
        <v>17260</v>
      </c>
      <c r="S1148" s="2962">
        <f t="shared" ca="1" si="189"/>
        <v>105</v>
      </c>
    </row>
    <row r="1149" spans="1:19">
      <c r="A1149" s="2992" t="str">
        <f>Sheet1!F1130</f>
        <v>3-1430</v>
      </c>
      <c r="B1149" s="2992">
        <f>Sheet1!G1130</f>
        <v>60.63</v>
      </c>
      <c r="C1149" s="2996">
        <f t="shared" si="180"/>
        <v>1</v>
      </c>
      <c r="D1149" s="2994"/>
      <c r="E1149" s="2996">
        <f t="shared" si="181"/>
        <v>1</v>
      </c>
      <c r="F1149" s="2994"/>
      <c r="G1149" s="2996">
        <f t="shared" si="182"/>
        <v>1</v>
      </c>
      <c r="H1149" s="2994"/>
      <c r="I1149" s="2996">
        <f t="shared" si="183"/>
        <v>1</v>
      </c>
      <c r="J1149" s="2994"/>
      <c r="K1149" s="2996">
        <f t="shared" si="184"/>
        <v>1</v>
      </c>
      <c r="L1149" s="2994"/>
      <c r="M1149" s="2996">
        <f t="shared" si="185"/>
        <v>1</v>
      </c>
      <c r="N1149" s="2994"/>
      <c r="O1149" s="2996">
        <f t="shared" si="186"/>
        <v>1</v>
      </c>
      <c r="P1149" s="2994"/>
      <c r="Q1149" s="2996">
        <f t="shared" si="187"/>
        <v>1</v>
      </c>
      <c r="R1149" s="2997">
        <f t="shared" ca="1" si="188"/>
        <v>17260</v>
      </c>
      <c r="S1149" s="2962">
        <f t="shared" ca="1" si="189"/>
        <v>105</v>
      </c>
    </row>
    <row r="1150" spans="1:19">
      <c r="A1150" s="2992" t="str">
        <f>Sheet1!F1131</f>
        <v>3-1431</v>
      </c>
      <c r="B1150" s="2992">
        <f>Sheet1!G1131</f>
        <v>60.63</v>
      </c>
      <c r="C1150" s="2996">
        <f t="shared" si="180"/>
        <v>1</v>
      </c>
      <c r="D1150" s="2994"/>
      <c r="E1150" s="2996">
        <f t="shared" si="181"/>
        <v>1</v>
      </c>
      <c r="F1150" s="2994"/>
      <c r="G1150" s="2996">
        <f t="shared" si="182"/>
        <v>1</v>
      </c>
      <c r="H1150" s="2994"/>
      <c r="I1150" s="2996">
        <f t="shared" si="183"/>
        <v>1</v>
      </c>
      <c r="J1150" s="2994"/>
      <c r="K1150" s="2996">
        <f t="shared" si="184"/>
        <v>1</v>
      </c>
      <c r="L1150" s="2994"/>
      <c r="M1150" s="2996">
        <f t="shared" si="185"/>
        <v>1</v>
      </c>
      <c r="N1150" s="2994"/>
      <c r="O1150" s="2996">
        <f t="shared" si="186"/>
        <v>1</v>
      </c>
      <c r="P1150" s="2994"/>
      <c r="Q1150" s="2996">
        <f t="shared" si="187"/>
        <v>1</v>
      </c>
      <c r="R1150" s="2997">
        <f t="shared" ca="1" si="188"/>
        <v>17260</v>
      </c>
      <c r="S1150" s="2962">
        <f t="shared" ca="1" si="189"/>
        <v>105</v>
      </c>
    </row>
    <row r="1151" spans="1:19">
      <c r="A1151" s="2992" t="str">
        <f>Sheet1!F1132</f>
        <v>3-1432</v>
      </c>
      <c r="B1151" s="2992">
        <f>Sheet1!G1132</f>
        <v>60.63</v>
      </c>
      <c r="C1151" s="2996">
        <f t="shared" si="180"/>
        <v>1</v>
      </c>
      <c r="D1151" s="2994"/>
      <c r="E1151" s="2996">
        <f t="shared" si="181"/>
        <v>1</v>
      </c>
      <c r="F1151" s="2994"/>
      <c r="G1151" s="2996">
        <f t="shared" si="182"/>
        <v>1</v>
      </c>
      <c r="H1151" s="2994"/>
      <c r="I1151" s="2996">
        <f t="shared" si="183"/>
        <v>1</v>
      </c>
      <c r="J1151" s="2994"/>
      <c r="K1151" s="2996">
        <f t="shared" si="184"/>
        <v>1</v>
      </c>
      <c r="L1151" s="2994"/>
      <c r="M1151" s="2996">
        <f t="shared" si="185"/>
        <v>1</v>
      </c>
      <c r="N1151" s="2994"/>
      <c r="O1151" s="2996">
        <f t="shared" si="186"/>
        <v>1</v>
      </c>
      <c r="P1151" s="2994"/>
      <c r="Q1151" s="2996">
        <f t="shared" si="187"/>
        <v>1</v>
      </c>
      <c r="R1151" s="2997">
        <f t="shared" ca="1" si="188"/>
        <v>17260</v>
      </c>
      <c r="S1151" s="2962">
        <f t="shared" ca="1" si="189"/>
        <v>105</v>
      </c>
    </row>
    <row r="1152" spans="1:19">
      <c r="A1152" s="2992" t="str">
        <f>Sheet1!F1133</f>
        <v>3-1433</v>
      </c>
      <c r="B1152" s="2992">
        <f>Sheet1!G1133</f>
        <v>50.38</v>
      </c>
      <c r="C1152" s="2996">
        <f t="shared" si="180"/>
        <v>1</v>
      </c>
      <c r="D1152" s="2994"/>
      <c r="E1152" s="2996">
        <f t="shared" si="181"/>
        <v>1</v>
      </c>
      <c r="F1152" s="2994"/>
      <c r="G1152" s="2996">
        <f t="shared" si="182"/>
        <v>1</v>
      </c>
      <c r="H1152" s="2994"/>
      <c r="I1152" s="2996">
        <f t="shared" si="183"/>
        <v>1</v>
      </c>
      <c r="J1152" s="2994"/>
      <c r="K1152" s="2996">
        <f t="shared" si="184"/>
        <v>1</v>
      </c>
      <c r="L1152" s="2994"/>
      <c r="M1152" s="2996">
        <f t="shared" si="185"/>
        <v>1</v>
      </c>
      <c r="N1152" s="2994"/>
      <c r="O1152" s="2996">
        <f t="shared" si="186"/>
        <v>1</v>
      </c>
      <c r="P1152" s="2994"/>
      <c r="Q1152" s="2996">
        <f t="shared" si="187"/>
        <v>1</v>
      </c>
      <c r="R1152" s="2997">
        <f t="shared" ca="1" si="188"/>
        <v>17260</v>
      </c>
      <c r="S1152" s="2962">
        <f t="shared" ca="1" si="189"/>
        <v>87</v>
      </c>
    </row>
    <row r="1153" spans="1:19">
      <c r="A1153" s="2992" t="str">
        <f>Sheet1!F1134</f>
        <v>3-1434</v>
      </c>
      <c r="B1153" s="2992">
        <f>Sheet1!G1134</f>
        <v>51.12</v>
      </c>
      <c r="C1153" s="2996">
        <f t="shared" si="180"/>
        <v>1</v>
      </c>
      <c r="D1153" s="2994"/>
      <c r="E1153" s="2996">
        <f t="shared" si="181"/>
        <v>1</v>
      </c>
      <c r="F1153" s="2994"/>
      <c r="G1153" s="2996">
        <f t="shared" si="182"/>
        <v>1</v>
      </c>
      <c r="H1153" s="2994"/>
      <c r="I1153" s="2996">
        <f t="shared" si="183"/>
        <v>1</v>
      </c>
      <c r="J1153" s="2994"/>
      <c r="K1153" s="2996">
        <f t="shared" si="184"/>
        <v>1</v>
      </c>
      <c r="L1153" s="2994"/>
      <c r="M1153" s="2996">
        <f t="shared" si="185"/>
        <v>1</v>
      </c>
      <c r="N1153" s="2994"/>
      <c r="O1153" s="2996">
        <f t="shared" si="186"/>
        <v>1</v>
      </c>
      <c r="P1153" s="2994"/>
      <c r="Q1153" s="2996">
        <f t="shared" si="187"/>
        <v>1</v>
      </c>
      <c r="R1153" s="2997">
        <f t="shared" ca="1" si="188"/>
        <v>17260</v>
      </c>
      <c r="S1153" s="2962">
        <f t="shared" ca="1" si="189"/>
        <v>88</v>
      </c>
    </row>
    <row r="1154" spans="1:19">
      <c r="A1154" s="2992" t="str">
        <f>Sheet1!F1135</f>
        <v>3-1435</v>
      </c>
      <c r="B1154" s="2992">
        <f>Sheet1!G1135</f>
        <v>68.760000000000005</v>
      </c>
      <c r="C1154" s="2996">
        <f t="shared" si="180"/>
        <v>1</v>
      </c>
      <c r="D1154" s="2994"/>
      <c r="E1154" s="2996">
        <f t="shared" si="181"/>
        <v>1</v>
      </c>
      <c r="F1154" s="2994"/>
      <c r="G1154" s="2996">
        <f t="shared" si="182"/>
        <v>1</v>
      </c>
      <c r="H1154" s="2994"/>
      <c r="I1154" s="2996">
        <f t="shared" si="183"/>
        <v>1</v>
      </c>
      <c r="J1154" s="2994"/>
      <c r="K1154" s="2996">
        <f t="shared" si="184"/>
        <v>1</v>
      </c>
      <c r="L1154" s="2994"/>
      <c r="M1154" s="2996">
        <f t="shared" si="185"/>
        <v>1</v>
      </c>
      <c r="N1154" s="2994"/>
      <c r="O1154" s="2996">
        <f t="shared" si="186"/>
        <v>1</v>
      </c>
      <c r="P1154" s="2994"/>
      <c r="Q1154" s="2996">
        <f t="shared" si="187"/>
        <v>1</v>
      </c>
      <c r="R1154" s="2997">
        <f t="shared" ca="1" si="188"/>
        <v>17260</v>
      </c>
      <c r="S1154" s="2962">
        <f t="shared" ca="1" si="189"/>
        <v>119</v>
      </c>
    </row>
    <row r="1155" spans="1:19">
      <c r="A1155" s="2992" t="str">
        <f>Sheet1!F1136</f>
        <v>3-1436</v>
      </c>
      <c r="B1155" s="2992">
        <f>Sheet1!G1136</f>
        <v>69.319999999999993</v>
      </c>
      <c r="C1155" s="2996">
        <f t="shared" si="180"/>
        <v>1</v>
      </c>
      <c r="D1155" s="2994"/>
      <c r="E1155" s="2996">
        <f t="shared" si="181"/>
        <v>1</v>
      </c>
      <c r="F1155" s="2994"/>
      <c r="G1155" s="2996">
        <f t="shared" si="182"/>
        <v>1</v>
      </c>
      <c r="H1155" s="2994"/>
      <c r="I1155" s="2996">
        <f t="shared" si="183"/>
        <v>1</v>
      </c>
      <c r="J1155" s="2994"/>
      <c r="K1155" s="2996">
        <f t="shared" si="184"/>
        <v>1</v>
      </c>
      <c r="L1155" s="2994"/>
      <c r="M1155" s="2996">
        <f t="shared" si="185"/>
        <v>1</v>
      </c>
      <c r="N1155" s="2994"/>
      <c r="O1155" s="2996">
        <f t="shared" si="186"/>
        <v>1</v>
      </c>
      <c r="P1155" s="2994"/>
      <c r="Q1155" s="2996">
        <f t="shared" si="187"/>
        <v>1</v>
      </c>
      <c r="R1155" s="2997">
        <f t="shared" ca="1" si="188"/>
        <v>17260</v>
      </c>
      <c r="S1155" s="2962">
        <f t="shared" ca="1" si="189"/>
        <v>120</v>
      </c>
    </row>
    <row r="1156" spans="1:19">
      <c r="A1156" s="2992" t="str">
        <f>Sheet1!F1137</f>
        <v>3-1437</v>
      </c>
      <c r="B1156" s="2992">
        <f>Sheet1!G1137</f>
        <v>61.41</v>
      </c>
      <c r="C1156" s="2996">
        <f t="shared" si="180"/>
        <v>1</v>
      </c>
      <c r="D1156" s="2994"/>
      <c r="E1156" s="2996">
        <f t="shared" si="181"/>
        <v>1</v>
      </c>
      <c r="F1156" s="2994"/>
      <c r="G1156" s="2996">
        <f t="shared" si="182"/>
        <v>1</v>
      </c>
      <c r="H1156" s="2994"/>
      <c r="I1156" s="2996">
        <f t="shared" si="183"/>
        <v>1</v>
      </c>
      <c r="J1156" s="2994"/>
      <c r="K1156" s="2996">
        <f t="shared" si="184"/>
        <v>1</v>
      </c>
      <c r="L1156" s="2994"/>
      <c r="M1156" s="2996">
        <f t="shared" si="185"/>
        <v>1</v>
      </c>
      <c r="N1156" s="2994"/>
      <c r="O1156" s="2996">
        <f t="shared" si="186"/>
        <v>1</v>
      </c>
      <c r="P1156" s="2994"/>
      <c r="Q1156" s="2996">
        <f t="shared" si="187"/>
        <v>1</v>
      </c>
      <c r="R1156" s="2997">
        <f t="shared" ca="1" si="188"/>
        <v>17260</v>
      </c>
      <c r="S1156" s="2962">
        <f t="shared" ca="1" si="189"/>
        <v>106</v>
      </c>
    </row>
    <row r="1157" spans="1:19">
      <c r="A1157" s="2992" t="str">
        <f>Sheet1!F1138</f>
        <v>3-1438</v>
      </c>
      <c r="B1157" s="2992">
        <f>Sheet1!G1138</f>
        <v>61.41</v>
      </c>
      <c r="C1157" s="2996">
        <f t="shared" si="180"/>
        <v>1</v>
      </c>
      <c r="D1157" s="2994"/>
      <c r="E1157" s="2996">
        <f t="shared" si="181"/>
        <v>1</v>
      </c>
      <c r="F1157" s="2994"/>
      <c r="G1157" s="2996">
        <f t="shared" si="182"/>
        <v>1</v>
      </c>
      <c r="H1157" s="2994"/>
      <c r="I1157" s="2996">
        <f t="shared" si="183"/>
        <v>1</v>
      </c>
      <c r="J1157" s="2994"/>
      <c r="K1157" s="2996">
        <f t="shared" si="184"/>
        <v>1</v>
      </c>
      <c r="L1157" s="2994"/>
      <c r="M1157" s="2996">
        <f t="shared" si="185"/>
        <v>1</v>
      </c>
      <c r="N1157" s="2994"/>
      <c r="O1157" s="2996">
        <f t="shared" si="186"/>
        <v>1</v>
      </c>
      <c r="P1157" s="2994"/>
      <c r="Q1157" s="2996">
        <f t="shared" si="187"/>
        <v>1</v>
      </c>
      <c r="R1157" s="2997">
        <f t="shared" ca="1" si="188"/>
        <v>17260</v>
      </c>
      <c r="S1157" s="2962">
        <f t="shared" ca="1" si="189"/>
        <v>106</v>
      </c>
    </row>
    <row r="1158" spans="1:19">
      <c r="A1158" s="2992" t="str">
        <f>Sheet1!F1139</f>
        <v>3-1439</v>
      </c>
      <c r="B1158" s="2992">
        <f>Sheet1!G1139</f>
        <v>61.41</v>
      </c>
      <c r="C1158" s="2996">
        <f t="shared" si="180"/>
        <v>1</v>
      </c>
      <c r="D1158" s="2994"/>
      <c r="E1158" s="2996">
        <f t="shared" si="181"/>
        <v>1</v>
      </c>
      <c r="F1158" s="2994"/>
      <c r="G1158" s="2996">
        <f t="shared" si="182"/>
        <v>1</v>
      </c>
      <c r="H1158" s="2994"/>
      <c r="I1158" s="2996">
        <f t="shared" si="183"/>
        <v>1</v>
      </c>
      <c r="J1158" s="2994"/>
      <c r="K1158" s="2996">
        <f t="shared" si="184"/>
        <v>1</v>
      </c>
      <c r="L1158" s="2994"/>
      <c r="M1158" s="2996">
        <f t="shared" si="185"/>
        <v>1</v>
      </c>
      <c r="N1158" s="2994"/>
      <c r="O1158" s="2996">
        <f t="shared" si="186"/>
        <v>1</v>
      </c>
      <c r="P1158" s="2994"/>
      <c r="Q1158" s="2996">
        <f t="shared" si="187"/>
        <v>1</v>
      </c>
      <c r="R1158" s="2997">
        <f t="shared" ca="1" si="188"/>
        <v>17260</v>
      </c>
      <c r="S1158" s="2962">
        <f t="shared" ca="1" si="189"/>
        <v>106</v>
      </c>
    </row>
    <row r="1159" spans="1:19">
      <c r="A1159" s="2992" t="str">
        <f>Sheet1!F1140</f>
        <v>3-1440</v>
      </c>
      <c r="B1159" s="2992">
        <f>Sheet1!G1140</f>
        <v>61.41</v>
      </c>
      <c r="C1159" s="2996">
        <f t="shared" si="180"/>
        <v>1</v>
      </c>
      <c r="D1159" s="2994"/>
      <c r="E1159" s="2996">
        <f t="shared" si="181"/>
        <v>1</v>
      </c>
      <c r="F1159" s="2994"/>
      <c r="G1159" s="2996">
        <f t="shared" si="182"/>
        <v>1</v>
      </c>
      <c r="H1159" s="2994"/>
      <c r="I1159" s="2996">
        <f t="shared" si="183"/>
        <v>1</v>
      </c>
      <c r="J1159" s="2994"/>
      <c r="K1159" s="2996">
        <f t="shared" si="184"/>
        <v>1</v>
      </c>
      <c r="L1159" s="2994"/>
      <c r="M1159" s="2996">
        <f t="shared" si="185"/>
        <v>1</v>
      </c>
      <c r="N1159" s="2994"/>
      <c r="O1159" s="2996">
        <f t="shared" si="186"/>
        <v>1</v>
      </c>
      <c r="P1159" s="2994"/>
      <c r="Q1159" s="2996">
        <f t="shared" si="187"/>
        <v>1</v>
      </c>
      <c r="R1159" s="2997">
        <f t="shared" ca="1" si="188"/>
        <v>17260</v>
      </c>
      <c r="S1159" s="2962">
        <f t="shared" ca="1" si="189"/>
        <v>106</v>
      </c>
    </row>
    <row r="1160" spans="1:19">
      <c r="A1160" s="2992" t="str">
        <f>Sheet1!F1141</f>
        <v>3-1441</v>
      </c>
      <c r="B1160" s="2992">
        <f>Sheet1!G1141</f>
        <v>61.41</v>
      </c>
      <c r="C1160" s="2996">
        <f t="shared" si="180"/>
        <v>1</v>
      </c>
      <c r="D1160" s="2994"/>
      <c r="E1160" s="2996">
        <f t="shared" si="181"/>
        <v>1</v>
      </c>
      <c r="F1160" s="2994"/>
      <c r="G1160" s="2996">
        <f t="shared" si="182"/>
        <v>1</v>
      </c>
      <c r="H1160" s="2994"/>
      <c r="I1160" s="2996">
        <f t="shared" si="183"/>
        <v>1</v>
      </c>
      <c r="J1160" s="2994"/>
      <c r="K1160" s="2996">
        <f t="shared" si="184"/>
        <v>1</v>
      </c>
      <c r="L1160" s="2994"/>
      <c r="M1160" s="2996">
        <f t="shared" si="185"/>
        <v>1</v>
      </c>
      <c r="N1160" s="2994"/>
      <c r="O1160" s="2996">
        <f t="shared" si="186"/>
        <v>1</v>
      </c>
      <c r="P1160" s="2994"/>
      <c r="Q1160" s="2996">
        <f t="shared" si="187"/>
        <v>1</v>
      </c>
      <c r="R1160" s="2997">
        <f t="shared" ca="1" si="188"/>
        <v>17260</v>
      </c>
      <c r="S1160" s="2962">
        <f t="shared" ca="1" si="189"/>
        <v>106</v>
      </c>
    </row>
    <row r="1161" spans="1:19">
      <c r="A1161" s="2992" t="str">
        <f>Sheet1!F1142</f>
        <v>3-1442</v>
      </c>
      <c r="B1161" s="2992">
        <f>Sheet1!G1142</f>
        <v>72.87</v>
      </c>
      <c r="C1161" s="2996">
        <f t="shared" si="180"/>
        <v>1</v>
      </c>
      <c r="D1161" s="2994"/>
      <c r="E1161" s="2996">
        <f t="shared" si="181"/>
        <v>1</v>
      </c>
      <c r="F1161" s="2994"/>
      <c r="G1161" s="2996">
        <f t="shared" si="182"/>
        <v>1</v>
      </c>
      <c r="H1161" s="2994"/>
      <c r="I1161" s="2996">
        <f t="shared" si="183"/>
        <v>1</v>
      </c>
      <c r="J1161" s="2994"/>
      <c r="K1161" s="2996">
        <f t="shared" si="184"/>
        <v>1</v>
      </c>
      <c r="L1161" s="2994"/>
      <c r="M1161" s="2996">
        <f t="shared" si="185"/>
        <v>1</v>
      </c>
      <c r="N1161" s="2994"/>
      <c r="O1161" s="2996">
        <f t="shared" si="186"/>
        <v>1</v>
      </c>
      <c r="P1161" s="2994"/>
      <c r="Q1161" s="2996">
        <f t="shared" si="187"/>
        <v>1</v>
      </c>
      <c r="R1161" s="2997">
        <f t="shared" ca="1" si="188"/>
        <v>17260</v>
      </c>
      <c r="S1161" s="2962">
        <f t="shared" ca="1" si="189"/>
        <v>126</v>
      </c>
    </row>
    <row r="1162" spans="1:19">
      <c r="A1162" s="2992" t="str">
        <f>Sheet1!F1143</f>
        <v>3-1443</v>
      </c>
      <c r="B1162" s="2992">
        <f>Sheet1!G1143</f>
        <v>81.069999999999993</v>
      </c>
      <c r="C1162" s="2996">
        <f t="shared" si="180"/>
        <v>1</v>
      </c>
      <c r="D1162" s="2994"/>
      <c r="E1162" s="2996">
        <f t="shared" si="181"/>
        <v>1</v>
      </c>
      <c r="F1162" s="2994"/>
      <c r="G1162" s="2996">
        <f t="shared" si="182"/>
        <v>1</v>
      </c>
      <c r="H1162" s="2994"/>
      <c r="I1162" s="2996">
        <f t="shared" si="183"/>
        <v>1</v>
      </c>
      <c r="J1162" s="2994"/>
      <c r="K1162" s="2996">
        <f t="shared" si="184"/>
        <v>1</v>
      </c>
      <c r="L1162" s="2994"/>
      <c r="M1162" s="2996">
        <f t="shared" si="185"/>
        <v>1</v>
      </c>
      <c r="N1162" s="2994"/>
      <c r="O1162" s="2996">
        <f t="shared" si="186"/>
        <v>1</v>
      </c>
      <c r="P1162" s="2994"/>
      <c r="Q1162" s="2996">
        <f t="shared" si="187"/>
        <v>1</v>
      </c>
      <c r="R1162" s="2997">
        <f t="shared" ca="1" si="188"/>
        <v>17260</v>
      </c>
      <c r="S1162" s="2962">
        <f t="shared" ca="1" si="189"/>
        <v>140</v>
      </c>
    </row>
    <row r="1163" spans="1:19">
      <c r="A1163" s="2992" t="str">
        <f>Sheet1!F1144</f>
        <v>3-1444</v>
      </c>
      <c r="B1163" s="2992">
        <f>Sheet1!G1144</f>
        <v>61.41</v>
      </c>
      <c r="C1163" s="2996">
        <f t="shared" si="180"/>
        <v>1</v>
      </c>
      <c r="D1163" s="2994"/>
      <c r="E1163" s="2996">
        <f t="shared" si="181"/>
        <v>1</v>
      </c>
      <c r="F1163" s="2994"/>
      <c r="G1163" s="2996">
        <f t="shared" si="182"/>
        <v>1</v>
      </c>
      <c r="H1163" s="2994"/>
      <c r="I1163" s="2996">
        <f t="shared" si="183"/>
        <v>1</v>
      </c>
      <c r="J1163" s="2994"/>
      <c r="K1163" s="2996">
        <f t="shared" si="184"/>
        <v>1</v>
      </c>
      <c r="L1163" s="2994"/>
      <c r="M1163" s="2996">
        <f t="shared" si="185"/>
        <v>1</v>
      </c>
      <c r="N1163" s="2994"/>
      <c r="O1163" s="2996">
        <f t="shared" si="186"/>
        <v>1</v>
      </c>
      <c r="P1163" s="2994"/>
      <c r="Q1163" s="2996">
        <f t="shared" si="187"/>
        <v>1</v>
      </c>
      <c r="R1163" s="2997">
        <f t="shared" ca="1" si="188"/>
        <v>17260</v>
      </c>
      <c r="S1163" s="2962">
        <f t="shared" ca="1" si="189"/>
        <v>106</v>
      </c>
    </row>
    <row r="1164" spans="1:19">
      <c r="A1164" s="2992" t="str">
        <f>Sheet1!F1145</f>
        <v>3-1445</v>
      </c>
      <c r="B1164" s="2992">
        <f>Sheet1!G1145</f>
        <v>54.6</v>
      </c>
      <c r="C1164" s="2996">
        <f t="shared" si="180"/>
        <v>1</v>
      </c>
      <c r="D1164" s="2994"/>
      <c r="E1164" s="2996">
        <f t="shared" si="181"/>
        <v>1</v>
      </c>
      <c r="F1164" s="2994"/>
      <c r="G1164" s="2996">
        <f t="shared" si="182"/>
        <v>1</v>
      </c>
      <c r="H1164" s="2994"/>
      <c r="I1164" s="2996">
        <f t="shared" si="183"/>
        <v>1</v>
      </c>
      <c r="J1164" s="2994"/>
      <c r="K1164" s="2996">
        <f t="shared" si="184"/>
        <v>1</v>
      </c>
      <c r="L1164" s="2994"/>
      <c r="M1164" s="2996">
        <f t="shared" si="185"/>
        <v>1</v>
      </c>
      <c r="N1164" s="2994"/>
      <c r="O1164" s="2996">
        <f t="shared" si="186"/>
        <v>1</v>
      </c>
      <c r="P1164" s="2994"/>
      <c r="Q1164" s="2996">
        <f t="shared" si="187"/>
        <v>1</v>
      </c>
      <c r="R1164" s="2997">
        <f t="shared" ca="1" si="188"/>
        <v>17260</v>
      </c>
      <c r="S1164" s="2962">
        <f t="shared" ca="1" si="189"/>
        <v>94</v>
      </c>
    </row>
    <row r="1165" spans="1:19">
      <c r="A1165" s="2992" t="str">
        <f>Sheet1!F1146</f>
        <v>3-1446</v>
      </c>
      <c r="B1165" s="2992">
        <f>Sheet1!G1146</f>
        <v>71.23</v>
      </c>
      <c r="C1165" s="2996">
        <f t="shared" ref="C1165:C1228" si="190">IF(B1165="",1,(LOOKUP(B1165,$3:$3,$4:$4)-LOOKUP($B$24,$3:$3,$4:$4)+100)/100)</f>
        <v>1</v>
      </c>
      <c r="D1165" s="2994"/>
      <c r="E1165" s="2996">
        <f t="shared" ref="E1165:E1228" si="191">(SUMIF($5:$5,D1165,$6:$6)-SUMIF($5:$5,$D$24,$6:$6)+100)/100</f>
        <v>1</v>
      </c>
      <c r="F1165" s="2994"/>
      <c r="G1165" s="2996">
        <f t="shared" ref="G1165:G1228" si="192">(SUMIF($7:$7,F1165,$8:$8)-SUMIF($7:$7,$F$24,$8:$8)+100)/100</f>
        <v>1</v>
      </c>
      <c r="H1165" s="2994"/>
      <c r="I1165" s="2996">
        <f t="shared" ref="I1165:I1228" si="193">(SUMIF($9:$9,H1165,$10:$10)-SUMIF($9:$9,$H$24,$10:$10)+100)/100</f>
        <v>1</v>
      </c>
      <c r="J1165" s="2994"/>
      <c r="K1165" s="2996">
        <f t="shared" ref="K1165:K1228" si="194">(SUMIF($11:$11,J1165,$12:$12)-SUMIF($11:$11,$J$24,$12:$12)+100)/100</f>
        <v>1</v>
      </c>
      <c r="L1165" s="2994"/>
      <c r="M1165" s="2996">
        <f t="shared" ref="M1165:M1228" si="195">(SUMIF($13:$13,L1165,$14:$14)-SUMIF($13:$13,$L$24,$14:$14)+100)/100</f>
        <v>1</v>
      </c>
      <c r="N1165" s="2994"/>
      <c r="O1165" s="2996">
        <f t="shared" ref="O1165:O1228" si="196">(SUMIF($15:$15,N1165,$16:$16)-SUMIF($15:$15,$N$24,$16:$16)+100)/100</f>
        <v>1</v>
      </c>
      <c r="P1165" s="2994"/>
      <c r="Q1165" s="2996">
        <f t="shared" ref="Q1165:Q1228" si="197">(SUMIF($17:$17,P1165,$18:$18)-SUMIF($17:$17,$P$24,$18:$18)+100)/100</f>
        <v>1</v>
      </c>
      <c r="R1165" s="2997">
        <f t="shared" ref="R1165:R1228" ca="1" si="198">IF(B1165="",0,ROUND($R$24*C1165*E1165*G1165*I1165*K1165*M1165*O1165*Q1165,0))</f>
        <v>17260</v>
      </c>
      <c r="S1165" s="2962">
        <f t="shared" ref="S1165:S1228" ca="1" si="199">ROUND(R1165*B1165/10000,0)</f>
        <v>123</v>
      </c>
    </row>
    <row r="1166" spans="1:19">
      <c r="A1166" s="2992" t="str">
        <f>Sheet1!F1147</f>
        <v>3-1447</v>
      </c>
      <c r="B1166" s="2992">
        <f>Sheet1!G1147</f>
        <v>61.41</v>
      </c>
      <c r="C1166" s="2996">
        <f t="shared" si="190"/>
        <v>1</v>
      </c>
      <c r="D1166" s="2994"/>
      <c r="E1166" s="2996">
        <f t="shared" si="191"/>
        <v>1</v>
      </c>
      <c r="F1166" s="2994"/>
      <c r="G1166" s="2996">
        <f t="shared" si="192"/>
        <v>1</v>
      </c>
      <c r="H1166" s="2994"/>
      <c r="I1166" s="2996">
        <f t="shared" si="193"/>
        <v>1</v>
      </c>
      <c r="J1166" s="2994"/>
      <c r="K1166" s="2996">
        <f t="shared" si="194"/>
        <v>1</v>
      </c>
      <c r="L1166" s="2994"/>
      <c r="M1166" s="2996">
        <f t="shared" si="195"/>
        <v>1</v>
      </c>
      <c r="N1166" s="2994"/>
      <c r="O1166" s="2996">
        <f t="shared" si="196"/>
        <v>1</v>
      </c>
      <c r="P1166" s="2994"/>
      <c r="Q1166" s="2996">
        <f t="shared" si="197"/>
        <v>1</v>
      </c>
      <c r="R1166" s="2997">
        <f t="shared" ca="1" si="198"/>
        <v>17260</v>
      </c>
      <c r="S1166" s="2962">
        <f t="shared" ca="1" si="199"/>
        <v>106</v>
      </c>
    </row>
    <row r="1167" spans="1:19">
      <c r="A1167" s="2992" t="str">
        <f>Sheet1!F1148</f>
        <v>3-1448</v>
      </c>
      <c r="B1167" s="2992">
        <f>Sheet1!G1148</f>
        <v>61.41</v>
      </c>
      <c r="C1167" s="2996">
        <f t="shared" si="190"/>
        <v>1</v>
      </c>
      <c r="D1167" s="2994"/>
      <c r="E1167" s="2996">
        <f t="shared" si="191"/>
        <v>1</v>
      </c>
      <c r="F1167" s="2994"/>
      <c r="G1167" s="2996">
        <f t="shared" si="192"/>
        <v>1</v>
      </c>
      <c r="H1167" s="2994"/>
      <c r="I1167" s="2996">
        <f t="shared" si="193"/>
        <v>1</v>
      </c>
      <c r="J1167" s="2994"/>
      <c r="K1167" s="2996">
        <f t="shared" si="194"/>
        <v>1</v>
      </c>
      <c r="L1167" s="2994"/>
      <c r="M1167" s="2996">
        <f t="shared" si="195"/>
        <v>1</v>
      </c>
      <c r="N1167" s="2994"/>
      <c r="O1167" s="2996">
        <f t="shared" si="196"/>
        <v>1</v>
      </c>
      <c r="P1167" s="2994"/>
      <c r="Q1167" s="2996">
        <f t="shared" si="197"/>
        <v>1</v>
      </c>
      <c r="R1167" s="2997">
        <f t="shared" ca="1" si="198"/>
        <v>17260</v>
      </c>
      <c r="S1167" s="2962">
        <f t="shared" ca="1" si="199"/>
        <v>106</v>
      </c>
    </row>
    <row r="1168" spans="1:19">
      <c r="A1168" s="2992" t="str">
        <f>Sheet1!F1149</f>
        <v>3-1449</v>
      </c>
      <c r="B1168" s="2992">
        <f>Sheet1!G1149</f>
        <v>61.41</v>
      </c>
      <c r="C1168" s="2996">
        <f t="shared" si="190"/>
        <v>1</v>
      </c>
      <c r="D1168" s="2994"/>
      <c r="E1168" s="2996">
        <f t="shared" si="191"/>
        <v>1</v>
      </c>
      <c r="F1168" s="2994"/>
      <c r="G1168" s="2996">
        <f t="shared" si="192"/>
        <v>1</v>
      </c>
      <c r="H1168" s="2994"/>
      <c r="I1168" s="2996">
        <f t="shared" si="193"/>
        <v>1</v>
      </c>
      <c r="J1168" s="2994"/>
      <c r="K1168" s="2996">
        <f t="shared" si="194"/>
        <v>1</v>
      </c>
      <c r="L1168" s="2994"/>
      <c r="M1168" s="2996">
        <f t="shared" si="195"/>
        <v>1</v>
      </c>
      <c r="N1168" s="2994"/>
      <c r="O1168" s="2996">
        <f t="shared" si="196"/>
        <v>1</v>
      </c>
      <c r="P1168" s="2994"/>
      <c r="Q1168" s="2996">
        <f t="shared" si="197"/>
        <v>1</v>
      </c>
      <c r="R1168" s="2997">
        <f t="shared" ca="1" si="198"/>
        <v>17260</v>
      </c>
      <c r="S1168" s="2962">
        <f t="shared" ca="1" si="199"/>
        <v>106</v>
      </c>
    </row>
    <row r="1169" spans="1:19">
      <c r="A1169" s="2992" t="str">
        <f>Sheet1!F1150</f>
        <v>3-1450</v>
      </c>
      <c r="B1169" s="2992">
        <f>Sheet1!G1150</f>
        <v>61.88</v>
      </c>
      <c r="C1169" s="2996">
        <f t="shared" si="190"/>
        <v>1</v>
      </c>
      <c r="D1169" s="2994"/>
      <c r="E1169" s="2996">
        <f t="shared" si="191"/>
        <v>1</v>
      </c>
      <c r="F1169" s="2994"/>
      <c r="G1169" s="2996">
        <f t="shared" si="192"/>
        <v>1</v>
      </c>
      <c r="H1169" s="2994"/>
      <c r="I1169" s="2996">
        <f t="shared" si="193"/>
        <v>1</v>
      </c>
      <c r="J1169" s="2994"/>
      <c r="K1169" s="2996">
        <f t="shared" si="194"/>
        <v>1</v>
      </c>
      <c r="L1169" s="2994"/>
      <c r="M1169" s="2996">
        <f t="shared" si="195"/>
        <v>1</v>
      </c>
      <c r="N1169" s="2994"/>
      <c r="O1169" s="2996">
        <f t="shared" si="196"/>
        <v>1</v>
      </c>
      <c r="P1169" s="2994"/>
      <c r="Q1169" s="2996">
        <f t="shared" si="197"/>
        <v>1</v>
      </c>
      <c r="R1169" s="2997">
        <f t="shared" ca="1" si="198"/>
        <v>17260</v>
      </c>
      <c r="S1169" s="2962">
        <f t="shared" ca="1" si="199"/>
        <v>107</v>
      </c>
    </row>
    <row r="1170" spans="1:19">
      <c r="A1170" s="2992" t="str">
        <f>Sheet1!F1151</f>
        <v>3-1451</v>
      </c>
      <c r="B1170" s="2992">
        <f>Sheet1!G1151</f>
        <v>58.8</v>
      </c>
      <c r="C1170" s="2996">
        <f t="shared" si="190"/>
        <v>1</v>
      </c>
      <c r="D1170" s="2994"/>
      <c r="E1170" s="2996">
        <f t="shared" si="191"/>
        <v>1</v>
      </c>
      <c r="F1170" s="2994"/>
      <c r="G1170" s="2996">
        <f t="shared" si="192"/>
        <v>1</v>
      </c>
      <c r="H1170" s="2994"/>
      <c r="I1170" s="2996">
        <f t="shared" si="193"/>
        <v>1</v>
      </c>
      <c r="J1170" s="2994"/>
      <c r="K1170" s="2996">
        <f t="shared" si="194"/>
        <v>1</v>
      </c>
      <c r="L1170" s="2994"/>
      <c r="M1170" s="2996">
        <f t="shared" si="195"/>
        <v>1</v>
      </c>
      <c r="N1170" s="2994"/>
      <c r="O1170" s="2996">
        <f t="shared" si="196"/>
        <v>1</v>
      </c>
      <c r="P1170" s="2994"/>
      <c r="Q1170" s="2996">
        <f t="shared" si="197"/>
        <v>1</v>
      </c>
      <c r="R1170" s="2997">
        <f t="shared" ca="1" si="198"/>
        <v>17260</v>
      </c>
      <c r="S1170" s="2962">
        <f t="shared" ca="1" si="199"/>
        <v>101</v>
      </c>
    </row>
    <row r="1171" spans="1:19">
      <c r="A1171" s="2992" t="str">
        <f>Sheet1!F1152</f>
        <v>3-1452</v>
      </c>
      <c r="B1171" s="2992">
        <f>Sheet1!G1152</f>
        <v>60.21</v>
      </c>
      <c r="C1171" s="2996">
        <f t="shared" si="190"/>
        <v>1</v>
      </c>
      <c r="D1171" s="2994"/>
      <c r="E1171" s="2996">
        <f t="shared" si="191"/>
        <v>1</v>
      </c>
      <c r="F1171" s="2994"/>
      <c r="G1171" s="2996">
        <f t="shared" si="192"/>
        <v>1</v>
      </c>
      <c r="H1171" s="2994"/>
      <c r="I1171" s="2996">
        <f t="shared" si="193"/>
        <v>1</v>
      </c>
      <c r="J1171" s="2994"/>
      <c r="K1171" s="2996">
        <f t="shared" si="194"/>
        <v>1</v>
      </c>
      <c r="L1171" s="2994"/>
      <c r="M1171" s="2996">
        <f t="shared" si="195"/>
        <v>1</v>
      </c>
      <c r="N1171" s="2994"/>
      <c r="O1171" s="2996">
        <f t="shared" si="196"/>
        <v>1</v>
      </c>
      <c r="P1171" s="2994"/>
      <c r="Q1171" s="2996">
        <f t="shared" si="197"/>
        <v>1</v>
      </c>
      <c r="R1171" s="2997">
        <f t="shared" ca="1" si="198"/>
        <v>17260</v>
      </c>
      <c r="S1171" s="2962">
        <f t="shared" ca="1" si="199"/>
        <v>104</v>
      </c>
    </row>
    <row r="1172" spans="1:19">
      <c r="A1172" s="2992" t="str">
        <f>Sheet1!F1153</f>
        <v>4-1401</v>
      </c>
      <c r="B1172" s="2992">
        <f>Sheet1!G1153</f>
        <v>65.760000000000005</v>
      </c>
      <c r="C1172" s="2996">
        <f t="shared" si="190"/>
        <v>1</v>
      </c>
      <c r="D1172" s="2994"/>
      <c r="E1172" s="2996">
        <f t="shared" si="191"/>
        <v>1</v>
      </c>
      <c r="F1172" s="2994"/>
      <c r="G1172" s="2996">
        <f t="shared" si="192"/>
        <v>1</v>
      </c>
      <c r="H1172" s="2994"/>
      <c r="I1172" s="2996">
        <f t="shared" si="193"/>
        <v>1</v>
      </c>
      <c r="J1172" s="2994"/>
      <c r="K1172" s="2996">
        <f t="shared" si="194"/>
        <v>1</v>
      </c>
      <c r="L1172" s="2994"/>
      <c r="M1172" s="2996">
        <f t="shared" si="195"/>
        <v>1</v>
      </c>
      <c r="N1172" s="2994"/>
      <c r="O1172" s="2996">
        <f t="shared" si="196"/>
        <v>1</v>
      </c>
      <c r="P1172" s="2994"/>
      <c r="Q1172" s="2996">
        <f t="shared" si="197"/>
        <v>1</v>
      </c>
      <c r="R1172" s="2997">
        <f t="shared" ca="1" si="198"/>
        <v>17260</v>
      </c>
      <c r="S1172" s="2962">
        <f t="shared" ca="1" si="199"/>
        <v>114</v>
      </c>
    </row>
    <row r="1173" spans="1:19">
      <c r="A1173" s="2992" t="str">
        <f>Sheet1!F1154</f>
        <v>4-1402</v>
      </c>
      <c r="B1173" s="2992">
        <f>Sheet1!G1154</f>
        <v>59.41</v>
      </c>
      <c r="C1173" s="2996">
        <f t="shared" si="190"/>
        <v>1</v>
      </c>
      <c r="D1173" s="2994"/>
      <c r="E1173" s="2996">
        <f t="shared" si="191"/>
        <v>1</v>
      </c>
      <c r="F1173" s="2994"/>
      <c r="G1173" s="2996">
        <f t="shared" si="192"/>
        <v>1</v>
      </c>
      <c r="H1173" s="2994"/>
      <c r="I1173" s="2996">
        <f t="shared" si="193"/>
        <v>1</v>
      </c>
      <c r="J1173" s="2994"/>
      <c r="K1173" s="2996">
        <f t="shared" si="194"/>
        <v>1</v>
      </c>
      <c r="L1173" s="2994"/>
      <c r="M1173" s="2996">
        <f t="shared" si="195"/>
        <v>1</v>
      </c>
      <c r="N1173" s="2994"/>
      <c r="O1173" s="2996">
        <f t="shared" si="196"/>
        <v>1</v>
      </c>
      <c r="P1173" s="2994"/>
      <c r="Q1173" s="2996">
        <f t="shared" si="197"/>
        <v>1</v>
      </c>
      <c r="R1173" s="2997">
        <f t="shared" ca="1" si="198"/>
        <v>17260</v>
      </c>
      <c r="S1173" s="2962">
        <f t="shared" ca="1" si="199"/>
        <v>103</v>
      </c>
    </row>
    <row r="1174" spans="1:19">
      <c r="A1174" s="2992" t="str">
        <f>Sheet1!F1155</f>
        <v>4-1403</v>
      </c>
      <c r="B1174" s="2992">
        <f>Sheet1!G1155</f>
        <v>60.69</v>
      </c>
      <c r="C1174" s="2996">
        <f t="shared" si="190"/>
        <v>1</v>
      </c>
      <c r="D1174" s="2994"/>
      <c r="E1174" s="2996">
        <f t="shared" si="191"/>
        <v>1</v>
      </c>
      <c r="F1174" s="2994"/>
      <c r="G1174" s="2996">
        <f t="shared" si="192"/>
        <v>1</v>
      </c>
      <c r="H1174" s="2994"/>
      <c r="I1174" s="2996">
        <f t="shared" si="193"/>
        <v>1</v>
      </c>
      <c r="J1174" s="2994"/>
      <c r="K1174" s="2996">
        <f t="shared" si="194"/>
        <v>1</v>
      </c>
      <c r="L1174" s="2994"/>
      <c r="M1174" s="2996">
        <f t="shared" si="195"/>
        <v>1</v>
      </c>
      <c r="N1174" s="2994"/>
      <c r="O1174" s="2996">
        <f t="shared" si="196"/>
        <v>1</v>
      </c>
      <c r="P1174" s="2994"/>
      <c r="Q1174" s="2996">
        <f t="shared" si="197"/>
        <v>1</v>
      </c>
      <c r="R1174" s="2997">
        <f t="shared" ca="1" si="198"/>
        <v>17260</v>
      </c>
      <c r="S1174" s="2962">
        <f t="shared" ca="1" si="199"/>
        <v>105</v>
      </c>
    </row>
    <row r="1175" spans="1:19">
      <c r="A1175" s="2992" t="str">
        <f>Sheet1!F1156</f>
        <v>4-1404</v>
      </c>
      <c r="B1175" s="2992">
        <f>Sheet1!G1156</f>
        <v>60.69</v>
      </c>
      <c r="C1175" s="2996">
        <f t="shared" si="190"/>
        <v>1</v>
      </c>
      <c r="D1175" s="2994"/>
      <c r="E1175" s="2996">
        <f t="shared" si="191"/>
        <v>1</v>
      </c>
      <c r="F1175" s="2994"/>
      <c r="G1175" s="2996">
        <f t="shared" si="192"/>
        <v>1</v>
      </c>
      <c r="H1175" s="2994"/>
      <c r="I1175" s="2996">
        <f t="shared" si="193"/>
        <v>1</v>
      </c>
      <c r="J1175" s="2994"/>
      <c r="K1175" s="2996">
        <f t="shared" si="194"/>
        <v>1</v>
      </c>
      <c r="L1175" s="2994"/>
      <c r="M1175" s="2996">
        <f t="shared" si="195"/>
        <v>1</v>
      </c>
      <c r="N1175" s="2994"/>
      <c r="O1175" s="2996">
        <f t="shared" si="196"/>
        <v>1</v>
      </c>
      <c r="P1175" s="2994"/>
      <c r="Q1175" s="2996">
        <f t="shared" si="197"/>
        <v>1</v>
      </c>
      <c r="R1175" s="2997">
        <f t="shared" ca="1" si="198"/>
        <v>17260</v>
      </c>
      <c r="S1175" s="2962">
        <f t="shared" ca="1" si="199"/>
        <v>105</v>
      </c>
    </row>
    <row r="1176" spans="1:19">
      <c r="A1176" s="2992" t="str">
        <f>Sheet1!F1157</f>
        <v>4-1405</v>
      </c>
      <c r="B1176" s="2992">
        <f>Sheet1!G1157</f>
        <v>60.69</v>
      </c>
      <c r="C1176" s="2996">
        <f t="shared" si="190"/>
        <v>1</v>
      </c>
      <c r="D1176" s="2994"/>
      <c r="E1176" s="2996">
        <f t="shared" si="191"/>
        <v>1</v>
      </c>
      <c r="F1176" s="2994"/>
      <c r="G1176" s="2996">
        <f t="shared" si="192"/>
        <v>1</v>
      </c>
      <c r="H1176" s="2994"/>
      <c r="I1176" s="2996">
        <f t="shared" si="193"/>
        <v>1</v>
      </c>
      <c r="J1176" s="2994"/>
      <c r="K1176" s="2996">
        <f t="shared" si="194"/>
        <v>1</v>
      </c>
      <c r="L1176" s="2994"/>
      <c r="M1176" s="2996">
        <f t="shared" si="195"/>
        <v>1</v>
      </c>
      <c r="N1176" s="2994"/>
      <c r="O1176" s="2996">
        <f t="shared" si="196"/>
        <v>1</v>
      </c>
      <c r="P1176" s="2994"/>
      <c r="Q1176" s="2996">
        <f t="shared" si="197"/>
        <v>1</v>
      </c>
      <c r="R1176" s="2997">
        <f t="shared" ca="1" si="198"/>
        <v>17260</v>
      </c>
      <c r="S1176" s="2962">
        <f t="shared" ca="1" si="199"/>
        <v>105</v>
      </c>
    </row>
    <row r="1177" spans="1:19">
      <c r="A1177" s="2992" t="str">
        <f>Sheet1!F1158</f>
        <v>4-1406</v>
      </c>
      <c r="B1177" s="2992">
        <f>Sheet1!G1158</f>
        <v>60.69</v>
      </c>
      <c r="C1177" s="2996">
        <f t="shared" si="190"/>
        <v>1</v>
      </c>
      <c r="D1177" s="2994"/>
      <c r="E1177" s="2996">
        <f t="shared" si="191"/>
        <v>1</v>
      </c>
      <c r="F1177" s="2994"/>
      <c r="G1177" s="2996">
        <f t="shared" si="192"/>
        <v>1</v>
      </c>
      <c r="H1177" s="2994"/>
      <c r="I1177" s="2996">
        <f t="shared" si="193"/>
        <v>1</v>
      </c>
      <c r="J1177" s="2994"/>
      <c r="K1177" s="2996">
        <f t="shared" si="194"/>
        <v>1</v>
      </c>
      <c r="L1177" s="2994"/>
      <c r="M1177" s="2996">
        <f t="shared" si="195"/>
        <v>1</v>
      </c>
      <c r="N1177" s="2994"/>
      <c r="O1177" s="2996">
        <f t="shared" si="196"/>
        <v>1</v>
      </c>
      <c r="P1177" s="2994"/>
      <c r="Q1177" s="2996">
        <f t="shared" si="197"/>
        <v>1</v>
      </c>
      <c r="R1177" s="2997">
        <f t="shared" ca="1" si="198"/>
        <v>17260</v>
      </c>
      <c r="S1177" s="2962">
        <f t="shared" ca="1" si="199"/>
        <v>105</v>
      </c>
    </row>
    <row r="1178" spans="1:19">
      <c r="A1178" s="2992" t="str">
        <f>Sheet1!F1159</f>
        <v>4-1407</v>
      </c>
      <c r="B1178" s="2992">
        <f>Sheet1!G1159</f>
        <v>60.69</v>
      </c>
      <c r="C1178" s="2996">
        <f t="shared" si="190"/>
        <v>1</v>
      </c>
      <c r="D1178" s="2994"/>
      <c r="E1178" s="2996">
        <f t="shared" si="191"/>
        <v>1</v>
      </c>
      <c r="F1178" s="2994"/>
      <c r="G1178" s="2996">
        <f t="shared" si="192"/>
        <v>1</v>
      </c>
      <c r="H1178" s="2994"/>
      <c r="I1178" s="2996">
        <f t="shared" si="193"/>
        <v>1</v>
      </c>
      <c r="J1178" s="2994"/>
      <c r="K1178" s="2996">
        <f t="shared" si="194"/>
        <v>1</v>
      </c>
      <c r="L1178" s="2994"/>
      <c r="M1178" s="2996">
        <f t="shared" si="195"/>
        <v>1</v>
      </c>
      <c r="N1178" s="2994"/>
      <c r="O1178" s="2996">
        <f t="shared" si="196"/>
        <v>1</v>
      </c>
      <c r="P1178" s="2994"/>
      <c r="Q1178" s="2996">
        <f t="shared" si="197"/>
        <v>1</v>
      </c>
      <c r="R1178" s="2997">
        <f t="shared" ca="1" si="198"/>
        <v>17260</v>
      </c>
      <c r="S1178" s="2962">
        <f t="shared" ca="1" si="199"/>
        <v>105</v>
      </c>
    </row>
    <row r="1179" spans="1:19">
      <c r="A1179" s="2992" t="str">
        <f>Sheet1!F1160</f>
        <v>4-1408</v>
      </c>
      <c r="B1179" s="2992">
        <f>Sheet1!G1160</f>
        <v>60.69</v>
      </c>
      <c r="C1179" s="2996">
        <f t="shared" si="190"/>
        <v>1</v>
      </c>
      <c r="D1179" s="2994"/>
      <c r="E1179" s="2996">
        <f t="shared" si="191"/>
        <v>1</v>
      </c>
      <c r="F1179" s="2994"/>
      <c r="G1179" s="2996">
        <f t="shared" si="192"/>
        <v>1</v>
      </c>
      <c r="H1179" s="2994"/>
      <c r="I1179" s="2996">
        <f t="shared" si="193"/>
        <v>1</v>
      </c>
      <c r="J1179" s="2994"/>
      <c r="K1179" s="2996">
        <f t="shared" si="194"/>
        <v>1</v>
      </c>
      <c r="L1179" s="2994"/>
      <c r="M1179" s="2996">
        <f t="shared" si="195"/>
        <v>1</v>
      </c>
      <c r="N1179" s="2994"/>
      <c r="O1179" s="2996">
        <f t="shared" si="196"/>
        <v>1</v>
      </c>
      <c r="P1179" s="2994"/>
      <c r="Q1179" s="2996">
        <f t="shared" si="197"/>
        <v>1</v>
      </c>
      <c r="R1179" s="2997">
        <f t="shared" ca="1" si="198"/>
        <v>17260</v>
      </c>
      <c r="S1179" s="2962">
        <f t="shared" ca="1" si="199"/>
        <v>105</v>
      </c>
    </row>
    <row r="1180" spans="1:19">
      <c r="A1180" s="2992" t="str">
        <f>Sheet1!F1161</f>
        <v>4-1409</v>
      </c>
      <c r="B1180" s="2992">
        <f>Sheet1!G1161</f>
        <v>60.69</v>
      </c>
      <c r="C1180" s="2996">
        <f t="shared" si="190"/>
        <v>1</v>
      </c>
      <c r="D1180" s="2994"/>
      <c r="E1180" s="2996">
        <f t="shared" si="191"/>
        <v>1</v>
      </c>
      <c r="F1180" s="2994"/>
      <c r="G1180" s="2996">
        <f t="shared" si="192"/>
        <v>1</v>
      </c>
      <c r="H1180" s="2994"/>
      <c r="I1180" s="2996">
        <f t="shared" si="193"/>
        <v>1</v>
      </c>
      <c r="J1180" s="2994"/>
      <c r="K1180" s="2996">
        <f t="shared" si="194"/>
        <v>1</v>
      </c>
      <c r="L1180" s="2994"/>
      <c r="M1180" s="2996">
        <f t="shared" si="195"/>
        <v>1</v>
      </c>
      <c r="N1180" s="2994"/>
      <c r="O1180" s="2996">
        <f t="shared" si="196"/>
        <v>1</v>
      </c>
      <c r="P1180" s="2994"/>
      <c r="Q1180" s="2996">
        <f t="shared" si="197"/>
        <v>1</v>
      </c>
      <c r="R1180" s="2997">
        <f t="shared" ca="1" si="198"/>
        <v>17260</v>
      </c>
      <c r="S1180" s="2962">
        <f t="shared" ca="1" si="199"/>
        <v>105</v>
      </c>
    </row>
    <row r="1181" spans="1:19">
      <c r="A1181" s="2992" t="str">
        <f>Sheet1!F1162</f>
        <v>4-1410</v>
      </c>
      <c r="B1181" s="2992">
        <f>Sheet1!G1162</f>
        <v>60.69</v>
      </c>
      <c r="C1181" s="2996">
        <f t="shared" si="190"/>
        <v>1</v>
      </c>
      <c r="D1181" s="2994"/>
      <c r="E1181" s="2996">
        <f t="shared" si="191"/>
        <v>1</v>
      </c>
      <c r="F1181" s="2994"/>
      <c r="G1181" s="2996">
        <f t="shared" si="192"/>
        <v>1</v>
      </c>
      <c r="H1181" s="2994"/>
      <c r="I1181" s="2996">
        <f t="shared" si="193"/>
        <v>1</v>
      </c>
      <c r="J1181" s="2994"/>
      <c r="K1181" s="2996">
        <f t="shared" si="194"/>
        <v>1</v>
      </c>
      <c r="L1181" s="2994"/>
      <c r="M1181" s="2996">
        <f t="shared" si="195"/>
        <v>1</v>
      </c>
      <c r="N1181" s="2994"/>
      <c r="O1181" s="2996">
        <f t="shared" si="196"/>
        <v>1</v>
      </c>
      <c r="P1181" s="2994"/>
      <c r="Q1181" s="2996">
        <f t="shared" si="197"/>
        <v>1</v>
      </c>
      <c r="R1181" s="2997">
        <f t="shared" ca="1" si="198"/>
        <v>17260</v>
      </c>
      <c r="S1181" s="2962">
        <f t="shared" ca="1" si="199"/>
        <v>105</v>
      </c>
    </row>
    <row r="1182" spans="1:19">
      <c r="A1182" s="2992" t="str">
        <f>Sheet1!F1163</f>
        <v>4-1411</v>
      </c>
      <c r="B1182" s="2992">
        <f>Sheet1!G1163</f>
        <v>60.69</v>
      </c>
      <c r="C1182" s="2996">
        <f t="shared" si="190"/>
        <v>1</v>
      </c>
      <c r="D1182" s="2994"/>
      <c r="E1182" s="2996">
        <f t="shared" si="191"/>
        <v>1</v>
      </c>
      <c r="F1182" s="2994"/>
      <c r="G1182" s="2996">
        <f t="shared" si="192"/>
        <v>1</v>
      </c>
      <c r="H1182" s="2994"/>
      <c r="I1182" s="2996">
        <f t="shared" si="193"/>
        <v>1</v>
      </c>
      <c r="J1182" s="2994"/>
      <c r="K1182" s="2996">
        <f t="shared" si="194"/>
        <v>1</v>
      </c>
      <c r="L1182" s="2994"/>
      <c r="M1182" s="2996">
        <f t="shared" si="195"/>
        <v>1</v>
      </c>
      <c r="N1182" s="2994"/>
      <c r="O1182" s="2996">
        <f t="shared" si="196"/>
        <v>1</v>
      </c>
      <c r="P1182" s="2994"/>
      <c r="Q1182" s="2996">
        <f t="shared" si="197"/>
        <v>1</v>
      </c>
      <c r="R1182" s="2997">
        <f t="shared" ca="1" si="198"/>
        <v>17260</v>
      </c>
      <c r="S1182" s="2962">
        <f t="shared" ca="1" si="199"/>
        <v>105</v>
      </c>
    </row>
    <row r="1183" spans="1:19">
      <c r="A1183" s="2992" t="str">
        <f>Sheet1!F1164</f>
        <v>4-1412</v>
      </c>
      <c r="B1183" s="2992">
        <f>Sheet1!G1164</f>
        <v>54.3</v>
      </c>
      <c r="C1183" s="2996">
        <f t="shared" si="190"/>
        <v>1</v>
      </c>
      <c r="D1183" s="2994"/>
      <c r="E1183" s="2996">
        <f t="shared" si="191"/>
        <v>1</v>
      </c>
      <c r="F1183" s="2994"/>
      <c r="G1183" s="2996">
        <f t="shared" si="192"/>
        <v>1</v>
      </c>
      <c r="H1183" s="2994"/>
      <c r="I1183" s="2996">
        <f t="shared" si="193"/>
        <v>1</v>
      </c>
      <c r="J1183" s="2994"/>
      <c r="K1183" s="2996">
        <f t="shared" si="194"/>
        <v>1</v>
      </c>
      <c r="L1183" s="2994"/>
      <c r="M1183" s="2996">
        <f t="shared" si="195"/>
        <v>1</v>
      </c>
      <c r="N1183" s="2994"/>
      <c r="O1183" s="2996">
        <f t="shared" si="196"/>
        <v>1</v>
      </c>
      <c r="P1183" s="2994"/>
      <c r="Q1183" s="2996">
        <f t="shared" si="197"/>
        <v>1</v>
      </c>
      <c r="R1183" s="2997">
        <f t="shared" ca="1" si="198"/>
        <v>17260</v>
      </c>
      <c r="S1183" s="2962">
        <f t="shared" ca="1" si="199"/>
        <v>94</v>
      </c>
    </row>
    <row r="1184" spans="1:19">
      <c r="A1184" s="2992" t="str">
        <f>Sheet1!F1165</f>
        <v>4-1413</v>
      </c>
      <c r="B1184" s="2992">
        <f>Sheet1!G1165</f>
        <v>60.68</v>
      </c>
      <c r="C1184" s="2996">
        <f t="shared" si="190"/>
        <v>1</v>
      </c>
      <c r="D1184" s="2994"/>
      <c r="E1184" s="2996">
        <f t="shared" si="191"/>
        <v>1</v>
      </c>
      <c r="F1184" s="2994"/>
      <c r="G1184" s="2996">
        <f t="shared" si="192"/>
        <v>1</v>
      </c>
      <c r="H1184" s="2994"/>
      <c r="I1184" s="2996">
        <f t="shared" si="193"/>
        <v>1</v>
      </c>
      <c r="J1184" s="2994"/>
      <c r="K1184" s="2996">
        <f t="shared" si="194"/>
        <v>1</v>
      </c>
      <c r="L1184" s="2994"/>
      <c r="M1184" s="2996">
        <f t="shared" si="195"/>
        <v>1</v>
      </c>
      <c r="N1184" s="2994"/>
      <c r="O1184" s="2996">
        <f t="shared" si="196"/>
        <v>1</v>
      </c>
      <c r="P1184" s="2994"/>
      <c r="Q1184" s="2996">
        <f t="shared" si="197"/>
        <v>1</v>
      </c>
      <c r="R1184" s="2997">
        <f t="shared" ca="1" si="198"/>
        <v>17260</v>
      </c>
      <c r="S1184" s="2962">
        <f t="shared" ca="1" si="199"/>
        <v>105</v>
      </c>
    </row>
    <row r="1185" spans="1:19">
      <c r="A1185" s="2992" t="str">
        <f>Sheet1!F1166</f>
        <v>4-1414</v>
      </c>
      <c r="B1185" s="2992">
        <f>Sheet1!G1166</f>
        <v>80.459999999999994</v>
      </c>
      <c r="C1185" s="2996">
        <f t="shared" si="190"/>
        <v>1</v>
      </c>
      <c r="D1185" s="2994"/>
      <c r="E1185" s="2996">
        <f t="shared" si="191"/>
        <v>1</v>
      </c>
      <c r="F1185" s="2994"/>
      <c r="G1185" s="2996">
        <f t="shared" si="192"/>
        <v>1</v>
      </c>
      <c r="H1185" s="2994"/>
      <c r="I1185" s="2996">
        <f t="shared" si="193"/>
        <v>1</v>
      </c>
      <c r="J1185" s="2994"/>
      <c r="K1185" s="2996">
        <f t="shared" si="194"/>
        <v>1</v>
      </c>
      <c r="L1185" s="2994"/>
      <c r="M1185" s="2996">
        <f t="shared" si="195"/>
        <v>1</v>
      </c>
      <c r="N1185" s="2994"/>
      <c r="O1185" s="2996">
        <f t="shared" si="196"/>
        <v>1</v>
      </c>
      <c r="P1185" s="2994"/>
      <c r="Q1185" s="2996">
        <f t="shared" si="197"/>
        <v>1</v>
      </c>
      <c r="R1185" s="2997">
        <f t="shared" ca="1" si="198"/>
        <v>17260</v>
      </c>
      <c r="S1185" s="2962">
        <f t="shared" ca="1" si="199"/>
        <v>139</v>
      </c>
    </row>
    <row r="1186" spans="1:19">
      <c r="A1186" s="2992" t="str">
        <f>Sheet1!F1167</f>
        <v>4-1415</v>
      </c>
      <c r="B1186" s="2992">
        <f>Sheet1!G1167</f>
        <v>80.45</v>
      </c>
      <c r="C1186" s="2996">
        <f t="shared" si="190"/>
        <v>1</v>
      </c>
      <c r="D1186" s="2994"/>
      <c r="E1186" s="2996">
        <f t="shared" si="191"/>
        <v>1</v>
      </c>
      <c r="F1186" s="2994"/>
      <c r="G1186" s="2996">
        <f t="shared" si="192"/>
        <v>1</v>
      </c>
      <c r="H1186" s="2994"/>
      <c r="I1186" s="2996">
        <f t="shared" si="193"/>
        <v>1</v>
      </c>
      <c r="J1186" s="2994"/>
      <c r="K1186" s="2996">
        <f t="shared" si="194"/>
        <v>1</v>
      </c>
      <c r="L1186" s="2994"/>
      <c r="M1186" s="2996">
        <f t="shared" si="195"/>
        <v>1</v>
      </c>
      <c r="N1186" s="2994"/>
      <c r="O1186" s="2996">
        <f t="shared" si="196"/>
        <v>1</v>
      </c>
      <c r="P1186" s="2994"/>
      <c r="Q1186" s="2996">
        <f t="shared" si="197"/>
        <v>1</v>
      </c>
      <c r="R1186" s="2997">
        <f t="shared" ca="1" si="198"/>
        <v>17260</v>
      </c>
      <c r="S1186" s="2962">
        <f t="shared" ca="1" si="199"/>
        <v>139</v>
      </c>
    </row>
    <row r="1187" spans="1:19">
      <c r="A1187" s="2992" t="str">
        <f>Sheet1!F1168</f>
        <v>4-1416</v>
      </c>
      <c r="B1187" s="2992">
        <f>Sheet1!G1168</f>
        <v>60.69</v>
      </c>
      <c r="C1187" s="2996">
        <f t="shared" si="190"/>
        <v>1</v>
      </c>
      <c r="D1187" s="2994"/>
      <c r="E1187" s="2996">
        <f t="shared" si="191"/>
        <v>1</v>
      </c>
      <c r="F1187" s="2994"/>
      <c r="G1187" s="2996">
        <f t="shared" si="192"/>
        <v>1</v>
      </c>
      <c r="H1187" s="2994"/>
      <c r="I1187" s="2996">
        <f t="shared" si="193"/>
        <v>1</v>
      </c>
      <c r="J1187" s="2994"/>
      <c r="K1187" s="2996">
        <f t="shared" si="194"/>
        <v>1</v>
      </c>
      <c r="L1187" s="2994"/>
      <c r="M1187" s="2996">
        <f t="shared" si="195"/>
        <v>1</v>
      </c>
      <c r="N1187" s="2994"/>
      <c r="O1187" s="2996">
        <f t="shared" si="196"/>
        <v>1</v>
      </c>
      <c r="P1187" s="2994"/>
      <c r="Q1187" s="2996">
        <f t="shared" si="197"/>
        <v>1</v>
      </c>
      <c r="R1187" s="2997">
        <f t="shared" ca="1" si="198"/>
        <v>17260</v>
      </c>
      <c r="S1187" s="2962">
        <f t="shared" ca="1" si="199"/>
        <v>105</v>
      </c>
    </row>
    <row r="1188" spans="1:19">
      <c r="A1188" s="2992" t="str">
        <f>Sheet1!F1169</f>
        <v>4-1417</v>
      </c>
      <c r="B1188" s="2992">
        <f>Sheet1!G1169</f>
        <v>60.69</v>
      </c>
      <c r="C1188" s="2996">
        <f t="shared" si="190"/>
        <v>1</v>
      </c>
      <c r="D1188" s="2994"/>
      <c r="E1188" s="2996">
        <f t="shared" si="191"/>
        <v>1</v>
      </c>
      <c r="F1188" s="2994"/>
      <c r="G1188" s="2996">
        <f t="shared" si="192"/>
        <v>1</v>
      </c>
      <c r="H1188" s="2994"/>
      <c r="I1188" s="2996">
        <f t="shared" si="193"/>
        <v>1</v>
      </c>
      <c r="J1188" s="2994"/>
      <c r="K1188" s="2996">
        <f t="shared" si="194"/>
        <v>1</v>
      </c>
      <c r="L1188" s="2994"/>
      <c r="M1188" s="2996">
        <f t="shared" si="195"/>
        <v>1</v>
      </c>
      <c r="N1188" s="2994"/>
      <c r="O1188" s="2996">
        <f t="shared" si="196"/>
        <v>1</v>
      </c>
      <c r="P1188" s="2994"/>
      <c r="Q1188" s="2996">
        <f t="shared" si="197"/>
        <v>1</v>
      </c>
      <c r="R1188" s="2997">
        <f t="shared" ca="1" si="198"/>
        <v>17260</v>
      </c>
      <c r="S1188" s="2962">
        <f t="shared" ca="1" si="199"/>
        <v>105</v>
      </c>
    </row>
    <row r="1189" spans="1:19">
      <c r="A1189" s="2992" t="str">
        <f>Sheet1!F1170</f>
        <v>4-1418</v>
      </c>
      <c r="B1189" s="2992">
        <f>Sheet1!G1170</f>
        <v>60.68</v>
      </c>
      <c r="C1189" s="2996">
        <f t="shared" si="190"/>
        <v>1</v>
      </c>
      <c r="D1189" s="2994"/>
      <c r="E1189" s="2996">
        <f t="shared" si="191"/>
        <v>1</v>
      </c>
      <c r="F1189" s="2994"/>
      <c r="G1189" s="2996">
        <f t="shared" si="192"/>
        <v>1</v>
      </c>
      <c r="H1189" s="2994"/>
      <c r="I1189" s="2996">
        <f t="shared" si="193"/>
        <v>1</v>
      </c>
      <c r="J1189" s="2994"/>
      <c r="K1189" s="2996">
        <f t="shared" si="194"/>
        <v>1</v>
      </c>
      <c r="L1189" s="2994"/>
      <c r="M1189" s="2996">
        <f t="shared" si="195"/>
        <v>1</v>
      </c>
      <c r="N1189" s="2994"/>
      <c r="O1189" s="2996">
        <f t="shared" si="196"/>
        <v>1</v>
      </c>
      <c r="P1189" s="2994"/>
      <c r="Q1189" s="2996">
        <f t="shared" si="197"/>
        <v>1</v>
      </c>
      <c r="R1189" s="2997">
        <f t="shared" ca="1" si="198"/>
        <v>17260</v>
      </c>
      <c r="S1189" s="2962">
        <f t="shared" ca="1" si="199"/>
        <v>105</v>
      </c>
    </row>
    <row r="1190" spans="1:19">
      <c r="A1190" s="2992" t="str">
        <f>Sheet1!F1171</f>
        <v>4-1419</v>
      </c>
      <c r="B1190" s="2992">
        <f>Sheet1!G1171</f>
        <v>60.69</v>
      </c>
      <c r="C1190" s="2996">
        <f t="shared" si="190"/>
        <v>1</v>
      </c>
      <c r="D1190" s="2994"/>
      <c r="E1190" s="2996">
        <f t="shared" si="191"/>
        <v>1</v>
      </c>
      <c r="F1190" s="2994"/>
      <c r="G1190" s="2996">
        <f t="shared" si="192"/>
        <v>1</v>
      </c>
      <c r="H1190" s="2994"/>
      <c r="I1190" s="2996">
        <f t="shared" si="193"/>
        <v>1</v>
      </c>
      <c r="J1190" s="2994"/>
      <c r="K1190" s="2996">
        <f t="shared" si="194"/>
        <v>1</v>
      </c>
      <c r="L1190" s="2994"/>
      <c r="M1190" s="2996">
        <f t="shared" si="195"/>
        <v>1</v>
      </c>
      <c r="N1190" s="2994"/>
      <c r="O1190" s="2996">
        <f t="shared" si="196"/>
        <v>1</v>
      </c>
      <c r="P1190" s="2994"/>
      <c r="Q1190" s="2996">
        <f t="shared" si="197"/>
        <v>1</v>
      </c>
      <c r="R1190" s="2997">
        <f t="shared" ca="1" si="198"/>
        <v>17260</v>
      </c>
      <c r="S1190" s="2962">
        <f t="shared" ca="1" si="199"/>
        <v>105</v>
      </c>
    </row>
    <row r="1191" spans="1:19">
      <c r="A1191" s="2992" t="str">
        <f>Sheet1!F1172</f>
        <v>4-1420</v>
      </c>
      <c r="B1191" s="2992">
        <f>Sheet1!G1172</f>
        <v>60.69</v>
      </c>
      <c r="C1191" s="2996">
        <f t="shared" si="190"/>
        <v>1</v>
      </c>
      <c r="D1191" s="2994"/>
      <c r="E1191" s="2996">
        <f t="shared" si="191"/>
        <v>1</v>
      </c>
      <c r="F1191" s="2994"/>
      <c r="G1191" s="2996">
        <f t="shared" si="192"/>
        <v>1</v>
      </c>
      <c r="H1191" s="2994"/>
      <c r="I1191" s="2996">
        <f t="shared" si="193"/>
        <v>1</v>
      </c>
      <c r="J1191" s="2994"/>
      <c r="K1191" s="2996">
        <f t="shared" si="194"/>
        <v>1</v>
      </c>
      <c r="L1191" s="2994"/>
      <c r="M1191" s="2996">
        <f t="shared" si="195"/>
        <v>1</v>
      </c>
      <c r="N1191" s="2994"/>
      <c r="O1191" s="2996">
        <f t="shared" si="196"/>
        <v>1</v>
      </c>
      <c r="P1191" s="2994"/>
      <c r="Q1191" s="2996">
        <f t="shared" si="197"/>
        <v>1</v>
      </c>
      <c r="R1191" s="2997">
        <f t="shared" ca="1" si="198"/>
        <v>17260</v>
      </c>
      <c r="S1191" s="2962">
        <f t="shared" ca="1" si="199"/>
        <v>105</v>
      </c>
    </row>
    <row r="1192" spans="1:19">
      <c r="A1192" s="2992" t="str">
        <f>Sheet1!F1173</f>
        <v>4-1421</v>
      </c>
      <c r="B1192" s="2992">
        <f>Sheet1!G1173</f>
        <v>60.69</v>
      </c>
      <c r="C1192" s="2996">
        <f t="shared" si="190"/>
        <v>1</v>
      </c>
      <c r="D1192" s="2994"/>
      <c r="E1192" s="2996">
        <f t="shared" si="191"/>
        <v>1</v>
      </c>
      <c r="F1192" s="2994"/>
      <c r="G1192" s="2996">
        <f t="shared" si="192"/>
        <v>1</v>
      </c>
      <c r="H1192" s="2994"/>
      <c r="I1192" s="2996">
        <f t="shared" si="193"/>
        <v>1</v>
      </c>
      <c r="J1192" s="2994"/>
      <c r="K1192" s="2996">
        <f t="shared" si="194"/>
        <v>1</v>
      </c>
      <c r="L1192" s="2994"/>
      <c r="M1192" s="2996">
        <f t="shared" si="195"/>
        <v>1</v>
      </c>
      <c r="N1192" s="2994"/>
      <c r="O1192" s="2996">
        <f t="shared" si="196"/>
        <v>1</v>
      </c>
      <c r="P1192" s="2994"/>
      <c r="Q1192" s="2996">
        <f t="shared" si="197"/>
        <v>1</v>
      </c>
      <c r="R1192" s="2997">
        <f t="shared" ca="1" si="198"/>
        <v>17260</v>
      </c>
      <c r="S1192" s="2962">
        <f t="shared" ca="1" si="199"/>
        <v>105</v>
      </c>
    </row>
    <row r="1193" spans="1:19">
      <c r="A1193" s="2992" t="str">
        <f>Sheet1!F1174</f>
        <v>4-1422</v>
      </c>
      <c r="B1193" s="2992">
        <f>Sheet1!G1174</f>
        <v>60.69</v>
      </c>
      <c r="C1193" s="2996">
        <f t="shared" si="190"/>
        <v>1</v>
      </c>
      <c r="D1193" s="2994"/>
      <c r="E1193" s="2996">
        <f t="shared" si="191"/>
        <v>1</v>
      </c>
      <c r="F1193" s="2994"/>
      <c r="G1193" s="2996">
        <f t="shared" si="192"/>
        <v>1</v>
      </c>
      <c r="H1193" s="2994"/>
      <c r="I1193" s="2996">
        <f t="shared" si="193"/>
        <v>1</v>
      </c>
      <c r="J1193" s="2994"/>
      <c r="K1193" s="2996">
        <f t="shared" si="194"/>
        <v>1</v>
      </c>
      <c r="L1193" s="2994"/>
      <c r="M1193" s="2996">
        <f t="shared" si="195"/>
        <v>1</v>
      </c>
      <c r="N1193" s="2994"/>
      <c r="O1193" s="2996">
        <f t="shared" si="196"/>
        <v>1</v>
      </c>
      <c r="P1193" s="2994"/>
      <c r="Q1193" s="2996">
        <f t="shared" si="197"/>
        <v>1</v>
      </c>
      <c r="R1193" s="2997">
        <f t="shared" ca="1" si="198"/>
        <v>17260</v>
      </c>
      <c r="S1193" s="2962">
        <f t="shared" ca="1" si="199"/>
        <v>105</v>
      </c>
    </row>
    <row r="1194" spans="1:19">
      <c r="A1194" s="2992" t="str">
        <f>Sheet1!F1175</f>
        <v>4-1423</v>
      </c>
      <c r="B1194" s="2992">
        <f>Sheet1!G1175</f>
        <v>60.69</v>
      </c>
      <c r="C1194" s="2996">
        <f t="shared" si="190"/>
        <v>1</v>
      </c>
      <c r="D1194" s="2994"/>
      <c r="E1194" s="2996">
        <f t="shared" si="191"/>
        <v>1</v>
      </c>
      <c r="F1194" s="2994"/>
      <c r="G1194" s="2996">
        <f t="shared" si="192"/>
        <v>1</v>
      </c>
      <c r="H1194" s="2994"/>
      <c r="I1194" s="2996">
        <f t="shared" si="193"/>
        <v>1</v>
      </c>
      <c r="J1194" s="2994"/>
      <c r="K1194" s="2996">
        <f t="shared" si="194"/>
        <v>1</v>
      </c>
      <c r="L1194" s="2994"/>
      <c r="M1194" s="2996">
        <f t="shared" si="195"/>
        <v>1</v>
      </c>
      <c r="N1194" s="2994"/>
      <c r="O1194" s="2996">
        <f t="shared" si="196"/>
        <v>1</v>
      </c>
      <c r="P1194" s="2994"/>
      <c r="Q1194" s="2996">
        <f t="shared" si="197"/>
        <v>1</v>
      </c>
      <c r="R1194" s="2997">
        <f t="shared" ca="1" si="198"/>
        <v>17260</v>
      </c>
      <c r="S1194" s="2962">
        <f t="shared" ca="1" si="199"/>
        <v>105</v>
      </c>
    </row>
    <row r="1195" spans="1:19">
      <c r="A1195" s="2992" t="str">
        <f>Sheet1!F1176</f>
        <v>4-1424</v>
      </c>
      <c r="B1195" s="2992">
        <f>Sheet1!G1176</f>
        <v>60.69</v>
      </c>
      <c r="C1195" s="2996">
        <f t="shared" si="190"/>
        <v>1</v>
      </c>
      <c r="D1195" s="2994"/>
      <c r="E1195" s="2996">
        <f t="shared" si="191"/>
        <v>1</v>
      </c>
      <c r="F1195" s="2994"/>
      <c r="G1195" s="2996">
        <f t="shared" si="192"/>
        <v>1</v>
      </c>
      <c r="H1195" s="2994"/>
      <c r="I1195" s="2996">
        <f t="shared" si="193"/>
        <v>1</v>
      </c>
      <c r="J1195" s="2994"/>
      <c r="K1195" s="2996">
        <f t="shared" si="194"/>
        <v>1</v>
      </c>
      <c r="L1195" s="2994"/>
      <c r="M1195" s="2996">
        <f t="shared" si="195"/>
        <v>1</v>
      </c>
      <c r="N1195" s="2994"/>
      <c r="O1195" s="2996">
        <f t="shared" si="196"/>
        <v>1</v>
      </c>
      <c r="P1195" s="2994"/>
      <c r="Q1195" s="2996">
        <f t="shared" si="197"/>
        <v>1</v>
      </c>
      <c r="R1195" s="2997">
        <f t="shared" ca="1" si="198"/>
        <v>17260</v>
      </c>
      <c r="S1195" s="2962">
        <f t="shared" ca="1" si="199"/>
        <v>105</v>
      </c>
    </row>
    <row r="1196" spans="1:19">
      <c r="A1196" s="2992" t="str">
        <f>Sheet1!F1177</f>
        <v>4-1425</v>
      </c>
      <c r="B1196" s="2992">
        <f>Sheet1!G1177</f>
        <v>60.69</v>
      </c>
      <c r="C1196" s="2996">
        <f t="shared" si="190"/>
        <v>1</v>
      </c>
      <c r="D1196" s="2994"/>
      <c r="E1196" s="2996">
        <f t="shared" si="191"/>
        <v>1</v>
      </c>
      <c r="F1196" s="2994"/>
      <c r="G1196" s="2996">
        <f t="shared" si="192"/>
        <v>1</v>
      </c>
      <c r="H1196" s="2994"/>
      <c r="I1196" s="2996">
        <f t="shared" si="193"/>
        <v>1</v>
      </c>
      <c r="J1196" s="2994"/>
      <c r="K1196" s="2996">
        <f t="shared" si="194"/>
        <v>1</v>
      </c>
      <c r="L1196" s="2994"/>
      <c r="M1196" s="2996">
        <f t="shared" si="195"/>
        <v>1</v>
      </c>
      <c r="N1196" s="2994"/>
      <c r="O1196" s="2996">
        <f t="shared" si="196"/>
        <v>1</v>
      </c>
      <c r="P1196" s="2994"/>
      <c r="Q1196" s="2996">
        <f t="shared" si="197"/>
        <v>1</v>
      </c>
      <c r="R1196" s="2997">
        <f t="shared" ca="1" si="198"/>
        <v>17260</v>
      </c>
      <c r="S1196" s="2962">
        <f t="shared" ca="1" si="199"/>
        <v>105</v>
      </c>
    </row>
    <row r="1197" spans="1:19">
      <c r="A1197" s="2992" t="str">
        <f>Sheet1!F1178</f>
        <v>4-1426</v>
      </c>
      <c r="B1197" s="2992">
        <f>Sheet1!G1178</f>
        <v>60.69</v>
      </c>
      <c r="C1197" s="2996">
        <f t="shared" si="190"/>
        <v>1</v>
      </c>
      <c r="D1197" s="2994"/>
      <c r="E1197" s="2996">
        <f t="shared" si="191"/>
        <v>1</v>
      </c>
      <c r="F1197" s="2994"/>
      <c r="G1197" s="2996">
        <f t="shared" si="192"/>
        <v>1</v>
      </c>
      <c r="H1197" s="2994"/>
      <c r="I1197" s="2996">
        <f t="shared" si="193"/>
        <v>1</v>
      </c>
      <c r="J1197" s="2994"/>
      <c r="K1197" s="2996">
        <f t="shared" si="194"/>
        <v>1</v>
      </c>
      <c r="L1197" s="2994"/>
      <c r="M1197" s="2996">
        <f t="shared" si="195"/>
        <v>1</v>
      </c>
      <c r="N1197" s="2994"/>
      <c r="O1197" s="2996">
        <f t="shared" si="196"/>
        <v>1</v>
      </c>
      <c r="P1197" s="2994"/>
      <c r="Q1197" s="2996">
        <f t="shared" si="197"/>
        <v>1</v>
      </c>
      <c r="R1197" s="2997">
        <f t="shared" ca="1" si="198"/>
        <v>17260</v>
      </c>
      <c r="S1197" s="2962">
        <f t="shared" ca="1" si="199"/>
        <v>105</v>
      </c>
    </row>
    <row r="1198" spans="1:19">
      <c r="A1198" s="2992" t="str">
        <f>Sheet1!F1179</f>
        <v>4-1427</v>
      </c>
      <c r="B1198" s="2992">
        <f>Sheet1!G1179</f>
        <v>104.53</v>
      </c>
      <c r="C1198" s="2996">
        <f t="shared" si="190"/>
        <v>0.99</v>
      </c>
      <c r="D1198" s="2994"/>
      <c r="E1198" s="2996">
        <f t="shared" si="191"/>
        <v>1</v>
      </c>
      <c r="F1198" s="2994"/>
      <c r="G1198" s="2996">
        <f t="shared" si="192"/>
        <v>1</v>
      </c>
      <c r="H1198" s="2994"/>
      <c r="I1198" s="2996">
        <f t="shared" si="193"/>
        <v>1</v>
      </c>
      <c r="J1198" s="2994"/>
      <c r="K1198" s="2996">
        <f t="shared" si="194"/>
        <v>1</v>
      </c>
      <c r="L1198" s="2994"/>
      <c r="M1198" s="2996">
        <f t="shared" si="195"/>
        <v>1</v>
      </c>
      <c r="N1198" s="2994"/>
      <c r="O1198" s="2996">
        <f t="shared" si="196"/>
        <v>1</v>
      </c>
      <c r="P1198" s="2994"/>
      <c r="Q1198" s="2996">
        <f t="shared" si="197"/>
        <v>1</v>
      </c>
      <c r="R1198" s="2997">
        <f t="shared" ca="1" si="198"/>
        <v>17087</v>
      </c>
      <c r="S1198" s="2962">
        <f t="shared" ca="1" si="199"/>
        <v>179</v>
      </c>
    </row>
    <row r="1199" spans="1:19">
      <c r="A1199" s="2992" t="str">
        <f>Sheet1!F1180</f>
        <v>4-1428</v>
      </c>
      <c r="B1199" s="2992">
        <f>Sheet1!G1180</f>
        <v>55.78</v>
      </c>
      <c r="C1199" s="2996">
        <f t="shared" si="190"/>
        <v>1</v>
      </c>
      <c r="D1199" s="2994"/>
      <c r="E1199" s="2996">
        <f t="shared" si="191"/>
        <v>1</v>
      </c>
      <c r="F1199" s="2994"/>
      <c r="G1199" s="2996">
        <f t="shared" si="192"/>
        <v>1</v>
      </c>
      <c r="H1199" s="2994"/>
      <c r="I1199" s="2996">
        <f t="shared" si="193"/>
        <v>1</v>
      </c>
      <c r="J1199" s="2994"/>
      <c r="K1199" s="2996">
        <f t="shared" si="194"/>
        <v>1</v>
      </c>
      <c r="L1199" s="2994"/>
      <c r="M1199" s="2996">
        <f t="shared" si="195"/>
        <v>1</v>
      </c>
      <c r="N1199" s="2994"/>
      <c r="O1199" s="2996">
        <f t="shared" si="196"/>
        <v>1</v>
      </c>
      <c r="P1199" s="2994"/>
      <c r="Q1199" s="2996">
        <f t="shared" si="197"/>
        <v>1</v>
      </c>
      <c r="R1199" s="2997">
        <f t="shared" ca="1" si="198"/>
        <v>17260</v>
      </c>
      <c r="S1199" s="2962">
        <f t="shared" ca="1" si="199"/>
        <v>96</v>
      </c>
    </row>
    <row r="1200" spans="1:19">
      <c r="A1200" s="2992" t="str">
        <f>Sheet1!F1181</f>
        <v>4-1429</v>
      </c>
      <c r="B1200" s="2992">
        <f>Sheet1!G1181</f>
        <v>48.86</v>
      </c>
      <c r="C1200" s="2996">
        <f t="shared" si="190"/>
        <v>1</v>
      </c>
      <c r="D1200" s="2994"/>
      <c r="E1200" s="2996">
        <f t="shared" si="191"/>
        <v>1</v>
      </c>
      <c r="F1200" s="2994"/>
      <c r="G1200" s="2996">
        <f t="shared" si="192"/>
        <v>1</v>
      </c>
      <c r="H1200" s="2994"/>
      <c r="I1200" s="2996">
        <f t="shared" si="193"/>
        <v>1</v>
      </c>
      <c r="J1200" s="2994"/>
      <c r="K1200" s="2996">
        <f t="shared" si="194"/>
        <v>1</v>
      </c>
      <c r="L1200" s="2994"/>
      <c r="M1200" s="2996">
        <f t="shared" si="195"/>
        <v>1</v>
      </c>
      <c r="N1200" s="2994"/>
      <c r="O1200" s="2996">
        <f t="shared" si="196"/>
        <v>1</v>
      </c>
      <c r="P1200" s="2994"/>
      <c r="Q1200" s="2996">
        <f t="shared" si="197"/>
        <v>1</v>
      </c>
      <c r="R1200" s="2997">
        <f t="shared" ca="1" si="198"/>
        <v>17260</v>
      </c>
      <c r="S1200" s="2962">
        <f t="shared" ca="1" si="199"/>
        <v>84</v>
      </c>
    </row>
    <row r="1201" spans="1:19">
      <c r="A1201" s="2992" t="str">
        <f>Sheet1!F1182</f>
        <v>4-1430</v>
      </c>
      <c r="B1201" s="2992">
        <f>Sheet1!G1182</f>
        <v>48.86</v>
      </c>
      <c r="C1201" s="2996">
        <f t="shared" si="190"/>
        <v>1</v>
      </c>
      <c r="D1201" s="2994"/>
      <c r="E1201" s="2996">
        <f t="shared" si="191"/>
        <v>1</v>
      </c>
      <c r="F1201" s="2994"/>
      <c r="G1201" s="2996">
        <f t="shared" si="192"/>
        <v>1</v>
      </c>
      <c r="H1201" s="2994"/>
      <c r="I1201" s="2996">
        <f t="shared" si="193"/>
        <v>1</v>
      </c>
      <c r="J1201" s="2994"/>
      <c r="K1201" s="2996">
        <f t="shared" si="194"/>
        <v>1</v>
      </c>
      <c r="L1201" s="2994"/>
      <c r="M1201" s="2996">
        <f t="shared" si="195"/>
        <v>1</v>
      </c>
      <c r="N1201" s="2994"/>
      <c r="O1201" s="2996">
        <f t="shared" si="196"/>
        <v>1</v>
      </c>
      <c r="P1201" s="2994"/>
      <c r="Q1201" s="2996">
        <f t="shared" si="197"/>
        <v>1</v>
      </c>
      <c r="R1201" s="2997">
        <f t="shared" ca="1" si="198"/>
        <v>17260</v>
      </c>
      <c r="S1201" s="2962">
        <f t="shared" ca="1" si="199"/>
        <v>84</v>
      </c>
    </row>
    <row r="1202" spans="1:19">
      <c r="A1202" s="2992" t="str">
        <f>Sheet1!F1183</f>
        <v>4-1431</v>
      </c>
      <c r="B1202" s="2992">
        <f>Sheet1!G1183</f>
        <v>48.86</v>
      </c>
      <c r="C1202" s="2996">
        <f t="shared" si="190"/>
        <v>1</v>
      </c>
      <c r="D1202" s="2994"/>
      <c r="E1202" s="2996">
        <f t="shared" si="191"/>
        <v>1</v>
      </c>
      <c r="F1202" s="2994"/>
      <c r="G1202" s="2996">
        <f t="shared" si="192"/>
        <v>1</v>
      </c>
      <c r="H1202" s="2994"/>
      <c r="I1202" s="2996">
        <f t="shared" si="193"/>
        <v>1</v>
      </c>
      <c r="J1202" s="2994"/>
      <c r="K1202" s="2996">
        <f t="shared" si="194"/>
        <v>1</v>
      </c>
      <c r="L1202" s="2994"/>
      <c r="M1202" s="2996">
        <f t="shared" si="195"/>
        <v>1</v>
      </c>
      <c r="N1202" s="2994"/>
      <c r="O1202" s="2996">
        <f t="shared" si="196"/>
        <v>1</v>
      </c>
      <c r="P1202" s="2994"/>
      <c r="Q1202" s="2996">
        <f t="shared" si="197"/>
        <v>1</v>
      </c>
      <c r="R1202" s="2997">
        <f t="shared" ca="1" si="198"/>
        <v>17260</v>
      </c>
      <c r="S1202" s="2962">
        <f t="shared" ca="1" si="199"/>
        <v>84</v>
      </c>
    </row>
    <row r="1203" spans="1:19">
      <c r="A1203" s="2992" t="str">
        <f>Sheet1!F1184</f>
        <v>4-1432</v>
      </c>
      <c r="B1203" s="2992">
        <f>Sheet1!G1184</f>
        <v>54.5</v>
      </c>
      <c r="C1203" s="2996">
        <f t="shared" si="190"/>
        <v>1</v>
      </c>
      <c r="D1203" s="2994"/>
      <c r="E1203" s="2996">
        <f t="shared" si="191"/>
        <v>1</v>
      </c>
      <c r="F1203" s="2994"/>
      <c r="G1203" s="2996">
        <f t="shared" si="192"/>
        <v>1</v>
      </c>
      <c r="H1203" s="2994"/>
      <c r="I1203" s="2996">
        <f t="shared" si="193"/>
        <v>1</v>
      </c>
      <c r="J1203" s="2994"/>
      <c r="K1203" s="2996">
        <f t="shared" si="194"/>
        <v>1</v>
      </c>
      <c r="L1203" s="2994"/>
      <c r="M1203" s="2996">
        <f t="shared" si="195"/>
        <v>1</v>
      </c>
      <c r="N1203" s="2994"/>
      <c r="O1203" s="2996">
        <f t="shared" si="196"/>
        <v>1</v>
      </c>
      <c r="P1203" s="2994"/>
      <c r="Q1203" s="2996">
        <f t="shared" si="197"/>
        <v>1</v>
      </c>
      <c r="R1203" s="2997">
        <f t="shared" ca="1" si="198"/>
        <v>17260</v>
      </c>
      <c r="S1203" s="2962">
        <f t="shared" ca="1" si="199"/>
        <v>94</v>
      </c>
    </row>
    <row r="1204" spans="1:19">
      <c r="A1204" s="2992" t="str">
        <f>Sheet1!F1185</f>
        <v>4-1433</v>
      </c>
      <c r="B1204" s="2992">
        <f>Sheet1!G1185</f>
        <v>64.58</v>
      </c>
      <c r="C1204" s="2996">
        <f t="shared" si="190"/>
        <v>1</v>
      </c>
      <c r="D1204" s="2994"/>
      <c r="E1204" s="2996">
        <f t="shared" si="191"/>
        <v>1</v>
      </c>
      <c r="F1204" s="2994"/>
      <c r="G1204" s="2996">
        <f t="shared" si="192"/>
        <v>1</v>
      </c>
      <c r="H1204" s="2994"/>
      <c r="I1204" s="2996">
        <f t="shared" si="193"/>
        <v>1</v>
      </c>
      <c r="J1204" s="2994"/>
      <c r="K1204" s="2996">
        <f t="shared" si="194"/>
        <v>1</v>
      </c>
      <c r="L1204" s="2994"/>
      <c r="M1204" s="2996">
        <f t="shared" si="195"/>
        <v>1</v>
      </c>
      <c r="N1204" s="2994"/>
      <c r="O1204" s="2996">
        <f t="shared" si="196"/>
        <v>1</v>
      </c>
      <c r="P1204" s="2994"/>
      <c r="Q1204" s="2996">
        <f t="shared" si="197"/>
        <v>1</v>
      </c>
      <c r="R1204" s="2997">
        <f t="shared" ca="1" si="198"/>
        <v>17260</v>
      </c>
      <c r="S1204" s="2962">
        <f t="shared" ca="1" si="199"/>
        <v>111</v>
      </c>
    </row>
    <row r="1205" spans="1:19">
      <c r="A1205" s="2992" t="str">
        <f>Sheet1!F1186</f>
        <v>4-1434</v>
      </c>
      <c r="B1205" s="2992">
        <f>Sheet1!G1186</f>
        <v>45.32</v>
      </c>
      <c r="C1205" s="2996">
        <f t="shared" si="190"/>
        <v>1</v>
      </c>
      <c r="D1205" s="2994"/>
      <c r="E1205" s="2996">
        <f t="shared" si="191"/>
        <v>1</v>
      </c>
      <c r="F1205" s="2994"/>
      <c r="G1205" s="2996">
        <f t="shared" si="192"/>
        <v>1</v>
      </c>
      <c r="H1205" s="2994"/>
      <c r="I1205" s="2996">
        <f t="shared" si="193"/>
        <v>1</v>
      </c>
      <c r="J1205" s="2994"/>
      <c r="K1205" s="2996">
        <f t="shared" si="194"/>
        <v>1</v>
      </c>
      <c r="L1205" s="2994"/>
      <c r="M1205" s="2996">
        <f t="shared" si="195"/>
        <v>1</v>
      </c>
      <c r="N1205" s="2994"/>
      <c r="O1205" s="2996">
        <f t="shared" si="196"/>
        <v>1</v>
      </c>
      <c r="P1205" s="2994"/>
      <c r="Q1205" s="2996">
        <f t="shared" si="197"/>
        <v>1</v>
      </c>
      <c r="R1205" s="2997">
        <f t="shared" ca="1" si="198"/>
        <v>17260</v>
      </c>
      <c r="S1205" s="2962">
        <f t="shared" ca="1" si="199"/>
        <v>78</v>
      </c>
    </row>
    <row r="1206" spans="1:19">
      <c r="A1206" s="2992" t="str">
        <f>Sheet1!F1187</f>
        <v>4-1435</v>
      </c>
      <c r="B1206" s="2992">
        <f>Sheet1!G1187</f>
        <v>45.2</v>
      </c>
      <c r="C1206" s="2996">
        <f t="shared" si="190"/>
        <v>1</v>
      </c>
      <c r="D1206" s="2994"/>
      <c r="E1206" s="2996">
        <f t="shared" si="191"/>
        <v>1</v>
      </c>
      <c r="F1206" s="2994"/>
      <c r="G1206" s="2996">
        <f t="shared" si="192"/>
        <v>1</v>
      </c>
      <c r="H1206" s="2994"/>
      <c r="I1206" s="2996">
        <f t="shared" si="193"/>
        <v>1</v>
      </c>
      <c r="J1206" s="2994"/>
      <c r="K1206" s="2996">
        <f t="shared" si="194"/>
        <v>1</v>
      </c>
      <c r="L1206" s="2994"/>
      <c r="M1206" s="2996">
        <f t="shared" si="195"/>
        <v>1</v>
      </c>
      <c r="N1206" s="2994"/>
      <c r="O1206" s="2996">
        <f t="shared" si="196"/>
        <v>1</v>
      </c>
      <c r="P1206" s="2994"/>
      <c r="Q1206" s="2996">
        <f t="shared" si="197"/>
        <v>1</v>
      </c>
      <c r="R1206" s="2997">
        <f t="shared" ca="1" si="198"/>
        <v>17260</v>
      </c>
      <c r="S1206" s="2962">
        <f t="shared" ca="1" si="199"/>
        <v>78</v>
      </c>
    </row>
    <row r="1207" spans="1:19">
      <c r="A1207" s="2992" t="str">
        <f>Sheet1!F1188</f>
        <v>4-1436</v>
      </c>
      <c r="B1207" s="2992">
        <f>Sheet1!G1188</f>
        <v>45.32</v>
      </c>
      <c r="C1207" s="2996">
        <f t="shared" si="190"/>
        <v>1</v>
      </c>
      <c r="D1207" s="2994"/>
      <c r="E1207" s="2996">
        <f t="shared" si="191"/>
        <v>1</v>
      </c>
      <c r="F1207" s="2994"/>
      <c r="G1207" s="2996">
        <f t="shared" si="192"/>
        <v>1</v>
      </c>
      <c r="H1207" s="2994"/>
      <c r="I1207" s="2996">
        <f t="shared" si="193"/>
        <v>1</v>
      </c>
      <c r="J1207" s="2994"/>
      <c r="K1207" s="2996">
        <f t="shared" si="194"/>
        <v>1</v>
      </c>
      <c r="L1207" s="2994"/>
      <c r="M1207" s="2996">
        <f t="shared" si="195"/>
        <v>1</v>
      </c>
      <c r="N1207" s="2994"/>
      <c r="O1207" s="2996">
        <f t="shared" si="196"/>
        <v>1</v>
      </c>
      <c r="P1207" s="2994"/>
      <c r="Q1207" s="2996">
        <f t="shared" si="197"/>
        <v>1</v>
      </c>
      <c r="R1207" s="2997">
        <f t="shared" ca="1" si="198"/>
        <v>17260</v>
      </c>
      <c r="S1207" s="2962">
        <f t="shared" ca="1" si="199"/>
        <v>78</v>
      </c>
    </row>
    <row r="1208" spans="1:19">
      <c r="A1208" s="2992" t="str">
        <f>Sheet1!F1189</f>
        <v>4-1437</v>
      </c>
      <c r="B1208" s="2992">
        <f>Sheet1!G1189</f>
        <v>45.32</v>
      </c>
      <c r="C1208" s="2996">
        <f t="shared" si="190"/>
        <v>1</v>
      </c>
      <c r="D1208" s="2994"/>
      <c r="E1208" s="2996">
        <f t="shared" si="191"/>
        <v>1</v>
      </c>
      <c r="F1208" s="2994"/>
      <c r="G1208" s="2996">
        <f t="shared" si="192"/>
        <v>1</v>
      </c>
      <c r="H1208" s="2994"/>
      <c r="I1208" s="2996">
        <f t="shared" si="193"/>
        <v>1</v>
      </c>
      <c r="J1208" s="2994"/>
      <c r="K1208" s="2996">
        <f t="shared" si="194"/>
        <v>1</v>
      </c>
      <c r="L1208" s="2994"/>
      <c r="M1208" s="2996">
        <f t="shared" si="195"/>
        <v>1</v>
      </c>
      <c r="N1208" s="2994"/>
      <c r="O1208" s="2996">
        <f t="shared" si="196"/>
        <v>1</v>
      </c>
      <c r="P1208" s="2994"/>
      <c r="Q1208" s="2996">
        <f t="shared" si="197"/>
        <v>1</v>
      </c>
      <c r="R1208" s="2997">
        <f t="shared" ca="1" si="198"/>
        <v>17260</v>
      </c>
      <c r="S1208" s="2962">
        <f t="shared" ca="1" si="199"/>
        <v>78</v>
      </c>
    </row>
    <row r="1209" spans="1:19">
      <c r="A1209" s="2992" t="str">
        <f>Sheet1!F1190</f>
        <v>4-1438</v>
      </c>
      <c r="B1209" s="2992">
        <f>Sheet1!G1190</f>
        <v>48.86</v>
      </c>
      <c r="C1209" s="2996">
        <f t="shared" si="190"/>
        <v>1</v>
      </c>
      <c r="D1209" s="2994"/>
      <c r="E1209" s="2996">
        <f t="shared" si="191"/>
        <v>1</v>
      </c>
      <c r="F1209" s="2994"/>
      <c r="G1209" s="2996">
        <f t="shared" si="192"/>
        <v>1</v>
      </c>
      <c r="H1209" s="2994"/>
      <c r="I1209" s="2996">
        <f t="shared" si="193"/>
        <v>1</v>
      </c>
      <c r="J1209" s="2994"/>
      <c r="K1209" s="2996">
        <f t="shared" si="194"/>
        <v>1</v>
      </c>
      <c r="L1209" s="2994"/>
      <c r="M1209" s="2996">
        <f t="shared" si="195"/>
        <v>1</v>
      </c>
      <c r="N1209" s="2994"/>
      <c r="O1209" s="2996">
        <f t="shared" si="196"/>
        <v>1</v>
      </c>
      <c r="P1209" s="2994"/>
      <c r="Q1209" s="2996">
        <f t="shared" si="197"/>
        <v>1</v>
      </c>
      <c r="R1209" s="2997">
        <f t="shared" ca="1" si="198"/>
        <v>17260</v>
      </c>
      <c r="S1209" s="2962">
        <f t="shared" ca="1" si="199"/>
        <v>84</v>
      </c>
    </row>
    <row r="1210" spans="1:19">
      <c r="A1210" s="2992" t="str">
        <f>Sheet1!F1191</f>
        <v>4-1439</v>
      </c>
      <c r="B1210" s="2992">
        <f>Sheet1!G1191</f>
        <v>44.51</v>
      </c>
      <c r="C1210" s="2996">
        <f t="shared" si="190"/>
        <v>1</v>
      </c>
      <c r="D1210" s="2994"/>
      <c r="E1210" s="2996">
        <f t="shared" si="191"/>
        <v>1</v>
      </c>
      <c r="F1210" s="2994"/>
      <c r="G1210" s="2996">
        <f t="shared" si="192"/>
        <v>1</v>
      </c>
      <c r="H1210" s="2994"/>
      <c r="I1210" s="2996">
        <f t="shared" si="193"/>
        <v>1</v>
      </c>
      <c r="J1210" s="2994"/>
      <c r="K1210" s="2996">
        <f t="shared" si="194"/>
        <v>1</v>
      </c>
      <c r="L1210" s="2994"/>
      <c r="M1210" s="2996">
        <f t="shared" si="195"/>
        <v>1</v>
      </c>
      <c r="N1210" s="2994"/>
      <c r="O1210" s="2996">
        <f t="shared" si="196"/>
        <v>1</v>
      </c>
      <c r="P1210" s="2994"/>
      <c r="Q1210" s="2996">
        <f t="shared" si="197"/>
        <v>1</v>
      </c>
      <c r="R1210" s="2997">
        <f t="shared" ca="1" si="198"/>
        <v>17260</v>
      </c>
      <c r="S1210" s="2962">
        <f t="shared" ca="1" si="199"/>
        <v>77</v>
      </c>
    </row>
    <row r="1211" spans="1:19">
      <c r="A1211" s="2992" t="str">
        <f>Sheet1!F1192</f>
        <v>4-1440</v>
      </c>
      <c r="B1211" s="2992">
        <f>Sheet1!G1192</f>
        <v>54.67</v>
      </c>
      <c r="C1211" s="2996">
        <f t="shared" si="190"/>
        <v>1</v>
      </c>
      <c r="D1211" s="2994"/>
      <c r="E1211" s="2996">
        <f t="shared" si="191"/>
        <v>1</v>
      </c>
      <c r="F1211" s="2994"/>
      <c r="G1211" s="2996">
        <f t="shared" si="192"/>
        <v>1</v>
      </c>
      <c r="H1211" s="2994"/>
      <c r="I1211" s="2996">
        <f t="shared" si="193"/>
        <v>1</v>
      </c>
      <c r="J1211" s="2994"/>
      <c r="K1211" s="2996">
        <f t="shared" si="194"/>
        <v>1</v>
      </c>
      <c r="L1211" s="2994"/>
      <c r="M1211" s="2996">
        <f t="shared" si="195"/>
        <v>1</v>
      </c>
      <c r="N1211" s="2994"/>
      <c r="O1211" s="2996">
        <f t="shared" si="196"/>
        <v>1</v>
      </c>
      <c r="P1211" s="2994"/>
      <c r="Q1211" s="2996">
        <f t="shared" si="197"/>
        <v>1</v>
      </c>
      <c r="R1211" s="2997">
        <f t="shared" ca="1" si="198"/>
        <v>17260</v>
      </c>
      <c r="S1211" s="2962">
        <f t="shared" ca="1" si="199"/>
        <v>94</v>
      </c>
    </row>
    <row r="1212" spans="1:19">
      <c r="A1212" s="2992" t="str">
        <f>Sheet1!F1193</f>
        <v>4-1441</v>
      </c>
      <c r="B1212" s="2992">
        <f>Sheet1!G1193</f>
        <v>48.86</v>
      </c>
      <c r="C1212" s="2996">
        <f t="shared" si="190"/>
        <v>1</v>
      </c>
      <c r="D1212" s="2994"/>
      <c r="E1212" s="2996">
        <f t="shared" si="191"/>
        <v>1</v>
      </c>
      <c r="F1212" s="2994"/>
      <c r="G1212" s="2996">
        <f t="shared" si="192"/>
        <v>1</v>
      </c>
      <c r="H1212" s="2994"/>
      <c r="I1212" s="2996">
        <f t="shared" si="193"/>
        <v>1</v>
      </c>
      <c r="J1212" s="2994"/>
      <c r="K1212" s="2996">
        <f t="shared" si="194"/>
        <v>1</v>
      </c>
      <c r="L1212" s="2994"/>
      <c r="M1212" s="2996">
        <f t="shared" si="195"/>
        <v>1</v>
      </c>
      <c r="N1212" s="2994"/>
      <c r="O1212" s="2996">
        <f t="shared" si="196"/>
        <v>1</v>
      </c>
      <c r="P1212" s="2994"/>
      <c r="Q1212" s="2996">
        <f t="shared" si="197"/>
        <v>1</v>
      </c>
      <c r="R1212" s="2997">
        <f t="shared" ca="1" si="198"/>
        <v>17260</v>
      </c>
      <c r="S1212" s="2962">
        <f t="shared" ca="1" si="199"/>
        <v>84</v>
      </c>
    </row>
    <row r="1213" spans="1:19">
      <c r="A1213" s="2992" t="str">
        <f>Sheet1!F1194</f>
        <v>4-1442</v>
      </c>
      <c r="B1213" s="2992">
        <f>Sheet1!G1194</f>
        <v>48.86</v>
      </c>
      <c r="C1213" s="2996">
        <f t="shared" si="190"/>
        <v>1</v>
      </c>
      <c r="D1213" s="2994"/>
      <c r="E1213" s="2996">
        <f t="shared" si="191"/>
        <v>1</v>
      </c>
      <c r="F1213" s="2994"/>
      <c r="G1213" s="2996">
        <f t="shared" si="192"/>
        <v>1</v>
      </c>
      <c r="H1213" s="2994"/>
      <c r="I1213" s="2996">
        <f t="shared" si="193"/>
        <v>1</v>
      </c>
      <c r="J1213" s="2994"/>
      <c r="K1213" s="2996">
        <f t="shared" si="194"/>
        <v>1</v>
      </c>
      <c r="L1213" s="2994"/>
      <c r="M1213" s="2996">
        <f t="shared" si="195"/>
        <v>1</v>
      </c>
      <c r="N1213" s="2994"/>
      <c r="O1213" s="2996">
        <f t="shared" si="196"/>
        <v>1</v>
      </c>
      <c r="P1213" s="2994"/>
      <c r="Q1213" s="2996">
        <f t="shared" si="197"/>
        <v>1</v>
      </c>
      <c r="R1213" s="2997">
        <f t="shared" ca="1" si="198"/>
        <v>17260</v>
      </c>
      <c r="S1213" s="2962">
        <f t="shared" ca="1" si="199"/>
        <v>84</v>
      </c>
    </row>
    <row r="1214" spans="1:19">
      <c r="A1214" s="2992" t="str">
        <f>Sheet1!F1195</f>
        <v>4-1443</v>
      </c>
      <c r="B1214" s="2992">
        <f>Sheet1!G1195</f>
        <v>48.86</v>
      </c>
      <c r="C1214" s="2996">
        <f t="shared" si="190"/>
        <v>1</v>
      </c>
      <c r="D1214" s="2994"/>
      <c r="E1214" s="2996">
        <f t="shared" si="191"/>
        <v>1</v>
      </c>
      <c r="F1214" s="2994"/>
      <c r="G1214" s="2996">
        <f t="shared" si="192"/>
        <v>1</v>
      </c>
      <c r="H1214" s="2994"/>
      <c r="I1214" s="2996">
        <f t="shared" si="193"/>
        <v>1</v>
      </c>
      <c r="J1214" s="2994"/>
      <c r="K1214" s="2996">
        <f t="shared" si="194"/>
        <v>1</v>
      </c>
      <c r="L1214" s="2994"/>
      <c r="M1214" s="2996">
        <f t="shared" si="195"/>
        <v>1</v>
      </c>
      <c r="N1214" s="2994"/>
      <c r="O1214" s="2996">
        <f t="shared" si="196"/>
        <v>1</v>
      </c>
      <c r="P1214" s="2994"/>
      <c r="Q1214" s="2996">
        <f t="shared" si="197"/>
        <v>1</v>
      </c>
      <c r="R1214" s="2997">
        <f t="shared" ca="1" si="198"/>
        <v>17260</v>
      </c>
      <c r="S1214" s="2962">
        <f t="shared" ca="1" si="199"/>
        <v>84</v>
      </c>
    </row>
    <row r="1215" spans="1:19">
      <c r="A1215" s="2992" t="str">
        <f>Sheet1!F1196</f>
        <v>4-1444</v>
      </c>
      <c r="B1215" s="2992">
        <f>Sheet1!G1196</f>
        <v>54.87</v>
      </c>
      <c r="C1215" s="2996">
        <f t="shared" si="190"/>
        <v>1</v>
      </c>
      <c r="D1215" s="2994"/>
      <c r="E1215" s="2996">
        <f t="shared" si="191"/>
        <v>1</v>
      </c>
      <c r="F1215" s="2994"/>
      <c r="G1215" s="2996">
        <f t="shared" si="192"/>
        <v>1</v>
      </c>
      <c r="H1215" s="2994"/>
      <c r="I1215" s="2996">
        <f t="shared" si="193"/>
        <v>1</v>
      </c>
      <c r="J1215" s="2994"/>
      <c r="K1215" s="2996">
        <f t="shared" si="194"/>
        <v>1</v>
      </c>
      <c r="L1215" s="2994"/>
      <c r="M1215" s="2996">
        <f t="shared" si="195"/>
        <v>1</v>
      </c>
      <c r="N1215" s="2994"/>
      <c r="O1215" s="2996">
        <f t="shared" si="196"/>
        <v>1</v>
      </c>
      <c r="P1215" s="2994"/>
      <c r="Q1215" s="2996">
        <f t="shared" si="197"/>
        <v>1</v>
      </c>
      <c r="R1215" s="2997">
        <f t="shared" ca="1" si="198"/>
        <v>17260</v>
      </c>
      <c r="S1215" s="2962">
        <f t="shared" ca="1" si="199"/>
        <v>95</v>
      </c>
    </row>
    <row r="1216" spans="1:19">
      <c r="A1216" s="2992" t="str">
        <f>Sheet1!F1197</f>
        <v>4-1445</v>
      </c>
      <c r="B1216" s="2992">
        <f>Sheet1!G1197</f>
        <v>88.13</v>
      </c>
      <c r="C1216" s="2996">
        <f t="shared" si="190"/>
        <v>1</v>
      </c>
      <c r="D1216" s="2994"/>
      <c r="E1216" s="2996">
        <f t="shared" si="191"/>
        <v>1</v>
      </c>
      <c r="F1216" s="2994"/>
      <c r="G1216" s="2996">
        <f t="shared" si="192"/>
        <v>1</v>
      </c>
      <c r="H1216" s="2994"/>
      <c r="I1216" s="2996">
        <f t="shared" si="193"/>
        <v>1</v>
      </c>
      <c r="J1216" s="2994"/>
      <c r="K1216" s="2996">
        <f t="shared" si="194"/>
        <v>1</v>
      </c>
      <c r="L1216" s="2994"/>
      <c r="M1216" s="2996">
        <f t="shared" si="195"/>
        <v>1</v>
      </c>
      <c r="N1216" s="2994"/>
      <c r="O1216" s="2996">
        <f t="shared" si="196"/>
        <v>1</v>
      </c>
      <c r="P1216" s="2994"/>
      <c r="Q1216" s="2996">
        <f t="shared" si="197"/>
        <v>1</v>
      </c>
      <c r="R1216" s="2997">
        <f t="shared" ca="1" si="198"/>
        <v>17260</v>
      </c>
      <c r="S1216" s="2962">
        <f t="shared" ca="1" si="199"/>
        <v>152</v>
      </c>
    </row>
    <row r="1217" spans="1:19">
      <c r="A1217" s="2992" t="str">
        <f>Sheet1!F1198</f>
        <v>1-1501</v>
      </c>
      <c r="B1217" s="2992">
        <f>Sheet1!G1198</f>
        <v>186.33</v>
      </c>
      <c r="C1217" s="2996">
        <f t="shared" si="190"/>
        <v>0.99</v>
      </c>
      <c r="D1217" s="2994"/>
      <c r="E1217" s="2996">
        <f t="shared" si="191"/>
        <v>1</v>
      </c>
      <c r="F1217" s="2994"/>
      <c r="G1217" s="2996">
        <f t="shared" si="192"/>
        <v>1</v>
      </c>
      <c r="H1217" s="2994"/>
      <c r="I1217" s="2996">
        <f t="shared" si="193"/>
        <v>1</v>
      </c>
      <c r="J1217" s="2994"/>
      <c r="K1217" s="2996">
        <f t="shared" si="194"/>
        <v>1</v>
      </c>
      <c r="L1217" s="2994"/>
      <c r="M1217" s="2996">
        <f t="shared" si="195"/>
        <v>1</v>
      </c>
      <c r="N1217" s="2994"/>
      <c r="O1217" s="2996">
        <f t="shared" si="196"/>
        <v>1</v>
      </c>
      <c r="P1217" s="2994"/>
      <c r="Q1217" s="2996">
        <f t="shared" si="197"/>
        <v>1</v>
      </c>
      <c r="R1217" s="2997">
        <f t="shared" ca="1" si="198"/>
        <v>17087</v>
      </c>
      <c r="S1217" s="2962">
        <f t="shared" ca="1" si="199"/>
        <v>318</v>
      </c>
    </row>
    <row r="1218" spans="1:19">
      <c r="A1218" s="2992" t="str">
        <f>Sheet1!F1199</f>
        <v>1-1502</v>
      </c>
      <c r="B1218" s="2992">
        <f>Sheet1!G1199</f>
        <v>188.39</v>
      </c>
      <c r="C1218" s="2996">
        <f t="shared" si="190"/>
        <v>0.99</v>
      </c>
      <c r="D1218" s="2994"/>
      <c r="E1218" s="2996">
        <f t="shared" si="191"/>
        <v>1</v>
      </c>
      <c r="F1218" s="2994"/>
      <c r="G1218" s="2996">
        <f t="shared" si="192"/>
        <v>1</v>
      </c>
      <c r="H1218" s="2994"/>
      <c r="I1218" s="2996">
        <f t="shared" si="193"/>
        <v>1</v>
      </c>
      <c r="J1218" s="2994"/>
      <c r="K1218" s="2996">
        <f t="shared" si="194"/>
        <v>1</v>
      </c>
      <c r="L1218" s="2994"/>
      <c r="M1218" s="2996">
        <f t="shared" si="195"/>
        <v>1</v>
      </c>
      <c r="N1218" s="2994"/>
      <c r="O1218" s="2996">
        <f t="shared" si="196"/>
        <v>1</v>
      </c>
      <c r="P1218" s="2994"/>
      <c r="Q1218" s="2996">
        <f t="shared" si="197"/>
        <v>1</v>
      </c>
      <c r="R1218" s="2997">
        <f t="shared" ca="1" si="198"/>
        <v>17087</v>
      </c>
      <c r="S1218" s="2962">
        <f t="shared" ca="1" si="199"/>
        <v>322</v>
      </c>
    </row>
    <row r="1219" spans="1:19">
      <c r="A1219" s="2992" t="str">
        <f>Sheet1!F1200</f>
        <v>1-1503</v>
      </c>
      <c r="B1219" s="2992">
        <f>Sheet1!G1200</f>
        <v>188.39</v>
      </c>
      <c r="C1219" s="2996">
        <f t="shared" si="190"/>
        <v>0.99</v>
      </c>
      <c r="D1219" s="2994"/>
      <c r="E1219" s="2996">
        <f t="shared" si="191"/>
        <v>1</v>
      </c>
      <c r="F1219" s="2994"/>
      <c r="G1219" s="2996">
        <f t="shared" si="192"/>
        <v>1</v>
      </c>
      <c r="H1219" s="2994"/>
      <c r="I1219" s="2996">
        <f t="shared" si="193"/>
        <v>1</v>
      </c>
      <c r="J1219" s="2994"/>
      <c r="K1219" s="2996">
        <f t="shared" si="194"/>
        <v>1</v>
      </c>
      <c r="L1219" s="2994"/>
      <c r="M1219" s="2996">
        <f t="shared" si="195"/>
        <v>1</v>
      </c>
      <c r="N1219" s="2994"/>
      <c r="O1219" s="2996">
        <f t="shared" si="196"/>
        <v>1</v>
      </c>
      <c r="P1219" s="2994"/>
      <c r="Q1219" s="2996">
        <f t="shared" si="197"/>
        <v>1</v>
      </c>
      <c r="R1219" s="2997">
        <f t="shared" ca="1" si="198"/>
        <v>17087</v>
      </c>
      <c r="S1219" s="2962">
        <f t="shared" ca="1" si="199"/>
        <v>322</v>
      </c>
    </row>
    <row r="1220" spans="1:19">
      <c r="A1220" s="2992" t="str">
        <f>Sheet1!F1201</f>
        <v>1-1504</v>
      </c>
      <c r="B1220" s="2992">
        <f>Sheet1!G1201</f>
        <v>188.39</v>
      </c>
      <c r="C1220" s="2996">
        <f t="shared" si="190"/>
        <v>0.99</v>
      </c>
      <c r="D1220" s="2994"/>
      <c r="E1220" s="2996">
        <f t="shared" si="191"/>
        <v>1</v>
      </c>
      <c r="F1220" s="2994"/>
      <c r="G1220" s="2996">
        <f t="shared" si="192"/>
        <v>1</v>
      </c>
      <c r="H1220" s="2994"/>
      <c r="I1220" s="2996">
        <f t="shared" si="193"/>
        <v>1</v>
      </c>
      <c r="J1220" s="2994"/>
      <c r="K1220" s="2996">
        <f t="shared" si="194"/>
        <v>1</v>
      </c>
      <c r="L1220" s="2994"/>
      <c r="M1220" s="2996">
        <f t="shared" si="195"/>
        <v>1</v>
      </c>
      <c r="N1220" s="2994"/>
      <c r="O1220" s="2996">
        <f t="shared" si="196"/>
        <v>1</v>
      </c>
      <c r="P1220" s="2994"/>
      <c r="Q1220" s="2996">
        <f t="shared" si="197"/>
        <v>1</v>
      </c>
      <c r="R1220" s="2997">
        <f t="shared" ca="1" si="198"/>
        <v>17087</v>
      </c>
      <c r="S1220" s="2962">
        <f t="shared" ca="1" si="199"/>
        <v>322</v>
      </c>
    </row>
    <row r="1221" spans="1:19">
      <c r="A1221" s="2992" t="str">
        <f>Sheet1!F1202</f>
        <v>1-1505</v>
      </c>
      <c r="B1221" s="2992">
        <f>Sheet1!G1202</f>
        <v>188.39</v>
      </c>
      <c r="C1221" s="2996">
        <f t="shared" si="190"/>
        <v>0.99</v>
      </c>
      <c r="D1221" s="2994"/>
      <c r="E1221" s="2996">
        <f t="shared" si="191"/>
        <v>1</v>
      </c>
      <c r="F1221" s="2994"/>
      <c r="G1221" s="2996">
        <f t="shared" si="192"/>
        <v>1</v>
      </c>
      <c r="H1221" s="2994"/>
      <c r="I1221" s="2996">
        <f t="shared" si="193"/>
        <v>1</v>
      </c>
      <c r="J1221" s="2994"/>
      <c r="K1221" s="2996">
        <f t="shared" si="194"/>
        <v>1</v>
      </c>
      <c r="L1221" s="2994"/>
      <c r="M1221" s="2996">
        <f t="shared" si="195"/>
        <v>1</v>
      </c>
      <c r="N1221" s="2994"/>
      <c r="O1221" s="2996">
        <f t="shared" si="196"/>
        <v>1</v>
      </c>
      <c r="P1221" s="2994"/>
      <c r="Q1221" s="2996">
        <f t="shared" si="197"/>
        <v>1</v>
      </c>
      <c r="R1221" s="2997">
        <f t="shared" ca="1" si="198"/>
        <v>17087</v>
      </c>
      <c r="S1221" s="2962">
        <f t="shared" ca="1" si="199"/>
        <v>322</v>
      </c>
    </row>
    <row r="1222" spans="1:19">
      <c r="A1222" s="2992" t="str">
        <f>Sheet1!F1203</f>
        <v>1-1506</v>
      </c>
      <c r="B1222" s="2992">
        <f>Sheet1!G1203</f>
        <v>188.39</v>
      </c>
      <c r="C1222" s="2996">
        <f t="shared" si="190"/>
        <v>0.99</v>
      </c>
      <c r="D1222" s="2994"/>
      <c r="E1222" s="2996">
        <f t="shared" si="191"/>
        <v>1</v>
      </c>
      <c r="F1222" s="2994"/>
      <c r="G1222" s="2996">
        <f t="shared" si="192"/>
        <v>1</v>
      </c>
      <c r="H1222" s="2994"/>
      <c r="I1222" s="2996">
        <f t="shared" si="193"/>
        <v>1</v>
      </c>
      <c r="J1222" s="2994"/>
      <c r="K1222" s="2996">
        <f t="shared" si="194"/>
        <v>1</v>
      </c>
      <c r="L1222" s="2994"/>
      <c r="M1222" s="2996">
        <f t="shared" si="195"/>
        <v>1</v>
      </c>
      <c r="N1222" s="2994"/>
      <c r="O1222" s="2996">
        <f t="shared" si="196"/>
        <v>1</v>
      </c>
      <c r="P1222" s="2994"/>
      <c r="Q1222" s="2996">
        <f t="shared" si="197"/>
        <v>1</v>
      </c>
      <c r="R1222" s="2997">
        <f t="shared" ca="1" si="198"/>
        <v>17087</v>
      </c>
      <c r="S1222" s="2962">
        <f t="shared" ca="1" si="199"/>
        <v>322</v>
      </c>
    </row>
    <row r="1223" spans="1:19">
      <c r="A1223" s="2992" t="str">
        <f>Sheet1!F1204</f>
        <v>1-1507</v>
      </c>
      <c r="B1223" s="2992">
        <f>Sheet1!G1204</f>
        <v>187.53</v>
      </c>
      <c r="C1223" s="2996">
        <f t="shared" si="190"/>
        <v>0.99</v>
      </c>
      <c r="D1223" s="2994"/>
      <c r="E1223" s="2996">
        <f t="shared" si="191"/>
        <v>1</v>
      </c>
      <c r="F1223" s="2994"/>
      <c r="G1223" s="2996">
        <f t="shared" si="192"/>
        <v>1</v>
      </c>
      <c r="H1223" s="2994"/>
      <c r="I1223" s="2996">
        <f t="shared" si="193"/>
        <v>1</v>
      </c>
      <c r="J1223" s="2994"/>
      <c r="K1223" s="2996">
        <f t="shared" si="194"/>
        <v>1</v>
      </c>
      <c r="L1223" s="2994"/>
      <c r="M1223" s="2996">
        <f t="shared" si="195"/>
        <v>1</v>
      </c>
      <c r="N1223" s="2994"/>
      <c r="O1223" s="2996">
        <f t="shared" si="196"/>
        <v>1</v>
      </c>
      <c r="P1223" s="2994"/>
      <c r="Q1223" s="2996">
        <f t="shared" si="197"/>
        <v>1</v>
      </c>
      <c r="R1223" s="2997">
        <f t="shared" ca="1" si="198"/>
        <v>17087</v>
      </c>
      <c r="S1223" s="2962">
        <f t="shared" ca="1" si="199"/>
        <v>320</v>
      </c>
    </row>
    <row r="1224" spans="1:19">
      <c r="A1224" s="2992" t="str">
        <f>Sheet1!F1205</f>
        <v>1-1508</v>
      </c>
      <c r="B1224" s="2992">
        <f>Sheet1!G1205</f>
        <v>210.19</v>
      </c>
      <c r="C1224" s="2996">
        <f t="shared" si="190"/>
        <v>0.98</v>
      </c>
      <c r="D1224" s="2994"/>
      <c r="E1224" s="2996">
        <f t="shared" si="191"/>
        <v>1</v>
      </c>
      <c r="F1224" s="2994"/>
      <c r="G1224" s="2996">
        <f t="shared" si="192"/>
        <v>1</v>
      </c>
      <c r="H1224" s="2994"/>
      <c r="I1224" s="2996">
        <f t="shared" si="193"/>
        <v>1</v>
      </c>
      <c r="J1224" s="2994"/>
      <c r="K1224" s="2996">
        <f t="shared" si="194"/>
        <v>1</v>
      </c>
      <c r="L1224" s="2994"/>
      <c r="M1224" s="2996">
        <f t="shared" si="195"/>
        <v>1</v>
      </c>
      <c r="N1224" s="2994"/>
      <c r="O1224" s="2996">
        <f t="shared" si="196"/>
        <v>1</v>
      </c>
      <c r="P1224" s="2994"/>
      <c r="Q1224" s="2996">
        <f t="shared" si="197"/>
        <v>1</v>
      </c>
      <c r="R1224" s="2997">
        <f t="shared" ca="1" si="198"/>
        <v>16915</v>
      </c>
      <c r="S1224" s="2962">
        <f t="shared" ca="1" si="199"/>
        <v>356</v>
      </c>
    </row>
    <row r="1225" spans="1:19">
      <c r="A1225" s="2992" t="str">
        <f>Sheet1!F1206</f>
        <v>1-1509</v>
      </c>
      <c r="B1225" s="2992">
        <f>Sheet1!G1206</f>
        <v>169.2</v>
      </c>
      <c r="C1225" s="2996">
        <f t="shared" si="190"/>
        <v>0.99</v>
      </c>
      <c r="D1225" s="2994"/>
      <c r="E1225" s="2996">
        <f t="shared" si="191"/>
        <v>1</v>
      </c>
      <c r="F1225" s="2994"/>
      <c r="G1225" s="2996">
        <f t="shared" si="192"/>
        <v>1</v>
      </c>
      <c r="H1225" s="2994"/>
      <c r="I1225" s="2996">
        <f t="shared" si="193"/>
        <v>1</v>
      </c>
      <c r="J1225" s="2994"/>
      <c r="K1225" s="2996">
        <f t="shared" si="194"/>
        <v>1</v>
      </c>
      <c r="L1225" s="2994"/>
      <c r="M1225" s="2996">
        <f t="shared" si="195"/>
        <v>1</v>
      </c>
      <c r="N1225" s="2994"/>
      <c r="O1225" s="2996">
        <f t="shared" si="196"/>
        <v>1</v>
      </c>
      <c r="P1225" s="2994"/>
      <c r="Q1225" s="2996">
        <f t="shared" si="197"/>
        <v>1</v>
      </c>
      <c r="R1225" s="2997">
        <f t="shared" ca="1" si="198"/>
        <v>17087</v>
      </c>
      <c r="S1225" s="2962">
        <f t="shared" ca="1" si="199"/>
        <v>289</v>
      </c>
    </row>
    <row r="1226" spans="1:19">
      <c r="A1226" s="2992" t="str">
        <f>Sheet1!F1207</f>
        <v>1-1510</v>
      </c>
      <c r="B1226" s="2992">
        <f>Sheet1!G1207</f>
        <v>178.35</v>
      </c>
      <c r="C1226" s="2996">
        <f t="shared" si="190"/>
        <v>0.99</v>
      </c>
      <c r="D1226" s="2994"/>
      <c r="E1226" s="2996">
        <f t="shared" si="191"/>
        <v>1</v>
      </c>
      <c r="F1226" s="2994"/>
      <c r="G1226" s="2996">
        <f t="shared" si="192"/>
        <v>1</v>
      </c>
      <c r="H1226" s="2994"/>
      <c r="I1226" s="2996">
        <f t="shared" si="193"/>
        <v>1</v>
      </c>
      <c r="J1226" s="2994"/>
      <c r="K1226" s="2996">
        <f t="shared" si="194"/>
        <v>1</v>
      </c>
      <c r="L1226" s="2994"/>
      <c r="M1226" s="2996">
        <f t="shared" si="195"/>
        <v>1</v>
      </c>
      <c r="N1226" s="2994"/>
      <c r="O1226" s="2996">
        <f t="shared" si="196"/>
        <v>1</v>
      </c>
      <c r="P1226" s="2994"/>
      <c r="Q1226" s="2996">
        <f t="shared" si="197"/>
        <v>1</v>
      </c>
      <c r="R1226" s="2997">
        <f t="shared" ca="1" si="198"/>
        <v>17087</v>
      </c>
      <c r="S1226" s="2962">
        <f t="shared" ca="1" si="199"/>
        <v>305</v>
      </c>
    </row>
    <row r="1227" spans="1:19">
      <c r="A1227" s="2992" t="str">
        <f>Sheet1!F1208</f>
        <v>1-1511</v>
      </c>
      <c r="B1227" s="2992">
        <f>Sheet1!G1208</f>
        <v>208.92</v>
      </c>
      <c r="C1227" s="2996">
        <f t="shared" si="190"/>
        <v>0.98</v>
      </c>
      <c r="D1227" s="2994"/>
      <c r="E1227" s="2996">
        <f t="shared" si="191"/>
        <v>1</v>
      </c>
      <c r="F1227" s="2994"/>
      <c r="G1227" s="2996">
        <f t="shared" si="192"/>
        <v>1</v>
      </c>
      <c r="H1227" s="2994"/>
      <c r="I1227" s="2996">
        <f t="shared" si="193"/>
        <v>1</v>
      </c>
      <c r="J1227" s="2994"/>
      <c r="K1227" s="2996">
        <f t="shared" si="194"/>
        <v>1</v>
      </c>
      <c r="L1227" s="2994"/>
      <c r="M1227" s="2996">
        <f t="shared" si="195"/>
        <v>1</v>
      </c>
      <c r="N1227" s="2994"/>
      <c r="O1227" s="2996">
        <f t="shared" si="196"/>
        <v>1</v>
      </c>
      <c r="P1227" s="2994"/>
      <c r="Q1227" s="2996">
        <f t="shared" si="197"/>
        <v>1</v>
      </c>
      <c r="R1227" s="2997">
        <f t="shared" ca="1" si="198"/>
        <v>16915</v>
      </c>
      <c r="S1227" s="2962">
        <f t="shared" ca="1" si="199"/>
        <v>353</v>
      </c>
    </row>
    <row r="1228" spans="1:19">
      <c r="A1228" s="2992" t="str">
        <f>Sheet1!F1209</f>
        <v>1-1512</v>
      </c>
      <c r="B1228" s="2992">
        <f>Sheet1!G1209</f>
        <v>188.35</v>
      </c>
      <c r="C1228" s="2996">
        <f t="shared" si="190"/>
        <v>0.99</v>
      </c>
      <c r="D1228" s="2994"/>
      <c r="E1228" s="2996">
        <f t="shared" si="191"/>
        <v>1</v>
      </c>
      <c r="F1228" s="2994"/>
      <c r="G1228" s="2996">
        <f t="shared" si="192"/>
        <v>1</v>
      </c>
      <c r="H1228" s="2994"/>
      <c r="I1228" s="2996">
        <f t="shared" si="193"/>
        <v>1</v>
      </c>
      <c r="J1228" s="2994"/>
      <c r="K1228" s="2996">
        <f t="shared" si="194"/>
        <v>1</v>
      </c>
      <c r="L1228" s="2994"/>
      <c r="M1228" s="2996">
        <f t="shared" si="195"/>
        <v>1</v>
      </c>
      <c r="N1228" s="2994"/>
      <c r="O1228" s="2996">
        <f t="shared" si="196"/>
        <v>1</v>
      </c>
      <c r="P1228" s="2994"/>
      <c r="Q1228" s="2996">
        <f t="shared" si="197"/>
        <v>1</v>
      </c>
      <c r="R1228" s="2997">
        <f t="shared" ca="1" si="198"/>
        <v>17087</v>
      </c>
      <c r="S1228" s="2962">
        <f t="shared" ca="1" si="199"/>
        <v>322</v>
      </c>
    </row>
    <row r="1229" spans="1:19">
      <c r="A1229" s="2992" t="str">
        <f>Sheet1!F1210</f>
        <v>1-1513</v>
      </c>
      <c r="B1229" s="2992">
        <f>Sheet1!G1210</f>
        <v>188.39</v>
      </c>
      <c r="C1229" s="2996">
        <f t="shared" ref="C1229:C1292" si="200">IF(B1229="",1,(LOOKUP(B1229,$3:$3,$4:$4)-LOOKUP($B$24,$3:$3,$4:$4)+100)/100)</f>
        <v>0.99</v>
      </c>
      <c r="D1229" s="2994"/>
      <c r="E1229" s="2996">
        <f t="shared" ref="E1229:E1292" si="201">(SUMIF($5:$5,D1229,$6:$6)-SUMIF($5:$5,$D$24,$6:$6)+100)/100</f>
        <v>1</v>
      </c>
      <c r="F1229" s="2994"/>
      <c r="G1229" s="2996">
        <f t="shared" ref="G1229:G1292" si="202">(SUMIF($7:$7,F1229,$8:$8)-SUMIF($7:$7,$F$24,$8:$8)+100)/100</f>
        <v>1</v>
      </c>
      <c r="H1229" s="2994"/>
      <c r="I1229" s="2996">
        <f t="shared" ref="I1229:I1292" si="203">(SUMIF($9:$9,H1229,$10:$10)-SUMIF($9:$9,$H$24,$10:$10)+100)/100</f>
        <v>1</v>
      </c>
      <c r="J1229" s="2994"/>
      <c r="K1229" s="2996">
        <f t="shared" ref="K1229:K1292" si="204">(SUMIF($11:$11,J1229,$12:$12)-SUMIF($11:$11,$J$24,$12:$12)+100)/100</f>
        <v>1</v>
      </c>
      <c r="L1229" s="2994"/>
      <c r="M1229" s="2996">
        <f t="shared" ref="M1229:M1292" si="205">(SUMIF($13:$13,L1229,$14:$14)-SUMIF($13:$13,$L$24,$14:$14)+100)/100</f>
        <v>1</v>
      </c>
      <c r="N1229" s="2994"/>
      <c r="O1229" s="2996">
        <f t="shared" ref="O1229:O1292" si="206">(SUMIF($15:$15,N1229,$16:$16)-SUMIF($15:$15,$N$24,$16:$16)+100)/100</f>
        <v>1</v>
      </c>
      <c r="P1229" s="2994"/>
      <c r="Q1229" s="2996">
        <f t="shared" ref="Q1229:Q1292" si="207">(SUMIF($17:$17,P1229,$18:$18)-SUMIF($17:$17,$P$24,$18:$18)+100)/100</f>
        <v>1</v>
      </c>
      <c r="R1229" s="2997">
        <f t="shared" ref="R1229:R1292" ca="1" si="208">IF(B1229="",0,ROUND($R$24*C1229*E1229*G1229*I1229*K1229*M1229*O1229*Q1229,0))</f>
        <v>17087</v>
      </c>
      <c r="S1229" s="2962">
        <f t="shared" ref="S1229:S1292" ca="1" si="209">ROUND(R1229*B1229/10000,0)</f>
        <v>322</v>
      </c>
    </row>
    <row r="1230" spans="1:19">
      <c r="A1230" s="2992" t="str">
        <f>Sheet1!F1211</f>
        <v>1-1514</v>
      </c>
      <c r="B1230" s="2992">
        <f>Sheet1!G1211</f>
        <v>188.39</v>
      </c>
      <c r="C1230" s="2996">
        <f t="shared" si="200"/>
        <v>0.99</v>
      </c>
      <c r="D1230" s="2994"/>
      <c r="E1230" s="2996">
        <f t="shared" si="201"/>
        <v>1</v>
      </c>
      <c r="F1230" s="2994"/>
      <c r="G1230" s="2996">
        <f t="shared" si="202"/>
        <v>1</v>
      </c>
      <c r="H1230" s="2994"/>
      <c r="I1230" s="2996">
        <f t="shared" si="203"/>
        <v>1</v>
      </c>
      <c r="J1230" s="2994"/>
      <c r="K1230" s="2996">
        <f t="shared" si="204"/>
        <v>1</v>
      </c>
      <c r="L1230" s="2994"/>
      <c r="M1230" s="2996">
        <f t="shared" si="205"/>
        <v>1</v>
      </c>
      <c r="N1230" s="2994"/>
      <c r="O1230" s="2996">
        <f t="shared" si="206"/>
        <v>1</v>
      </c>
      <c r="P1230" s="2994"/>
      <c r="Q1230" s="2996">
        <f t="shared" si="207"/>
        <v>1</v>
      </c>
      <c r="R1230" s="2997">
        <f t="shared" ca="1" si="208"/>
        <v>17087</v>
      </c>
      <c r="S1230" s="2962">
        <f t="shared" ca="1" si="209"/>
        <v>322</v>
      </c>
    </row>
    <row r="1231" spans="1:19">
      <c r="A1231" s="2992" t="str">
        <f>Sheet1!F1212</f>
        <v>1-1515</v>
      </c>
      <c r="B1231" s="2992">
        <f>Sheet1!G1212</f>
        <v>188.39</v>
      </c>
      <c r="C1231" s="2996">
        <f t="shared" si="200"/>
        <v>0.99</v>
      </c>
      <c r="D1231" s="2994"/>
      <c r="E1231" s="2996">
        <f t="shared" si="201"/>
        <v>1</v>
      </c>
      <c r="F1231" s="2994"/>
      <c r="G1231" s="2996">
        <f t="shared" si="202"/>
        <v>1</v>
      </c>
      <c r="H1231" s="2994"/>
      <c r="I1231" s="2996">
        <f t="shared" si="203"/>
        <v>1</v>
      </c>
      <c r="J1231" s="2994"/>
      <c r="K1231" s="2996">
        <f t="shared" si="204"/>
        <v>1</v>
      </c>
      <c r="L1231" s="2994"/>
      <c r="M1231" s="2996">
        <f t="shared" si="205"/>
        <v>1</v>
      </c>
      <c r="N1231" s="2994"/>
      <c r="O1231" s="2996">
        <f t="shared" si="206"/>
        <v>1</v>
      </c>
      <c r="P1231" s="2994"/>
      <c r="Q1231" s="2996">
        <f t="shared" si="207"/>
        <v>1</v>
      </c>
      <c r="R1231" s="2997">
        <f t="shared" ca="1" si="208"/>
        <v>17087</v>
      </c>
      <c r="S1231" s="2962">
        <f t="shared" ca="1" si="209"/>
        <v>322</v>
      </c>
    </row>
    <row r="1232" spans="1:19">
      <c r="A1232" s="2992" t="str">
        <f>Sheet1!F1213</f>
        <v>1-1516</v>
      </c>
      <c r="B1232" s="2992">
        <f>Sheet1!G1213</f>
        <v>188.39</v>
      </c>
      <c r="C1232" s="2996">
        <f t="shared" si="200"/>
        <v>0.99</v>
      </c>
      <c r="D1232" s="2994"/>
      <c r="E1232" s="2996">
        <f t="shared" si="201"/>
        <v>1</v>
      </c>
      <c r="F1232" s="2994"/>
      <c r="G1232" s="2996">
        <f t="shared" si="202"/>
        <v>1</v>
      </c>
      <c r="H1232" s="2994"/>
      <c r="I1232" s="2996">
        <f t="shared" si="203"/>
        <v>1</v>
      </c>
      <c r="J1232" s="2994"/>
      <c r="K1232" s="2996">
        <f t="shared" si="204"/>
        <v>1</v>
      </c>
      <c r="L1232" s="2994"/>
      <c r="M1232" s="2996">
        <f t="shared" si="205"/>
        <v>1</v>
      </c>
      <c r="N1232" s="2994"/>
      <c r="O1232" s="2996">
        <f t="shared" si="206"/>
        <v>1</v>
      </c>
      <c r="P1232" s="2994"/>
      <c r="Q1232" s="2996">
        <f t="shared" si="207"/>
        <v>1</v>
      </c>
      <c r="R1232" s="2997">
        <f t="shared" ca="1" si="208"/>
        <v>17087</v>
      </c>
      <c r="S1232" s="2962">
        <f t="shared" ca="1" si="209"/>
        <v>322</v>
      </c>
    </row>
    <row r="1233" spans="1:19">
      <c r="A1233" s="2992" t="str">
        <f>Sheet1!F1214</f>
        <v>1-1517</v>
      </c>
      <c r="B1233" s="2992">
        <f>Sheet1!G1214</f>
        <v>188.39</v>
      </c>
      <c r="C1233" s="2996">
        <f t="shared" si="200"/>
        <v>0.99</v>
      </c>
      <c r="D1233" s="2994"/>
      <c r="E1233" s="2996">
        <f t="shared" si="201"/>
        <v>1</v>
      </c>
      <c r="F1233" s="2994"/>
      <c r="G1233" s="2996">
        <f t="shared" si="202"/>
        <v>1</v>
      </c>
      <c r="H1233" s="2994"/>
      <c r="I1233" s="2996">
        <f t="shared" si="203"/>
        <v>1</v>
      </c>
      <c r="J1233" s="2994"/>
      <c r="K1233" s="2996">
        <f t="shared" si="204"/>
        <v>1</v>
      </c>
      <c r="L1233" s="2994"/>
      <c r="M1233" s="2996">
        <f t="shared" si="205"/>
        <v>1</v>
      </c>
      <c r="N1233" s="2994"/>
      <c r="O1233" s="2996">
        <f t="shared" si="206"/>
        <v>1</v>
      </c>
      <c r="P1233" s="2994"/>
      <c r="Q1233" s="2996">
        <f t="shared" si="207"/>
        <v>1</v>
      </c>
      <c r="R1233" s="2997">
        <f t="shared" ca="1" si="208"/>
        <v>17087</v>
      </c>
      <c r="S1233" s="2962">
        <f t="shared" ca="1" si="209"/>
        <v>322</v>
      </c>
    </row>
    <row r="1234" spans="1:19">
      <c r="A1234" s="2992" t="str">
        <f>Sheet1!F1215</f>
        <v>1-1518</v>
      </c>
      <c r="B1234" s="2992">
        <f>Sheet1!G1215</f>
        <v>279.91000000000003</v>
      </c>
      <c r="C1234" s="2996">
        <f t="shared" si="200"/>
        <v>0.98</v>
      </c>
      <c r="D1234" s="2994"/>
      <c r="E1234" s="2996">
        <f t="shared" si="201"/>
        <v>1</v>
      </c>
      <c r="F1234" s="2994"/>
      <c r="G1234" s="2996">
        <f t="shared" si="202"/>
        <v>1</v>
      </c>
      <c r="H1234" s="2994"/>
      <c r="I1234" s="2996">
        <f t="shared" si="203"/>
        <v>1</v>
      </c>
      <c r="J1234" s="2994"/>
      <c r="K1234" s="2996">
        <f t="shared" si="204"/>
        <v>1</v>
      </c>
      <c r="L1234" s="2994"/>
      <c r="M1234" s="2996">
        <f t="shared" si="205"/>
        <v>1</v>
      </c>
      <c r="N1234" s="2994"/>
      <c r="O1234" s="2996">
        <f t="shared" si="206"/>
        <v>1</v>
      </c>
      <c r="P1234" s="2994"/>
      <c r="Q1234" s="2996">
        <f t="shared" si="207"/>
        <v>1</v>
      </c>
      <c r="R1234" s="2997">
        <f t="shared" ca="1" si="208"/>
        <v>16915</v>
      </c>
      <c r="S1234" s="2962">
        <f t="shared" ca="1" si="209"/>
        <v>473</v>
      </c>
    </row>
    <row r="1235" spans="1:19">
      <c r="A1235" s="2992" t="str">
        <f>Sheet1!F1216</f>
        <v>1-1519</v>
      </c>
      <c r="B1235" s="2992">
        <f>Sheet1!G1216</f>
        <v>175.75</v>
      </c>
      <c r="C1235" s="2996">
        <f t="shared" si="200"/>
        <v>0.99</v>
      </c>
      <c r="D1235" s="2994"/>
      <c r="E1235" s="2996">
        <f t="shared" si="201"/>
        <v>1</v>
      </c>
      <c r="F1235" s="2994"/>
      <c r="G1235" s="2996">
        <f t="shared" si="202"/>
        <v>1</v>
      </c>
      <c r="H1235" s="2994"/>
      <c r="I1235" s="2996">
        <f t="shared" si="203"/>
        <v>1</v>
      </c>
      <c r="J1235" s="2994"/>
      <c r="K1235" s="2996">
        <f t="shared" si="204"/>
        <v>1</v>
      </c>
      <c r="L1235" s="2994"/>
      <c r="M1235" s="2996">
        <f t="shared" si="205"/>
        <v>1</v>
      </c>
      <c r="N1235" s="2994"/>
      <c r="O1235" s="2996">
        <f t="shared" si="206"/>
        <v>1</v>
      </c>
      <c r="P1235" s="2994"/>
      <c r="Q1235" s="2996">
        <f t="shared" si="207"/>
        <v>1</v>
      </c>
      <c r="R1235" s="2997">
        <f t="shared" ca="1" si="208"/>
        <v>17087</v>
      </c>
      <c r="S1235" s="2962">
        <f t="shared" ca="1" si="209"/>
        <v>300</v>
      </c>
    </row>
    <row r="1236" spans="1:19">
      <c r="A1236" s="2992" t="str">
        <f>Sheet1!F1217</f>
        <v>1-1520</v>
      </c>
      <c r="B1236" s="2992">
        <f>Sheet1!G1217</f>
        <v>188.32</v>
      </c>
      <c r="C1236" s="2996">
        <f t="shared" si="200"/>
        <v>0.99</v>
      </c>
      <c r="D1236" s="2994"/>
      <c r="E1236" s="2996">
        <f t="shared" si="201"/>
        <v>1</v>
      </c>
      <c r="F1236" s="2994"/>
      <c r="G1236" s="2996">
        <f t="shared" si="202"/>
        <v>1</v>
      </c>
      <c r="H1236" s="2994"/>
      <c r="I1236" s="2996">
        <f t="shared" si="203"/>
        <v>1</v>
      </c>
      <c r="J1236" s="2994"/>
      <c r="K1236" s="2996">
        <f t="shared" si="204"/>
        <v>1</v>
      </c>
      <c r="L1236" s="2994"/>
      <c r="M1236" s="2996">
        <f t="shared" si="205"/>
        <v>1</v>
      </c>
      <c r="N1236" s="2994"/>
      <c r="O1236" s="2996">
        <f t="shared" si="206"/>
        <v>1</v>
      </c>
      <c r="P1236" s="2994"/>
      <c r="Q1236" s="2996">
        <f t="shared" si="207"/>
        <v>1</v>
      </c>
      <c r="R1236" s="2997">
        <f t="shared" ca="1" si="208"/>
        <v>17087</v>
      </c>
      <c r="S1236" s="2962">
        <f t="shared" ca="1" si="209"/>
        <v>322</v>
      </c>
    </row>
    <row r="1237" spans="1:19">
      <c r="A1237" s="2992" t="str">
        <f>Sheet1!F1218</f>
        <v>2-1501</v>
      </c>
      <c r="B1237" s="2992">
        <f>Sheet1!G1218</f>
        <v>210.22</v>
      </c>
      <c r="C1237" s="2996">
        <f t="shared" si="200"/>
        <v>0.98</v>
      </c>
      <c r="D1237" s="2994"/>
      <c r="E1237" s="2996">
        <f t="shared" si="201"/>
        <v>1</v>
      </c>
      <c r="F1237" s="2994"/>
      <c r="G1237" s="2996">
        <f t="shared" si="202"/>
        <v>1</v>
      </c>
      <c r="H1237" s="2994"/>
      <c r="I1237" s="2996">
        <f t="shared" si="203"/>
        <v>1</v>
      </c>
      <c r="J1237" s="2994"/>
      <c r="K1237" s="2996">
        <f t="shared" si="204"/>
        <v>1</v>
      </c>
      <c r="L1237" s="2994"/>
      <c r="M1237" s="2996">
        <f t="shared" si="205"/>
        <v>1</v>
      </c>
      <c r="N1237" s="2994"/>
      <c r="O1237" s="2996">
        <f t="shared" si="206"/>
        <v>1</v>
      </c>
      <c r="P1237" s="2994"/>
      <c r="Q1237" s="2996">
        <f t="shared" si="207"/>
        <v>1</v>
      </c>
      <c r="R1237" s="2997">
        <f t="shared" ca="1" si="208"/>
        <v>16915</v>
      </c>
      <c r="S1237" s="2962">
        <f t="shared" ca="1" si="209"/>
        <v>356</v>
      </c>
    </row>
    <row r="1238" spans="1:19">
      <c r="A1238" s="2992" t="str">
        <f>Sheet1!F1219</f>
        <v>2-1502</v>
      </c>
      <c r="B1238" s="2992">
        <f>Sheet1!G1219</f>
        <v>187.56</v>
      </c>
      <c r="C1238" s="2996">
        <f t="shared" si="200"/>
        <v>0.99</v>
      </c>
      <c r="D1238" s="2994"/>
      <c r="E1238" s="2996">
        <f t="shared" si="201"/>
        <v>1</v>
      </c>
      <c r="F1238" s="2994"/>
      <c r="G1238" s="2996">
        <f t="shared" si="202"/>
        <v>1</v>
      </c>
      <c r="H1238" s="2994"/>
      <c r="I1238" s="2996">
        <f t="shared" si="203"/>
        <v>1</v>
      </c>
      <c r="J1238" s="2994"/>
      <c r="K1238" s="2996">
        <f t="shared" si="204"/>
        <v>1</v>
      </c>
      <c r="L1238" s="2994"/>
      <c r="M1238" s="2996">
        <f t="shared" si="205"/>
        <v>1</v>
      </c>
      <c r="N1238" s="2994"/>
      <c r="O1238" s="2996">
        <f t="shared" si="206"/>
        <v>1</v>
      </c>
      <c r="P1238" s="2994"/>
      <c r="Q1238" s="2996">
        <f t="shared" si="207"/>
        <v>1</v>
      </c>
      <c r="R1238" s="2997">
        <f t="shared" ca="1" si="208"/>
        <v>17087</v>
      </c>
      <c r="S1238" s="2962">
        <f t="shared" ca="1" si="209"/>
        <v>320</v>
      </c>
    </row>
    <row r="1239" spans="1:19">
      <c r="A1239" s="2992" t="str">
        <f>Sheet1!F1220</f>
        <v>2-1503</v>
      </c>
      <c r="B1239" s="2992">
        <f>Sheet1!G1220</f>
        <v>188.42</v>
      </c>
      <c r="C1239" s="2996">
        <f t="shared" si="200"/>
        <v>0.99</v>
      </c>
      <c r="D1239" s="2994"/>
      <c r="E1239" s="2996">
        <f t="shared" si="201"/>
        <v>1</v>
      </c>
      <c r="F1239" s="2994"/>
      <c r="G1239" s="2996">
        <f t="shared" si="202"/>
        <v>1</v>
      </c>
      <c r="H1239" s="2994"/>
      <c r="I1239" s="2996">
        <f t="shared" si="203"/>
        <v>1</v>
      </c>
      <c r="J1239" s="2994"/>
      <c r="K1239" s="2996">
        <f t="shared" si="204"/>
        <v>1</v>
      </c>
      <c r="L1239" s="2994"/>
      <c r="M1239" s="2996">
        <f t="shared" si="205"/>
        <v>1</v>
      </c>
      <c r="N1239" s="2994"/>
      <c r="O1239" s="2996">
        <f t="shared" si="206"/>
        <v>1</v>
      </c>
      <c r="P1239" s="2994"/>
      <c r="Q1239" s="2996">
        <f t="shared" si="207"/>
        <v>1</v>
      </c>
      <c r="R1239" s="2997">
        <f t="shared" ca="1" si="208"/>
        <v>17087</v>
      </c>
      <c r="S1239" s="2962">
        <f t="shared" ca="1" si="209"/>
        <v>322</v>
      </c>
    </row>
    <row r="1240" spans="1:19">
      <c r="A1240" s="2992" t="str">
        <f>Sheet1!F1221</f>
        <v>2-1504</v>
      </c>
      <c r="B1240" s="2992">
        <f>Sheet1!G1221</f>
        <v>188.42</v>
      </c>
      <c r="C1240" s="2996">
        <f t="shared" si="200"/>
        <v>0.99</v>
      </c>
      <c r="D1240" s="2994"/>
      <c r="E1240" s="2996">
        <f t="shared" si="201"/>
        <v>1</v>
      </c>
      <c r="F1240" s="2994"/>
      <c r="G1240" s="2996">
        <f t="shared" si="202"/>
        <v>1</v>
      </c>
      <c r="H1240" s="2994"/>
      <c r="I1240" s="2996">
        <f t="shared" si="203"/>
        <v>1</v>
      </c>
      <c r="J1240" s="2994"/>
      <c r="K1240" s="2996">
        <f t="shared" si="204"/>
        <v>1</v>
      </c>
      <c r="L1240" s="2994"/>
      <c r="M1240" s="2996">
        <f t="shared" si="205"/>
        <v>1</v>
      </c>
      <c r="N1240" s="2994"/>
      <c r="O1240" s="2996">
        <f t="shared" si="206"/>
        <v>1</v>
      </c>
      <c r="P1240" s="2994"/>
      <c r="Q1240" s="2996">
        <f t="shared" si="207"/>
        <v>1</v>
      </c>
      <c r="R1240" s="2997">
        <f t="shared" ca="1" si="208"/>
        <v>17087</v>
      </c>
      <c r="S1240" s="2962">
        <f t="shared" ca="1" si="209"/>
        <v>322</v>
      </c>
    </row>
    <row r="1241" spans="1:19">
      <c r="A1241" s="2992" t="str">
        <f>Sheet1!F1222</f>
        <v>2-1505</v>
      </c>
      <c r="B1241" s="2992">
        <f>Sheet1!G1222</f>
        <v>188.42</v>
      </c>
      <c r="C1241" s="2996">
        <f t="shared" si="200"/>
        <v>0.99</v>
      </c>
      <c r="D1241" s="2994"/>
      <c r="E1241" s="2996">
        <f t="shared" si="201"/>
        <v>1</v>
      </c>
      <c r="F1241" s="2994"/>
      <c r="G1241" s="2996">
        <f t="shared" si="202"/>
        <v>1</v>
      </c>
      <c r="H1241" s="2994"/>
      <c r="I1241" s="2996">
        <f t="shared" si="203"/>
        <v>1</v>
      </c>
      <c r="J1241" s="2994"/>
      <c r="K1241" s="2996">
        <f t="shared" si="204"/>
        <v>1</v>
      </c>
      <c r="L1241" s="2994"/>
      <c r="M1241" s="2996">
        <f t="shared" si="205"/>
        <v>1</v>
      </c>
      <c r="N1241" s="2994"/>
      <c r="O1241" s="2996">
        <f t="shared" si="206"/>
        <v>1</v>
      </c>
      <c r="P1241" s="2994"/>
      <c r="Q1241" s="2996">
        <f t="shared" si="207"/>
        <v>1</v>
      </c>
      <c r="R1241" s="2997">
        <f t="shared" ca="1" si="208"/>
        <v>17087</v>
      </c>
      <c r="S1241" s="2962">
        <f t="shared" ca="1" si="209"/>
        <v>322</v>
      </c>
    </row>
    <row r="1242" spans="1:19">
      <c r="A1242" s="2992" t="str">
        <f>Sheet1!F1223</f>
        <v>2-1506</v>
      </c>
      <c r="B1242" s="2992">
        <f>Sheet1!G1223</f>
        <v>188.42</v>
      </c>
      <c r="C1242" s="2996">
        <f t="shared" si="200"/>
        <v>0.99</v>
      </c>
      <c r="D1242" s="2994"/>
      <c r="E1242" s="2996">
        <f t="shared" si="201"/>
        <v>1</v>
      </c>
      <c r="F1242" s="2994"/>
      <c r="G1242" s="2996">
        <f t="shared" si="202"/>
        <v>1</v>
      </c>
      <c r="H1242" s="2994"/>
      <c r="I1242" s="2996">
        <f t="shared" si="203"/>
        <v>1</v>
      </c>
      <c r="J1242" s="2994"/>
      <c r="K1242" s="2996">
        <f t="shared" si="204"/>
        <v>1</v>
      </c>
      <c r="L1242" s="2994"/>
      <c r="M1242" s="2996">
        <f t="shared" si="205"/>
        <v>1</v>
      </c>
      <c r="N1242" s="2994"/>
      <c r="O1242" s="2996">
        <f t="shared" si="206"/>
        <v>1</v>
      </c>
      <c r="P1242" s="2994"/>
      <c r="Q1242" s="2996">
        <f t="shared" si="207"/>
        <v>1</v>
      </c>
      <c r="R1242" s="2997">
        <f t="shared" ca="1" si="208"/>
        <v>17087</v>
      </c>
      <c r="S1242" s="2962">
        <f t="shared" ca="1" si="209"/>
        <v>322</v>
      </c>
    </row>
    <row r="1243" spans="1:19">
      <c r="A1243" s="2992" t="str">
        <f>Sheet1!F1224</f>
        <v>2-1507</v>
      </c>
      <c r="B1243" s="2992">
        <f>Sheet1!G1224</f>
        <v>188.42</v>
      </c>
      <c r="C1243" s="2996">
        <f t="shared" si="200"/>
        <v>0.99</v>
      </c>
      <c r="D1243" s="2994"/>
      <c r="E1243" s="2996">
        <f t="shared" si="201"/>
        <v>1</v>
      </c>
      <c r="F1243" s="2994"/>
      <c r="G1243" s="2996">
        <f t="shared" si="202"/>
        <v>1</v>
      </c>
      <c r="H1243" s="2994"/>
      <c r="I1243" s="2996">
        <f t="shared" si="203"/>
        <v>1</v>
      </c>
      <c r="J1243" s="2994"/>
      <c r="K1243" s="2996">
        <f t="shared" si="204"/>
        <v>1</v>
      </c>
      <c r="L1243" s="2994"/>
      <c r="M1243" s="2996">
        <f t="shared" si="205"/>
        <v>1</v>
      </c>
      <c r="N1243" s="2994"/>
      <c r="O1243" s="2996">
        <f t="shared" si="206"/>
        <v>1</v>
      </c>
      <c r="P1243" s="2994"/>
      <c r="Q1243" s="2996">
        <f t="shared" si="207"/>
        <v>1</v>
      </c>
      <c r="R1243" s="2997">
        <f t="shared" ca="1" si="208"/>
        <v>17087</v>
      </c>
      <c r="S1243" s="2962">
        <f t="shared" ca="1" si="209"/>
        <v>322</v>
      </c>
    </row>
    <row r="1244" spans="1:19">
      <c r="A1244" s="2992" t="str">
        <f>Sheet1!F1225</f>
        <v>2-1508</v>
      </c>
      <c r="B1244" s="2992">
        <f>Sheet1!G1225</f>
        <v>186.36</v>
      </c>
      <c r="C1244" s="2996">
        <f t="shared" si="200"/>
        <v>0.99</v>
      </c>
      <c r="D1244" s="2994"/>
      <c r="E1244" s="2996">
        <f t="shared" si="201"/>
        <v>1</v>
      </c>
      <c r="F1244" s="2994"/>
      <c r="G1244" s="2996">
        <f t="shared" si="202"/>
        <v>1</v>
      </c>
      <c r="H1244" s="2994"/>
      <c r="I1244" s="2996">
        <f t="shared" si="203"/>
        <v>1</v>
      </c>
      <c r="J1244" s="2994"/>
      <c r="K1244" s="2996">
        <f t="shared" si="204"/>
        <v>1</v>
      </c>
      <c r="L1244" s="2994"/>
      <c r="M1244" s="2996">
        <f t="shared" si="205"/>
        <v>1</v>
      </c>
      <c r="N1244" s="2994"/>
      <c r="O1244" s="2996">
        <f t="shared" si="206"/>
        <v>1</v>
      </c>
      <c r="P1244" s="2994"/>
      <c r="Q1244" s="2996">
        <f t="shared" si="207"/>
        <v>1</v>
      </c>
      <c r="R1244" s="2997">
        <f t="shared" ca="1" si="208"/>
        <v>17087</v>
      </c>
      <c r="S1244" s="2962">
        <f t="shared" ca="1" si="209"/>
        <v>318</v>
      </c>
    </row>
    <row r="1245" spans="1:19">
      <c r="A1245" s="2992" t="str">
        <f>Sheet1!F1226</f>
        <v>2-1509</v>
      </c>
      <c r="B1245" s="2992">
        <f>Sheet1!G1226</f>
        <v>188.36</v>
      </c>
      <c r="C1245" s="2996">
        <f t="shared" si="200"/>
        <v>0.99</v>
      </c>
      <c r="D1245" s="2994"/>
      <c r="E1245" s="2996">
        <f t="shared" si="201"/>
        <v>1</v>
      </c>
      <c r="F1245" s="2994"/>
      <c r="G1245" s="2996">
        <f t="shared" si="202"/>
        <v>1</v>
      </c>
      <c r="H1245" s="2994"/>
      <c r="I1245" s="2996">
        <f t="shared" si="203"/>
        <v>1</v>
      </c>
      <c r="J1245" s="2994"/>
      <c r="K1245" s="2996">
        <f t="shared" si="204"/>
        <v>1</v>
      </c>
      <c r="L1245" s="2994"/>
      <c r="M1245" s="2996">
        <f t="shared" si="205"/>
        <v>1</v>
      </c>
      <c r="N1245" s="2994"/>
      <c r="O1245" s="2996">
        <f t="shared" si="206"/>
        <v>1</v>
      </c>
      <c r="P1245" s="2994"/>
      <c r="Q1245" s="2996">
        <f t="shared" si="207"/>
        <v>1</v>
      </c>
      <c r="R1245" s="2997">
        <f t="shared" ca="1" si="208"/>
        <v>17087</v>
      </c>
      <c r="S1245" s="2962">
        <f t="shared" ca="1" si="209"/>
        <v>322</v>
      </c>
    </row>
    <row r="1246" spans="1:19">
      <c r="A1246" s="2992" t="str">
        <f>Sheet1!F1227</f>
        <v>2-1510</v>
      </c>
      <c r="B1246" s="2992">
        <f>Sheet1!G1227</f>
        <v>175.78</v>
      </c>
      <c r="C1246" s="2996">
        <f t="shared" si="200"/>
        <v>0.99</v>
      </c>
      <c r="D1246" s="2994"/>
      <c r="E1246" s="2996">
        <f t="shared" si="201"/>
        <v>1</v>
      </c>
      <c r="F1246" s="2994"/>
      <c r="G1246" s="2996">
        <f t="shared" si="202"/>
        <v>1</v>
      </c>
      <c r="H1246" s="2994"/>
      <c r="I1246" s="2996">
        <f t="shared" si="203"/>
        <v>1</v>
      </c>
      <c r="J1246" s="2994"/>
      <c r="K1246" s="2996">
        <f t="shared" si="204"/>
        <v>1</v>
      </c>
      <c r="L1246" s="2994"/>
      <c r="M1246" s="2996">
        <f t="shared" si="205"/>
        <v>1</v>
      </c>
      <c r="N1246" s="2994"/>
      <c r="O1246" s="2996">
        <f t="shared" si="206"/>
        <v>1</v>
      </c>
      <c r="P1246" s="2994"/>
      <c r="Q1246" s="2996">
        <f t="shared" si="207"/>
        <v>1</v>
      </c>
      <c r="R1246" s="2997">
        <f t="shared" ca="1" si="208"/>
        <v>17087</v>
      </c>
      <c r="S1246" s="2962">
        <f t="shared" ca="1" si="209"/>
        <v>300</v>
      </c>
    </row>
    <row r="1247" spans="1:19">
      <c r="A1247" s="2992" t="str">
        <f>Sheet1!F1228</f>
        <v>2-1511</v>
      </c>
      <c r="B1247" s="2992">
        <f>Sheet1!G1228</f>
        <v>279.95999999999998</v>
      </c>
      <c r="C1247" s="2996">
        <f t="shared" si="200"/>
        <v>0.98</v>
      </c>
      <c r="D1247" s="2994"/>
      <c r="E1247" s="2996">
        <f t="shared" si="201"/>
        <v>1</v>
      </c>
      <c r="F1247" s="2994"/>
      <c r="G1247" s="2996">
        <f t="shared" si="202"/>
        <v>1</v>
      </c>
      <c r="H1247" s="2994"/>
      <c r="I1247" s="2996">
        <f t="shared" si="203"/>
        <v>1</v>
      </c>
      <c r="J1247" s="2994"/>
      <c r="K1247" s="2996">
        <f t="shared" si="204"/>
        <v>1</v>
      </c>
      <c r="L1247" s="2994"/>
      <c r="M1247" s="2996">
        <f t="shared" si="205"/>
        <v>1</v>
      </c>
      <c r="N1247" s="2994"/>
      <c r="O1247" s="2996">
        <f t="shared" si="206"/>
        <v>1</v>
      </c>
      <c r="P1247" s="2994"/>
      <c r="Q1247" s="2996">
        <f t="shared" si="207"/>
        <v>1</v>
      </c>
      <c r="R1247" s="2997">
        <f t="shared" ca="1" si="208"/>
        <v>16915</v>
      </c>
      <c r="S1247" s="2962">
        <f t="shared" ca="1" si="209"/>
        <v>474</v>
      </c>
    </row>
    <row r="1248" spans="1:19">
      <c r="A1248" s="2992" t="str">
        <f>Sheet1!F1229</f>
        <v>2-1512</v>
      </c>
      <c r="B1248" s="2992">
        <f>Sheet1!G1229</f>
        <v>188.43</v>
      </c>
      <c r="C1248" s="2996">
        <f t="shared" si="200"/>
        <v>0.99</v>
      </c>
      <c r="D1248" s="2994"/>
      <c r="E1248" s="2996">
        <f t="shared" si="201"/>
        <v>1</v>
      </c>
      <c r="F1248" s="2994"/>
      <c r="G1248" s="2996">
        <f t="shared" si="202"/>
        <v>1</v>
      </c>
      <c r="H1248" s="2994"/>
      <c r="I1248" s="2996">
        <f t="shared" si="203"/>
        <v>1</v>
      </c>
      <c r="J1248" s="2994"/>
      <c r="K1248" s="2996">
        <f t="shared" si="204"/>
        <v>1</v>
      </c>
      <c r="L1248" s="2994"/>
      <c r="M1248" s="2996">
        <f t="shared" si="205"/>
        <v>1</v>
      </c>
      <c r="N1248" s="2994"/>
      <c r="O1248" s="2996">
        <f t="shared" si="206"/>
        <v>1</v>
      </c>
      <c r="P1248" s="2994"/>
      <c r="Q1248" s="2996">
        <f t="shared" si="207"/>
        <v>1</v>
      </c>
      <c r="R1248" s="2997">
        <f t="shared" ca="1" si="208"/>
        <v>17087</v>
      </c>
      <c r="S1248" s="2962">
        <f t="shared" ca="1" si="209"/>
        <v>322</v>
      </c>
    </row>
    <row r="1249" spans="1:19">
      <c r="A1249" s="2992" t="str">
        <f>Sheet1!F1230</f>
        <v>2-1513</v>
      </c>
      <c r="B1249" s="2992">
        <f>Sheet1!G1230</f>
        <v>188.43</v>
      </c>
      <c r="C1249" s="2996">
        <f t="shared" si="200"/>
        <v>0.99</v>
      </c>
      <c r="D1249" s="2994"/>
      <c r="E1249" s="2996">
        <f t="shared" si="201"/>
        <v>1</v>
      </c>
      <c r="F1249" s="2994"/>
      <c r="G1249" s="2996">
        <f t="shared" si="202"/>
        <v>1</v>
      </c>
      <c r="H1249" s="2994"/>
      <c r="I1249" s="2996">
        <f t="shared" si="203"/>
        <v>1</v>
      </c>
      <c r="J1249" s="2994"/>
      <c r="K1249" s="2996">
        <f t="shared" si="204"/>
        <v>1</v>
      </c>
      <c r="L1249" s="2994"/>
      <c r="M1249" s="2996">
        <f t="shared" si="205"/>
        <v>1</v>
      </c>
      <c r="N1249" s="2994"/>
      <c r="O1249" s="2996">
        <f t="shared" si="206"/>
        <v>1</v>
      </c>
      <c r="P1249" s="2994"/>
      <c r="Q1249" s="2996">
        <f t="shared" si="207"/>
        <v>1</v>
      </c>
      <c r="R1249" s="2997">
        <f t="shared" ca="1" si="208"/>
        <v>17087</v>
      </c>
      <c r="S1249" s="2962">
        <f t="shared" ca="1" si="209"/>
        <v>322</v>
      </c>
    </row>
    <row r="1250" spans="1:19">
      <c r="A1250" s="2992" t="str">
        <f>Sheet1!F1231</f>
        <v>2-1514</v>
      </c>
      <c r="B1250" s="2992">
        <f>Sheet1!G1231</f>
        <v>188.43</v>
      </c>
      <c r="C1250" s="2996">
        <f t="shared" si="200"/>
        <v>0.99</v>
      </c>
      <c r="D1250" s="2994"/>
      <c r="E1250" s="2996">
        <f t="shared" si="201"/>
        <v>1</v>
      </c>
      <c r="F1250" s="2994"/>
      <c r="G1250" s="2996">
        <f t="shared" si="202"/>
        <v>1</v>
      </c>
      <c r="H1250" s="2994"/>
      <c r="I1250" s="2996">
        <f t="shared" si="203"/>
        <v>1</v>
      </c>
      <c r="J1250" s="2994"/>
      <c r="K1250" s="2996">
        <f t="shared" si="204"/>
        <v>1</v>
      </c>
      <c r="L1250" s="2994"/>
      <c r="M1250" s="2996">
        <f t="shared" si="205"/>
        <v>1</v>
      </c>
      <c r="N1250" s="2994"/>
      <c r="O1250" s="2996">
        <f t="shared" si="206"/>
        <v>1</v>
      </c>
      <c r="P1250" s="2994"/>
      <c r="Q1250" s="2996">
        <f t="shared" si="207"/>
        <v>1</v>
      </c>
      <c r="R1250" s="2997">
        <f t="shared" ca="1" si="208"/>
        <v>17087</v>
      </c>
      <c r="S1250" s="2962">
        <f t="shared" ca="1" si="209"/>
        <v>322</v>
      </c>
    </row>
    <row r="1251" spans="1:19">
      <c r="A1251" s="2992" t="str">
        <f>Sheet1!F1232</f>
        <v>2-1515</v>
      </c>
      <c r="B1251" s="2992">
        <f>Sheet1!G1232</f>
        <v>188.43</v>
      </c>
      <c r="C1251" s="2996">
        <f t="shared" si="200"/>
        <v>0.99</v>
      </c>
      <c r="D1251" s="2994"/>
      <c r="E1251" s="2996">
        <f t="shared" si="201"/>
        <v>1</v>
      </c>
      <c r="F1251" s="2994"/>
      <c r="G1251" s="2996">
        <f t="shared" si="202"/>
        <v>1</v>
      </c>
      <c r="H1251" s="2994"/>
      <c r="I1251" s="2996">
        <f t="shared" si="203"/>
        <v>1</v>
      </c>
      <c r="J1251" s="2994"/>
      <c r="K1251" s="2996">
        <f t="shared" si="204"/>
        <v>1</v>
      </c>
      <c r="L1251" s="2994"/>
      <c r="M1251" s="2996">
        <f t="shared" si="205"/>
        <v>1</v>
      </c>
      <c r="N1251" s="2994"/>
      <c r="O1251" s="2996">
        <f t="shared" si="206"/>
        <v>1</v>
      </c>
      <c r="P1251" s="2994"/>
      <c r="Q1251" s="2996">
        <f t="shared" si="207"/>
        <v>1</v>
      </c>
      <c r="R1251" s="2997">
        <f t="shared" ca="1" si="208"/>
        <v>17087</v>
      </c>
      <c r="S1251" s="2962">
        <f t="shared" ca="1" si="209"/>
        <v>322</v>
      </c>
    </row>
    <row r="1252" spans="1:19">
      <c r="A1252" s="2992" t="str">
        <f>Sheet1!F1233</f>
        <v>2-1516</v>
      </c>
      <c r="B1252" s="2992">
        <f>Sheet1!G1233</f>
        <v>188.43</v>
      </c>
      <c r="C1252" s="2996">
        <f t="shared" si="200"/>
        <v>0.99</v>
      </c>
      <c r="D1252" s="2994"/>
      <c r="E1252" s="2996">
        <f t="shared" si="201"/>
        <v>1</v>
      </c>
      <c r="F1252" s="2994"/>
      <c r="G1252" s="2996">
        <f t="shared" si="202"/>
        <v>1</v>
      </c>
      <c r="H1252" s="2994"/>
      <c r="I1252" s="2996">
        <f t="shared" si="203"/>
        <v>1</v>
      </c>
      <c r="J1252" s="2994"/>
      <c r="K1252" s="2996">
        <f t="shared" si="204"/>
        <v>1</v>
      </c>
      <c r="L1252" s="2994"/>
      <c r="M1252" s="2996">
        <f t="shared" si="205"/>
        <v>1</v>
      </c>
      <c r="N1252" s="2994"/>
      <c r="O1252" s="2996">
        <f t="shared" si="206"/>
        <v>1</v>
      </c>
      <c r="P1252" s="2994"/>
      <c r="Q1252" s="2996">
        <f t="shared" si="207"/>
        <v>1</v>
      </c>
      <c r="R1252" s="2997">
        <f t="shared" ca="1" si="208"/>
        <v>17087</v>
      </c>
      <c r="S1252" s="2962">
        <f t="shared" ca="1" si="209"/>
        <v>322</v>
      </c>
    </row>
    <row r="1253" spans="1:19">
      <c r="A1253" s="2992" t="str">
        <f>Sheet1!F1234</f>
        <v>2-1517</v>
      </c>
      <c r="B1253" s="2992">
        <f>Sheet1!G1234</f>
        <v>188.38</v>
      </c>
      <c r="C1253" s="2996">
        <f t="shared" si="200"/>
        <v>0.99</v>
      </c>
      <c r="D1253" s="2994"/>
      <c r="E1253" s="2996">
        <f t="shared" si="201"/>
        <v>1</v>
      </c>
      <c r="F1253" s="2994"/>
      <c r="G1253" s="2996">
        <f t="shared" si="202"/>
        <v>1</v>
      </c>
      <c r="H1253" s="2994"/>
      <c r="I1253" s="2996">
        <f t="shared" si="203"/>
        <v>1</v>
      </c>
      <c r="J1253" s="2994"/>
      <c r="K1253" s="2996">
        <f t="shared" si="204"/>
        <v>1</v>
      </c>
      <c r="L1253" s="2994"/>
      <c r="M1253" s="2996">
        <f t="shared" si="205"/>
        <v>1</v>
      </c>
      <c r="N1253" s="2994"/>
      <c r="O1253" s="2996">
        <f t="shared" si="206"/>
        <v>1</v>
      </c>
      <c r="P1253" s="2994"/>
      <c r="Q1253" s="2996">
        <f t="shared" si="207"/>
        <v>1</v>
      </c>
      <c r="R1253" s="2997">
        <f t="shared" ca="1" si="208"/>
        <v>17087</v>
      </c>
      <c r="S1253" s="2962">
        <f t="shared" ca="1" si="209"/>
        <v>322</v>
      </c>
    </row>
    <row r="1254" spans="1:19">
      <c r="A1254" s="2992" t="str">
        <f>Sheet1!F1235</f>
        <v>2-1518</v>
      </c>
      <c r="B1254" s="2992">
        <f>Sheet1!G1235</f>
        <v>208.95</v>
      </c>
      <c r="C1254" s="2996">
        <f t="shared" si="200"/>
        <v>0.98</v>
      </c>
      <c r="D1254" s="2994"/>
      <c r="E1254" s="2996">
        <f t="shared" si="201"/>
        <v>1</v>
      </c>
      <c r="F1254" s="2994"/>
      <c r="G1254" s="2996">
        <f t="shared" si="202"/>
        <v>1</v>
      </c>
      <c r="H1254" s="2994"/>
      <c r="I1254" s="2996">
        <f t="shared" si="203"/>
        <v>1</v>
      </c>
      <c r="J1254" s="2994"/>
      <c r="K1254" s="2996">
        <f t="shared" si="204"/>
        <v>1</v>
      </c>
      <c r="L1254" s="2994"/>
      <c r="M1254" s="2996">
        <f t="shared" si="205"/>
        <v>1</v>
      </c>
      <c r="N1254" s="2994"/>
      <c r="O1254" s="2996">
        <f t="shared" si="206"/>
        <v>1</v>
      </c>
      <c r="P1254" s="2994"/>
      <c r="Q1254" s="2996">
        <f t="shared" si="207"/>
        <v>1</v>
      </c>
      <c r="R1254" s="2997">
        <f t="shared" ca="1" si="208"/>
        <v>16915</v>
      </c>
      <c r="S1254" s="2962">
        <f t="shared" ca="1" si="209"/>
        <v>353</v>
      </c>
    </row>
    <row r="1255" spans="1:19">
      <c r="A1255" s="2992" t="str">
        <f>Sheet1!F1236</f>
        <v>2-1519</v>
      </c>
      <c r="B1255" s="2992">
        <f>Sheet1!G1236</f>
        <v>189.85</v>
      </c>
      <c r="C1255" s="2996">
        <f t="shared" si="200"/>
        <v>0.99</v>
      </c>
      <c r="D1255" s="2994"/>
      <c r="E1255" s="2996">
        <f t="shared" si="201"/>
        <v>1</v>
      </c>
      <c r="F1255" s="2994"/>
      <c r="G1255" s="2996">
        <f t="shared" si="202"/>
        <v>1</v>
      </c>
      <c r="H1255" s="2994"/>
      <c r="I1255" s="2996">
        <f t="shared" si="203"/>
        <v>1</v>
      </c>
      <c r="J1255" s="2994"/>
      <c r="K1255" s="2996">
        <f t="shared" si="204"/>
        <v>1</v>
      </c>
      <c r="L1255" s="2994"/>
      <c r="M1255" s="2996">
        <f t="shared" si="205"/>
        <v>1</v>
      </c>
      <c r="N1255" s="2994"/>
      <c r="O1255" s="2996">
        <f t="shared" si="206"/>
        <v>1</v>
      </c>
      <c r="P1255" s="2994"/>
      <c r="Q1255" s="2996">
        <f t="shared" si="207"/>
        <v>1</v>
      </c>
      <c r="R1255" s="2997">
        <f t="shared" ca="1" si="208"/>
        <v>17087</v>
      </c>
      <c r="S1255" s="2962">
        <f t="shared" ca="1" si="209"/>
        <v>324</v>
      </c>
    </row>
    <row r="1256" spans="1:19">
      <c r="A1256" s="2992" t="str">
        <f>Sheet1!F1237</f>
        <v>2-1520</v>
      </c>
      <c r="B1256" s="2992">
        <f>Sheet1!G1237</f>
        <v>169.23</v>
      </c>
      <c r="C1256" s="2996">
        <f t="shared" si="200"/>
        <v>0.99</v>
      </c>
      <c r="D1256" s="2994"/>
      <c r="E1256" s="2996">
        <f t="shared" si="201"/>
        <v>1</v>
      </c>
      <c r="F1256" s="2994"/>
      <c r="G1256" s="2996">
        <f t="shared" si="202"/>
        <v>1</v>
      </c>
      <c r="H1256" s="2994"/>
      <c r="I1256" s="2996">
        <f t="shared" si="203"/>
        <v>1</v>
      </c>
      <c r="J1256" s="2994"/>
      <c r="K1256" s="2996">
        <f t="shared" si="204"/>
        <v>1</v>
      </c>
      <c r="L1256" s="2994"/>
      <c r="M1256" s="2996">
        <f t="shared" si="205"/>
        <v>1</v>
      </c>
      <c r="N1256" s="2994"/>
      <c r="O1256" s="2996">
        <f t="shared" si="206"/>
        <v>1</v>
      </c>
      <c r="P1256" s="2994"/>
      <c r="Q1256" s="2996">
        <f t="shared" si="207"/>
        <v>1</v>
      </c>
      <c r="R1256" s="2997">
        <f t="shared" ca="1" si="208"/>
        <v>17087</v>
      </c>
      <c r="S1256" s="2962">
        <f t="shared" ca="1" si="209"/>
        <v>289</v>
      </c>
    </row>
    <row r="1257" spans="1:19">
      <c r="A1257" s="2992" t="str">
        <f>Sheet1!F1238</f>
        <v>3-1501</v>
      </c>
      <c r="B1257" s="2992">
        <f>Sheet1!G1238</f>
        <v>55.7</v>
      </c>
      <c r="C1257" s="2996">
        <f t="shared" si="200"/>
        <v>1</v>
      </c>
      <c r="D1257" s="2994"/>
      <c r="E1257" s="2996">
        <f t="shared" si="201"/>
        <v>1</v>
      </c>
      <c r="F1257" s="2994"/>
      <c r="G1257" s="2996">
        <f t="shared" si="202"/>
        <v>1</v>
      </c>
      <c r="H1257" s="2994"/>
      <c r="I1257" s="2996">
        <f t="shared" si="203"/>
        <v>1</v>
      </c>
      <c r="J1257" s="2994"/>
      <c r="K1257" s="2996">
        <f t="shared" si="204"/>
        <v>1</v>
      </c>
      <c r="L1257" s="2994"/>
      <c r="M1257" s="2996">
        <f t="shared" si="205"/>
        <v>1</v>
      </c>
      <c r="N1257" s="2994"/>
      <c r="O1257" s="2996">
        <f t="shared" si="206"/>
        <v>1</v>
      </c>
      <c r="P1257" s="2994"/>
      <c r="Q1257" s="2996">
        <f t="shared" si="207"/>
        <v>1</v>
      </c>
      <c r="R1257" s="2997">
        <f t="shared" ca="1" si="208"/>
        <v>17260</v>
      </c>
      <c r="S1257" s="2962">
        <f t="shared" ca="1" si="209"/>
        <v>96</v>
      </c>
    </row>
    <row r="1258" spans="1:19">
      <c r="A1258" s="2992" t="str">
        <f>Sheet1!F1239</f>
        <v>3-1502</v>
      </c>
      <c r="B1258" s="2992">
        <f>Sheet1!G1239</f>
        <v>49.53</v>
      </c>
      <c r="C1258" s="2996">
        <f t="shared" si="200"/>
        <v>1</v>
      </c>
      <c r="D1258" s="2994"/>
      <c r="E1258" s="2996">
        <f t="shared" si="201"/>
        <v>1</v>
      </c>
      <c r="F1258" s="2994"/>
      <c r="G1258" s="2996">
        <f t="shared" si="202"/>
        <v>1</v>
      </c>
      <c r="H1258" s="2994"/>
      <c r="I1258" s="2996">
        <f t="shared" si="203"/>
        <v>1</v>
      </c>
      <c r="J1258" s="2994"/>
      <c r="K1258" s="2996">
        <f t="shared" si="204"/>
        <v>1</v>
      </c>
      <c r="L1258" s="2994"/>
      <c r="M1258" s="2996">
        <f t="shared" si="205"/>
        <v>1</v>
      </c>
      <c r="N1258" s="2994"/>
      <c r="O1258" s="2996">
        <f t="shared" si="206"/>
        <v>1</v>
      </c>
      <c r="P1258" s="2994"/>
      <c r="Q1258" s="2996">
        <f t="shared" si="207"/>
        <v>1</v>
      </c>
      <c r="R1258" s="2997">
        <f t="shared" ca="1" si="208"/>
        <v>17260</v>
      </c>
      <c r="S1258" s="2962">
        <f t="shared" ca="1" si="209"/>
        <v>85</v>
      </c>
    </row>
    <row r="1259" spans="1:19">
      <c r="A1259" s="2992" t="str">
        <f>Sheet1!F1240</f>
        <v>3-1503</v>
      </c>
      <c r="B1259" s="2992">
        <f>Sheet1!G1240</f>
        <v>50.63</v>
      </c>
      <c r="C1259" s="2996">
        <f t="shared" si="200"/>
        <v>1</v>
      </c>
      <c r="D1259" s="2994"/>
      <c r="E1259" s="2996">
        <f t="shared" si="201"/>
        <v>1</v>
      </c>
      <c r="F1259" s="2994"/>
      <c r="G1259" s="2996">
        <f t="shared" si="202"/>
        <v>1</v>
      </c>
      <c r="H1259" s="2994"/>
      <c r="I1259" s="2996">
        <f t="shared" si="203"/>
        <v>1</v>
      </c>
      <c r="J1259" s="2994"/>
      <c r="K1259" s="2996">
        <f t="shared" si="204"/>
        <v>1</v>
      </c>
      <c r="L1259" s="2994"/>
      <c r="M1259" s="2996">
        <f t="shared" si="205"/>
        <v>1</v>
      </c>
      <c r="N1259" s="2994"/>
      <c r="O1259" s="2996">
        <f t="shared" si="206"/>
        <v>1</v>
      </c>
      <c r="P1259" s="2994"/>
      <c r="Q1259" s="2996">
        <f t="shared" si="207"/>
        <v>1</v>
      </c>
      <c r="R1259" s="2997">
        <f t="shared" ca="1" si="208"/>
        <v>17260</v>
      </c>
      <c r="S1259" s="2962">
        <f t="shared" ca="1" si="209"/>
        <v>87</v>
      </c>
    </row>
    <row r="1260" spans="1:19">
      <c r="A1260" s="2992" t="str">
        <f>Sheet1!F1241</f>
        <v>3-1504</v>
      </c>
      <c r="B1260" s="2992">
        <f>Sheet1!G1241</f>
        <v>50.63</v>
      </c>
      <c r="C1260" s="2996">
        <f t="shared" si="200"/>
        <v>1</v>
      </c>
      <c r="D1260" s="2994"/>
      <c r="E1260" s="2996">
        <f t="shared" si="201"/>
        <v>1</v>
      </c>
      <c r="F1260" s="2994"/>
      <c r="G1260" s="2996">
        <f t="shared" si="202"/>
        <v>1</v>
      </c>
      <c r="H1260" s="2994"/>
      <c r="I1260" s="2996">
        <f t="shared" si="203"/>
        <v>1</v>
      </c>
      <c r="J1260" s="2994"/>
      <c r="K1260" s="2996">
        <f t="shared" si="204"/>
        <v>1</v>
      </c>
      <c r="L1260" s="2994"/>
      <c r="M1260" s="2996">
        <f t="shared" si="205"/>
        <v>1</v>
      </c>
      <c r="N1260" s="2994"/>
      <c r="O1260" s="2996">
        <f t="shared" si="206"/>
        <v>1</v>
      </c>
      <c r="P1260" s="2994"/>
      <c r="Q1260" s="2996">
        <f t="shared" si="207"/>
        <v>1</v>
      </c>
      <c r="R1260" s="2997">
        <f t="shared" ca="1" si="208"/>
        <v>17260</v>
      </c>
      <c r="S1260" s="2962">
        <f t="shared" ca="1" si="209"/>
        <v>87</v>
      </c>
    </row>
    <row r="1261" spans="1:19">
      <c r="A1261" s="2992" t="str">
        <f>Sheet1!F1242</f>
        <v>3-1505</v>
      </c>
      <c r="B1261" s="2992">
        <f>Sheet1!G1242</f>
        <v>50.63</v>
      </c>
      <c r="C1261" s="2996">
        <f t="shared" si="200"/>
        <v>1</v>
      </c>
      <c r="D1261" s="2994"/>
      <c r="E1261" s="2996">
        <f t="shared" si="201"/>
        <v>1</v>
      </c>
      <c r="F1261" s="2994"/>
      <c r="G1261" s="2996">
        <f t="shared" si="202"/>
        <v>1</v>
      </c>
      <c r="H1261" s="2994"/>
      <c r="I1261" s="2996">
        <f t="shared" si="203"/>
        <v>1</v>
      </c>
      <c r="J1261" s="2994"/>
      <c r="K1261" s="2996">
        <f t="shared" si="204"/>
        <v>1</v>
      </c>
      <c r="L1261" s="2994"/>
      <c r="M1261" s="2996">
        <f t="shared" si="205"/>
        <v>1</v>
      </c>
      <c r="N1261" s="2994"/>
      <c r="O1261" s="2996">
        <f t="shared" si="206"/>
        <v>1</v>
      </c>
      <c r="P1261" s="2994"/>
      <c r="Q1261" s="2996">
        <f t="shared" si="207"/>
        <v>1</v>
      </c>
      <c r="R1261" s="2997">
        <f t="shared" ca="1" si="208"/>
        <v>17260</v>
      </c>
      <c r="S1261" s="2962">
        <f t="shared" ca="1" si="209"/>
        <v>87</v>
      </c>
    </row>
    <row r="1262" spans="1:19">
      <c r="A1262" s="2992" t="str">
        <f>Sheet1!F1243</f>
        <v>3-1506</v>
      </c>
      <c r="B1262" s="2992">
        <f>Sheet1!G1243</f>
        <v>50.63</v>
      </c>
      <c r="C1262" s="2996">
        <f t="shared" si="200"/>
        <v>1</v>
      </c>
      <c r="D1262" s="2994"/>
      <c r="E1262" s="2996">
        <f t="shared" si="201"/>
        <v>1</v>
      </c>
      <c r="F1262" s="2994"/>
      <c r="G1262" s="2996">
        <f t="shared" si="202"/>
        <v>1</v>
      </c>
      <c r="H1262" s="2994"/>
      <c r="I1262" s="2996">
        <f t="shared" si="203"/>
        <v>1</v>
      </c>
      <c r="J1262" s="2994"/>
      <c r="K1262" s="2996">
        <f t="shared" si="204"/>
        <v>1</v>
      </c>
      <c r="L1262" s="2994"/>
      <c r="M1262" s="2996">
        <f t="shared" si="205"/>
        <v>1</v>
      </c>
      <c r="N1262" s="2994"/>
      <c r="O1262" s="2996">
        <f t="shared" si="206"/>
        <v>1</v>
      </c>
      <c r="P1262" s="2994"/>
      <c r="Q1262" s="2996">
        <f t="shared" si="207"/>
        <v>1</v>
      </c>
      <c r="R1262" s="2997">
        <f t="shared" ca="1" si="208"/>
        <v>17260</v>
      </c>
      <c r="S1262" s="2962">
        <f t="shared" ca="1" si="209"/>
        <v>87</v>
      </c>
    </row>
    <row r="1263" spans="1:19">
      <c r="A1263" s="2992" t="str">
        <f>Sheet1!F1244</f>
        <v>3-1507</v>
      </c>
      <c r="B1263" s="2992">
        <f>Sheet1!G1244</f>
        <v>50.63</v>
      </c>
      <c r="C1263" s="2996">
        <f t="shared" si="200"/>
        <v>1</v>
      </c>
      <c r="D1263" s="2994"/>
      <c r="E1263" s="2996">
        <f t="shared" si="201"/>
        <v>1</v>
      </c>
      <c r="F1263" s="2994"/>
      <c r="G1263" s="2996">
        <f t="shared" si="202"/>
        <v>1</v>
      </c>
      <c r="H1263" s="2994"/>
      <c r="I1263" s="2996">
        <f t="shared" si="203"/>
        <v>1</v>
      </c>
      <c r="J1263" s="2994"/>
      <c r="K1263" s="2996">
        <f t="shared" si="204"/>
        <v>1</v>
      </c>
      <c r="L1263" s="2994"/>
      <c r="M1263" s="2996">
        <f t="shared" si="205"/>
        <v>1</v>
      </c>
      <c r="N1263" s="2994"/>
      <c r="O1263" s="2996">
        <f t="shared" si="206"/>
        <v>1</v>
      </c>
      <c r="P1263" s="2994"/>
      <c r="Q1263" s="2996">
        <f t="shared" si="207"/>
        <v>1</v>
      </c>
      <c r="R1263" s="2997">
        <f t="shared" ca="1" si="208"/>
        <v>17260</v>
      </c>
      <c r="S1263" s="2962">
        <f t="shared" ca="1" si="209"/>
        <v>87</v>
      </c>
    </row>
    <row r="1264" spans="1:19">
      <c r="A1264" s="2992" t="str">
        <f>Sheet1!F1245</f>
        <v>3-1508</v>
      </c>
      <c r="B1264" s="2992">
        <f>Sheet1!G1245</f>
        <v>50.63</v>
      </c>
      <c r="C1264" s="2996">
        <f t="shared" si="200"/>
        <v>1</v>
      </c>
      <c r="D1264" s="2994"/>
      <c r="E1264" s="2996">
        <f t="shared" si="201"/>
        <v>1</v>
      </c>
      <c r="F1264" s="2994"/>
      <c r="G1264" s="2996">
        <f t="shared" si="202"/>
        <v>1</v>
      </c>
      <c r="H1264" s="2994"/>
      <c r="I1264" s="2996">
        <f t="shared" si="203"/>
        <v>1</v>
      </c>
      <c r="J1264" s="2994"/>
      <c r="K1264" s="2996">
        <f t="shared" si="204"/>
        <v>1</v>
      </c>
      <c r="L1264" s="2994"/>
      <c r="M1264" s="2996">
        <f t="shared" si="205"/>
        <v>1</v>
      </c>
      <c r="N1264" s="2994"/>
      <c r="O1264" s="2996">
        <f t="shared" si="206"/>
        <v>1</v>
      </c>
      <c r="P1264" s="2994"/>
      <c r="Q1264" s="2996">
        <f t="shared" si="207"/>
        <v>1</v>
      </c>
      <c r="R1264" s="2997">
        <f t="shared" ca="1" si="208"/>
        <v>17260</v>
      </c>
      <c r="S1264" s="2962">
        <f t="shared" ca="1" si="209"/>
        <v>87</v>
      </c>
    </row>
    <row r="1265" spans="1:19">
      <c r="A1265" s="2992" t="str">
        <f>Sheet1!F1246</f>
        <v>3-1509</v>
      </c>
      <c r="B1265" s="2992">
        <f>Sheet1!G1246</f>
        <v>50.63</v>
      </c>
      <c r="C1265" s="2996">
        <f t="shared" si="200"/>
        <v>1</v>
      </c>
      <c r="D1265" s="2994"/>
      <c r="E1265" s="2996">
        <f t="shared" si="201"/>
        <v>1</v>
      </c>
      <c r="F1265" s="2994"/>
      <c r="G1265" s="2996">
        <f t="shared" si="202"/>
        <v>1</v>
      </c>
      <c r="H1265" s="2994"/>
      <c r="I1265" s="2996">
        <f t="shared" si="203"/>
        <v>1</v>
      </c>
      <c r="J1265" s="2994"/>
      <c r="K1265" s="2996">
        <f t="shared" si="204"/>
        <v>1</v>
      </c>
      <c r="L1265" s="2994"/>
      <c r="M1265" s="2996">
        <f t="shared" si="205"/>
        <v>1</v>
      </c>
      <c r="N1265" s="2994"/>
      <c r="O1265" s="2996">
        <f t="shared" si="206"/>
        <v>1</v>
      </c>
      <c r="P1265" s="2994"/>
      <c r="Q1265" s="2996">
        <f t="shared" si="207"/>
        <v>1</v>
      </c>
      <c r="R1265" s="2997">
        <f t="shared" ca="1" si="208"/>
        <v>17260</v>
      </c>
      <c r="S1265" s="2962">
        <f t="shared" ca="1" si="209"/>
        <v>87</v>
      </c>
    </row>
    <row r="1266" spans="1:19">
      <c r="A1266" s="2992" t="str">
        <f>Sheet1!F1247</f>
        <v>3-1510</v>
      </c>
      <c r="B1266" s="2992">
        <f>Sheet1!G1247</f>
        <v>50.63</v>
      </c>
      <c r="C1266" s="2996">
        <f t="shared" si="200"/>
        <v>1</v>
      </c>
      <c r="D1266" s="2994"/>
      <c r="E1266" s="2996">
        <f t="shared" si="201"/>
        <v>1</v>
      </c>
      <c r="F1266" s="2994"/>
      <c r="G1266" s="2996">
        <f t="shared" si="202"/>
        <v>1</v>
      </c>
      <c r="H1266" s="2994"/>
      <c r="I1266" s="2996">
        <f t="shared" si="203"/>
        <v>1</v>
      </c>
      <c r="J1266" s="2994"/>
      <c r="K1266" s="2996">
        <f t="shared" si="204"/>
        <v>1</v>
      </c>
      <c r="L1266" s="2994"/>
      <c r="M1266" s="2996">
        <f t="shared" si="205"/>
        <v>1</v>
      </c>
      <c r="N1266" s="2994"/>
      <c r="O1266" s="2996">
        <f t="shared" si="206"/>
        <v>1</v>
      </c>
      <c r="P1266" s="2994"/>
      <c r="Q1266" s="2996">
        <f t="shared" si="207"/>
        <v>1</v>
      </c>
      <c r="R1266" s="2997">
        <f t="shared" ca="1" si="208"/>
        <v>17260</v>
      </c>
      <c r="S1266" s="2962">
        <f t="shared" ca="1" si="209"/>
        <v>87</v>
      </c>
    </row>
    <row r="1267" spans="1:19">
      <c r="A1267" s="2992" t="str">
        <f>Sheet1!F1248</f>
        <v>3-1511</v>
      </c>
      <c r="B1267" s="2992">
        <f>Sheet1!G1248</f>
        <v>50.63</v>
      </c>
      <c r="C1267" s="2996">
        <f t="shared" si="200"/>
        <v>1</v>
      </c>
      <c r="D1267" s="2994"/>
      <c r="E1267" s="2996">
        <f t="shared" si="201"/>
        <v>1</v>
      </c>
      <c r="F1267" s="2994"/>
      <c r="G1267" s="2996">
        <f t="shared" si="202"/>
        <v>1</v>
      </c>
      <c r="H1267" s="2994"/>
      <c r="I1267" s="2996">
        <f t="shared" si="203"/>
        <v>1</v>
      </c>
      <c r="J1267" s="2994"/>
      <c r="K1267" s="2996">
        <f t="shared" si="204"/>
        <v>1</v>
      </c>
      <c r="L1267" s="2994"/>
      <c r="M1267" s="2996">
        <f t="shared" si="205"/>
        <v>1</v>
      </c>
      <c r="N1267" s="2994"/>
      <c r="O1267" s="2996">
        <f t="shared" si="206"/>
        <v>1</v>
      </c>
      <c r="P1267" s="2994"/>
      <c r="Q1267" s="2996">
        <f t="shared" si="207"/>
        <v>1</v>
      </c>
      <c r="R1267" s="2997">
        <f t="shared" ca="1" si="208"/>
        <v>17260</v>
      </c>
      <c r="S1267" s="2962">
        <f t="shared" ca="1" si="209"/>
        <v>87</v>
      </c>
    </row>
    <row r="1268" spans="1:19">
      <c r="A1268" s="2992" t="str">
        <f>Sheet1!F1249</f>
        <v>3-1512</v>
      </c>
      <c r="B1268" s="2992">
        <f>Sheet1!G1249</f>
        <v>50.63</v>
      </c>
      <c r="C1268" s="2996">
        <f t="shared" si="200"/>
        <v>1</v>
      </c>
      <c r="D1268" s="2994"/>
      <c r="E1268" s="2996">
        <f t="shared" si="201"/>
        <v>1</v>
      </c>
      <c r="F1268" s="2994"/>
      <c r="G1268" s="2996">
        <f t="shared" si="202"/>
        <v>1</v>
      </c>
      <c r="H1268" s="2994"/>
      <c r="I1268" s="2996">
        <f t="shared" si="203"/>
        <v>1</v>
      </c>
      <c r="J1268" s="2994"/>
      <c r="K1268" s="2996">
        <f t="shared" si="204"/>
        <v>1</v>
      </c>
      <c r="L1268" s="2994"/>
      <c r="M1268" s="2996">
        <f t="shared" si="205"/>
        <v>1</v>
      </c>
      <c r="N1268" s="2994"/>
      <c r="O1268" s="2996">
        <f t="shared" si="206"/>
        <v>1</v>
      </c>
      <c r="P1268" s="2994"/>
      <c r="Q1268" s="2996">
        <f t="shared" si="207"/>
        <v>1</v>
      </c>
      <c r="R1268" s="2997">
        <f t="shared" ca="1" si="208"/>
        <v>17260</v>
      </c>
      <c r="S1268" s="2962">
        <f t="shared" ca="1" si="209"/>
        <v>87</v>
      </c>
    </row>
    <row r="1269" spans="1:19">
      <c r="A1269" s="2992" t="str">
        <f>Sheet1!F1250</f>
        <v>3-1513</v>
      </c>
      <c r="B1269" s="2992">
        <f>Sheet1!G1250</f>
        <v>49.61</v>
      </c>
      <c r="C1269" s="2996">
        <f t="shared" si="200"/>
        <v>1</v>
      </c>
      <c r="D1269" s="2994"/>
      <c r="E1269" s="2996">
        <f t="shared" si="201"/>
        <v>1</v>
      </c>
      <c r="F1269" s="2994"/>
      <c r="G1269" s="2996">
        <f t="shared" si="202"/>
        <v>1</v>
      </c>
      <c r="H1269" s="2994"/>
      <c r="I1269" s="2996">
        <f t="shared" si="203"/>
        <v>1</v>
      </c>
      <c r="J1269" s="2994"/>
      <c r="K1269" s="2996">
        <f t="shared" si="204"/>
        <v>1</v>
      </c>
      <c r="L1269" s="2994"/>
      <c r="M1269" s="2996">
        <f t="shared" si="205"/>
        <v>1</v>
      </c>
      <c r="N1269" s="2994"/>
      <c r="O1269" s="2996">
        <f t="shared" si="206"/>
        <v>1</v>
      </c>
      <c r="P1269" s="2994"/>
      <c r="Q1269" s="2996">
        <f t="shared" si="207"/>
        <v>1</v>
      </c>
      <c r="R1269" s="2997">
        <f t="shared" ca="1" si="208"/>
        <v>17260</v>
      </c>
      <c r="S1269" s="2962">
        <f t="shared" ca="1" si="209"/>
        <v>86</v>
      </c>
    </row>
    <row r="1270" spans="1:19">
      <c r="A1270" s="2992" t="str">
        <f>Sheet1!F1251</f>
        <v>3-1514</v>
      </c>
      <c r="B1270" s="2992">
        <f>Sheet1!G1251</f>
        <v>46.31</v>
      </c>
      <c r="C1270" s="2996">
        <f t="shared" si="200"/>
        <v>1</v>
      </c>
      <c r="D1270" s="2994"/>
      <c r="E1270" s="2996">
        <f t="shared" si="201"/>
        <v>1</v>
      </c>
      <c r="F1270" s="2994"/>
      <c r="G1270" s="2996">
        <f t="shared" si="202"/>
        <v>1</v>
      </c>
      <c r="H1270" s="2994"/>
      <c r="I1270" s="2996">
        <f t="shared" si="203"/>
        <v>1</v>
      </c>
      <c r="J1270" s="2994"/>
      <c r="K1270" s="2996">
        <f t="shared" si="204"/>
        <v>1</v>
      </c>
      <c r="L1270" s="2994"/>
      <c r="M1270" s="2996">
        <f t="shared" si="205"/>
        <v>1</v>
      </c>
      <c r="N1270" s="2994"/>
      <c r="O1270" s="2996">
        <f t="shared" si="206"/>
        <v>1</v>
      </c>
      <c r="P1270" s="2994"/>
      <c r="Q1270" s="2996">
        <f t="shared" si="207"/>
        <v>1</v>
      </c>
      <c r="R1270" s="2997">
        <f t="shared" ca="1" si="208"/>
        <v>17260</v>
      </c>
      <c r="S1270" s="2962">
        <f t="shared" ca="1" si="209"/>
        <v>80</v>
      </c>
    </row>
    <row r="1271" spans="1:19">
      <c r="A1271" s="2992" t="str">
        <f>Sheet1!F1252</f>
        <v>3-1515</v>
      </c>
      <c r="B1271" s="2992">
        <f>Sheet1!G1252</f>
        <v>50.63</v>
      </c>
      <c r="C1271" s="2996">
        <f t="shared" si="200"/>
        <v>1</v>
      </c>
      <c r="D1271" s="2994"/>
      <c r="E1271" s="2996">
        <f t="shared" si="201"/>
        <v>1</v>
      </c>
      <c r="F1271" s="2994"/>
      <c r="G1271" s="2996">
        <f t="shared" si="202"/>
        <v>1</v>
      </c>
      <c r="H1271" s="2994"/>
      <c r="I1271" s="2996">
        <f t="shared" si="203"/>
        <v>1</v>
      </c>
      <c r="J1271" s="2994"/>
      <c r="K1271" s="2996">
        <f t="shared" si="204"/>
        <v>1</v>
      </c>
      <c r="L1271" s="2994"/>
      <c r="M1271" s="2996">
        <f t="shared" si="205"/>
        <v>1</v>
      </c>
      <c r="N1271" s="2994"/>
      <c r="O1271" s="2996">
        <f t="shared" si="206"/>
        <v>1</v>
      </c>
      <c r="P1271" s="2994"/>
      <c r="Q1271" s="2996">
        <f t="shared" si="207"/>
        <v>1</v>
      </c>
      <c r="R1271" s="2997">
        <f t="shared" ca="1" si="208"/>
        <v>17260</v>
      </c>
      <c r="S1271" s="2962">
        <f t="shared" ca="1" si="209"/>
        <v>87</v>
      </c>
    </row>
    <row r="1272" spans="1:19">
      <c r="A1272" s="2992" t="str">
        <f>Sheet1!F1253</f>
        <v>3-1516</v>
      </c>
      <c r="B1272" s="2992">
        <f>Sheet1!G1253</f>
        <v>50.63</v>
      </c>
      <c r="C1272" s="2996">
        <f t="shared" si="200"/>
        <v>1</v>
      </c>
      <c r="D1272" s="2994"/>
      <c r="E1272" s="2996">
        <f t="shared" si="201"/>
        <v>1</v>
      </c>
      <c r="F1272" s="2994"/>
      <c r="G1272" s="2996">
        <f t="shared" si="202"/>
        <v>1</v>
      </c>
      <c r="H1272" s="2994"/>
      <c r="I1272" s="2996">
        <f t="shared" si="203"/>
        <v>1</v>
      </c>
      <c r="J1272" s="2994"/>
      <c r="K1272" s="2996">
        <f t="shared" si="204"/>
        <v>1</v>
      </c>
      <c r="L1272" s="2994"/>
      <c r="M1272" s="2996">
        <f t="shared" si="205"/>
        <v>1</v>
      </c>
      <c r="N1272" s="2994"/>
      <c r="O1272" s="2996">
        <f t="shared" si="206"/>
        <v>1</v>
      </c>
      <c r="P1272" s="2994"/>
      <c r="Q1272" s="2996">
        <f t="shared" si="207"/>
        <v>1</v>
      </c>
      <c r="R1272" s="2997">
        <f t="shared" ca="1" si="208"/>
        <v>17260</v>
      </c>
      <c r="S1272" s="2962">
        <f t="shared" ca="1" si="209"/>
        <v>87</v>
      </c>
    </row>
    <row r="1273" spans="1:19">
      <c r="A1273" s="2992" t="str">
        <f>Sheet1!F1254</f>
        <v>3-1517</v>
      </c>
      <c r="B1273" s="2992">
        <f>Sheet1!G1254</f>
        <v>62.54</v>
      </c>
      <c r="C1273" s="2996">
        <f t="shared" si="200"/>
        <v>1</v>
      </c>
      <c r="D1273" s="2994"/>
      <c r="E1273" s="2996">
        <f t="shared" si="201"/>
        <v>1</v>
      </c>
      <c r="F1273" s="2994"/>
      <c r="G1273" s="2996">
        <f t="shared" si="202"/>
        <v>1</v>
      </c>
      <c r="H1273" s="2994"/>
      <c r="I1273" s="2996">
        <f t="shared" si="203"/>
        <v>1</v>
      </c>
      <c r="J1273" s="2994"/>
      <c r="K1273" s="2996">
        <f t="shared" si="204"/>
        <v>1</v>
      </c>
      <c r="L1273" s="2994"/>
      <c r="M1273" s="2996">
        <f t="shared" si="205"/>
        <v>1</v>
      </c>
      <c r="N1273" s="2994"/>
      <c r="O1273" s="2996">
        <f t="shared" si="206"/>
        <v>1</v>
      </c>
      <c r="P1273" s="2994"/>
      <c r="Q1273" s="2996">
        <f t="shared" si="207"/>
        <v>1</v>
      </c>
      <c r="R1273" s="2997">
        <f t="shared" ca="1" si="208"/>
        <v>17260</v>
      </c>
      <c r="S1273" s="2962">
        <f t="shared" ca="1" si="209"/>
        <v>108</v>
      </c>
    </row>
    <row r="1274" spans="1:19">
      <c r="A1274" s="2992" t="str">
        <f>Sheet1!F1255</f>
        <v>3-1518</v>
      </c>
      <c r="B1274" s="2992">
        <f>Sheet1!G1255</f>
        <v>62.56</v>
      </c>
      <c r="C1274" s="2996">
        <f t="shared" si="200"/>
        <v>1</v>
      </c>
      <c r="D1274" s="2994"/>
      <c r="E1274" s="2996">
        <f t="shared" si="201"/>
        <v>1</v>
      </c>
      <c r="F1274" s="2994"/>
      <c r="G1274" s="2996">
        <f t="shared" si="202"/>
        <v>1</v>
      </c>
      <c r="H1274" s="2994"/>
      <c r="I1274" s="2996">
        <f t="shared" si="203"/>
        <v>1</v>
      </c>
      <c r="J1274" s="2994"/>
      <c r="K1274" s="2996">
        <f t="shared" si="204"/>
        <v>1</v>
      </c>
      <c r="L1274" s="2994"/>
      <c r="M1274" s="2996">
        <f t="shared" si="205"/>
        <v>1</v>
      </c>
      <c r="N1274" s="2994"/>
      <c r="O1274" s="2996">
        <f t="shared" si="206"/>
        <v>1</v>
      </c>
      <c r="P1274" s="2994"/>
      <c r="Q1274" s="2996">
        <f t="shared" si="207"/>
        <v>1</v>
      </c>
      <c r="R1274" s="2997">
        <f t="shared" ca="1" si="208"/>
        <v>17260</v>
      </c>
      <c r="S1274" s="2962">
        <f t="shared" ca="1" si="209"/>
        <v>108</v>
      </c>
    </row>
    <row r="1275" spans="1:19">
      <c r="A1275" s="2992" t="str">
        <f>Sheet1!F1256</f>
        <v>3-1519</v>
      </c>
      <c r="B1275" s="2992">
        <f>Sheet1!G1256</f>
        <v>62.56</v>
      </c>
      <c r="C1275" s="2996">
        <f t="shared" si="200"/>
        <v>1</v>
      </c>
      <c r="D1275" s="2994"/>
      <c r="E1275" s="2996">
        <f t="shared" si="201"/>
        <v>1</v>
      </c>
      <c r="F1275" s="2994"/>
      <c r="G1275" s="2996">
        <f t="shared" si="202"/>
        <v>1</v>
      </c>
      <c r="H1275" s="2994"/>
      <c r="I1275" s="2996">
        <f t="shared" si="203"/>
        <v>1</v>
      </c>
      <c r="J1275" s="2994"/>
      <c r="K1275" s="2996">
        <f t="shared" si="204"/>
        <v>1</v>
      </c>
      <c r="L1275" s="2994"/>
      <c r="M1275" s="2996">
        <f t="shared" si="205"/>
        <v>1</v>
      </c>
      <c r="N1275" s="2994"/>
      <c r="O1275" s="2996">
        <f t="shared" si="206"/>
        <v>1</v>
      </c>
      <c r="P1275" s="2994"/>
      <c r="Q1275" s="2996">
        <f t="shared" si="207"/>
        <v>1</v>
      </c>
      <c r="R1275" s="2997">
        <f t="shared" ca="1" si="208"/>
        <v>17260</v>
      </c>
      <c r="S1275" s="2962">
        <f t="shared" ca="1" si="209"/>
        <v>108</v>
      </c>
    </row>
    <row r="1276" spans="1:19">
      <c r="A1276" s="2992" t="str">
        <f>Sheet1!F1257</f>
        <v>3-1520</v>
      </c>
      <c r="B1276" s="2992">
        <f>Sheet1!G1257</f>
        <v>62.54</v>
      </c>
      <c r="C1276" s="2996">
        <f t="shared" si="200"/>
        <v>1</v>
      </c>
      <c r="D1276" s="2994"/>
      <c r="E1276" s="2996">
        <f t="shared" si="201"/>
        <v>1</v>
      </c>
      <c r="F1276" s="2994"/>
      <c r="G1276" s="2996">
        <f t="shared" si="202"/>
        <v>1</v>
      </c>
      <c r="H1276" s="2994"/>
      <c r="I1276" s="2996">
        <f t="shared" si="203"/>
        <v>1</v>
      </c>
      <c r="J1276" s="2994"/>
      <c r="K1276" s="2996">
        <f t="shared" si="204"/>
        <v>1</v>
      </c>
      <c r="L1276" s="2994"/>
      <c r="M1276" s="2996">
        <f t="shared" si="205"/>
        <v>1</v>
      </c>
      <c r="N1276" s="2994"/>
      <c r="O1276" s="2996">
        <f t="shared" si="206"/>
        <v>1</v>
      </c>
      <c r="P1276" s="2994"/>
      <c r="Q1276" s="2996">
        <f t="shared" si="207"/>
        <v>1</v>
      </c>
      <c r="R1276" s="2997">
        <f t="shared" ca="1" si="208"/>
        <v>17260</v>
      </c>
      <c r="S1276" s="2962">
        <f t="shared" ca="1" si="209"/>
        <v>108</v>
      </c>
    </row>
    <row r="1277" spans="1:19">
      <c r="A1277" s="2992" t="str">
        <f>Sheet1!F1258</f>
        <v>3-1521</v>
      </c>
      <c r="B1277" s="2992">
        <f>Sheet1!G1258</f>
        <v>50.63</v>
      </c>
      <c r="C1277" s="2996">
        <f t="shared" si="200"/>
        <v>1</v>
      </c>
      <c r="D1277" s="2994"/>
      <c r="E1277" s="2996">
        <f t="shared" si="201"/>
        <v>1</v>
      </c>
      <c r="F1277" s="2994"/>
      <c r="G1277" s="2996">
        <f t="shared" si="202"/>
        <v>1</v>
      </c>
      <c r="H1277" s="2994"/>
      <c r="I1277" s="2996">
        <f t="shared" si="203"/>
        <v>1</v>
      </c>
      <c r="J1277" s="2994"/>
      <c r="K1277" s="2996">
        <f t="shared" si="204"/>
        <v>1</v>
      </c>
      <c r="L1277" s="2994"/>
      <c r="M1277" s="2996">
        <f t="shared" si="205"/>
        <v>1</v>
      </c>
      <c r="N1277" s="2994"/>
      <c r="O1277" s="2996">
        <f t="shared" si="206"/>
        <v>1</v>
      </c>
      <c r="P1277" s="2994"/>
      <c r="Q1277" s="2996">
        <f t="shared" si="207"/>
        <v>1</v>
      </c>
      <c r="R1277" s="2997">
        <f t="shared" ca="1" si="208"/>
        <v>17260</v>
      </c>
      <c r="S1277" s="2962">
        <f t="shared" ca="1" si="209"/>
        <v>87</v>
      </c>
    </row>
    <row r="1278" spans="1:19">
      <c r="A1278" s="2992" t="str">
        <f>Sheet1!F1259</f>
        <v>3-1522</v>
      </c>
      <c r="B1278" s="2992">
        <f>Sheet1!G1259</f>
        <v>50.63</v>
      </c>
      <c r="C1278" s="2996">
        <f t="shared" si="200"/>
        <v>1</v>
      </c>
      <c r="D1278" s="2994"/>
      <c r="E1278" s="2996">
        <f t="shared" si="201"/>
        <v>1</v>
      </c>
      <c r="F1278" s="2994"/>
      <c r="G1278" s="2996">
        <f t="shared" si="202"/>
        <v>1</v>
      </c>
      <c r="H1278" s="2994"/>
      <c r="I1278" s="2996">
        <f t="shared" si="203"/>
        <v>1</v>
      </c>
      <c r="J1278" s="2994"/>
      <c r="K1278" s="2996">
        <f t="shared" si="204"/>
        <v>1</v>
      </c>
      <c r="L1278" s="2994"/>
      <c r="M1278" s="2996">
        <f t="shared" si="205"/>
        <v>1</v>
      </c>
      <c r="N1278" s="2994"/>
      <c r="O1278" s="2996">
        <f t="shared" si="206"/>
        <v>1</v>
      </c>
      <c r="P1278" s="2994"/>
      <c r="Q1278" s="2996">
        <f t="shared" si="207"/>
        <v>1</v>
      </c>
      <c r="R1278" s="2997">
        <f t="shared" ca="1" si="208"/>
        <v>17260</v>
      </c>
      <c r="S1278" s="2962">
        <f t="shared" ca="1" si="209"/>
        <v>87</v>
      </c>
    </row>
    <row r="1279" spans="1:19">
      <c r="A1279" s="2992" t="str">
        <f>Sheet1!F1260</f>
        <v>3-1523</v>
      </c>
      <c r="B1279" s="2992">
        <f>Sheet1!G1260</f>
        <v>50.63</v>
      </c>
      <c r="C1279" s="2996">
        <f t="shared" si="200"/>
        <v>1</v>
      </c>
      <c r="D1279" s="2994"/>
      <c r="E1279" s="2996">
        <f t="shared" si="201"/>
        <v>1</v>
      </c>
      <c r="F1279" s="2994"/>
      <c r="G1279" s="2996">
        <f t="shared" si="202"/>
        <v>1</v>
      </c>
      <c r="H1279" s="2994"/>
      <c r="I1279" s="2996">
        <f t="shared" si="203"/>
        <v>1</v>
      </c>
      <c r="J1279" s="2994"/>
      <c r="K1279" s="2996">
        <f t="shared" si="204"/>
        <v>1</v>
      </c>
      <c r="L1279" s="2994"/>
      <c r="M1279" s="2996">
        <f t="shared" si="205"/>
        <v>1</v>
      </c>
      <c r="N1279" s="2994"/>
      <c r="O1279" s="2996">
        <f t="shared" si="206"/>
        <v>1</v>
      </c>
      <c r="P1279" s="2994"/>
      <c r="Q1279" s="2996">
        <f t="shared" si="207"/>
        <v>1</v>
      </c>
      <c r="R1279" s="2997">
        <f t="shared" ca="1" si="208"/>
        <v>17260</v>
      </c>
      <c r="S1279" s="2962">
        <f t="shared" ca="1" si="209"/>
        <v>87</v>
      </c>
    </row>
    <row r="1280" spans="1:19">
      <c r="A1280" s="2992" t="str">
        <f>Sheet1!F1261</f>
        <v>3-1524</v>
      </c>
      <c r="B1280" s="2992">
        <f>Sheet1!G1261</f>
        <v>50.63</v>
      </c>
      <c r="C1280" s="2996">
        <f t="shared" si="200"/>
        <v>1</v>
      </c>
      <c r="D1280" s="2994"/>
      <c r="E1280" s="2996">
        <f t="shared" si="201"/>
        <v>1</v>
      </c>
      <c r="F1280" s="2994"/>
      <c r="G1280" s="2996">
        <f t="shared" si="202"/>
        <v>1</v>
      </c>
      <c r="H1280" s="2994"/>
      <c r="I1280" s="2996">
        <f t="shared" si="203"/>
        <v>1</v>
      </c>
      <c r="J1280" s="2994"/>
      <c r="K1280" s="2996">
        <f t="shared" si="204"/>
        <v>1</v>
      </c>
      <c r="L1280" s="2994"/>
      <c r="M1280" s="2996">
        <f t="shared" si="205"/>
        <v>1</v>
      </c>
      <c r="N1280" s="2994"/>
      <c r="O1280" s="2996">
        <f t="shared" si="206"/>
        <v>1</v>
      </c>
      <c r="P1280" s="2994"/>
      <c r="Q1280" s="2996">
        <f t="shared" si="207"/>
        <v>1</v>
      </c>
      <c r="R1280" s="2997">
        <f t="shared" ca="1" si="208"/>
        <v>17260</v>
      </c>
      <c r="S1280" s="2962">
        <f t="shared" ca="1" si="209"/>
        <v>87</v>
      </c>
    </row>
    <row r="1281" spans="1:19">
      <c r="A1281" s="2992" t="str">
        <f>Sheet1!F1262</f>
        <v>3-1525</v>
      </c>
      <c r="B1281" s="2992">
        <f>Sheet1!G1262</f>
        <v>50.63</v>
      </c>
      <c r="C1281" s="2996">
        <f t="shared" si="200"/>
        <v>1</v>
      </c>
      <c r="D1281" s="2994"/>
      <c r="E1281" s="2996">
        <f t="shared" si="201"/>
        <v>1</v>
      </c>
      <c r="F1281" s="2994"/>
      <c r="G1281" s="2996">
        <f t="shared" si="202"/>
        <v>1</v>
      </c>
      <c r="H1281" s="2994"/>
      <c r="I1281" s="2996">
        <f t="shared" si="203"/>
        <v>1</v>
      </c>
      <c r="J1281" s="2994"/>
      <c r="K1281" s="2996">
        <f t="shared" si="204"/>
        <v>1</v>
      </c>
      <c r="L1281" s="2994"/>
      <c r="M1281" s="2996">
        <f t="shared" si="205"/>
        <v>1</v>
      </c>
      <c r="N1281" s="2994"/>
      <c r="O1281" s="2996">
        <f t="shared" si="206"/>
        <v>1</v>
      </c>
      <c r="P1281" s="2994"/>
      <c r="Q1281" s="2996">
        <f t="shared" si="207"/>
        <v>1</v>
      </c>
      <c r="R1281" s="2997">
        <f t="shared" ca="1" si="208"/>
        <v>17260</v>
      </c>
      <c r="S1281" s="2962">
        <f t="shared" ca="1" si="209"/>
        <v>87</v>
      </c>
    </row>
    <row r="1282" spans="1:19">
      <c r="A1282" s="2992" t="str">
        <f>Sheet1!F1263</f>
        <v>3-1526</v>
      </c>
      <c r="B1282" s="2992">
        <f>Sheet1!G1263</f>
        <v>50.63</v>
      </c>
      <c r="C1282" s="2996">
        <f t="shared" si="200"/>
        <v>1</v>
      </c>
      <c r="D1282" s="2994"/>
      <c r="E1282" s="2996">
        <f t="shared" si="201"/>
        <v>1</v>
      </c>
      <c r="F1282" s="2994"/>
      <c r="G1282" s="2996">
        <f t="shared" si="202"/>
        <v>1</v>
      </c>
      <c r="H1282" s="2994"/>
      <c r="I1282" s="2996">
        <f t="shared" si="203"/>
        <v>1</v>
      </c>
      <c r="J1282" s="2994"/>
      <c r="K1282" s="2996">
        <f t="shared" si="204"/>
        <v>1</v>
      </c>
      <c r="L1282" s="2994"/>
      <c r="M1282" s="2996">
        <f t="shared" si="205"/>
        <v>1</v>
      </c>
      <c r="N1282" s="2994"/>
      <c r="O1282" s="2996">
        <f t="shared" si="206"/>
        <v>1</v>
      </c>
      <c r="P1282" s="2994"/>
      <c r="Q1282" s="2996">
        <f t="shared" si="207"/>
        <v>1</v>
      </c>
      <c r="R1282" s="2997">
        <f t="shared" ca="1" si="208"/>
        <v>17260</v>
      </c>
      <c r="S1282" s="2962">
        <f t="shared" ca="1" si="209"/>
        <v>87</v>
      </c>
    </row>
    <row r="1283" spans="1:19">
      <c r="A1283" s="2992" t="str">
        <f>Sheet1!F1264</f>
        <v>3-1527</v>
      </c>
      <c r="B1283" s="2992">
        <f>Sheet1!G1264</f>
        <v>50.63</v>
      </c>
      <c r="C1283" s="2996">
        <f t="shared" si="200"/>
        <v>1</v>
      </c>
      <c r="D1283" s="2994"/>
      <c r="E1283" s="2996">
        <f t="shared" si="201"/>
        <v>1</v>
      </c>
      <c r="F1283" s="2994"/>
      <c r="G1283" s="2996">
        <f t="shared" si="202"/>
        <v>1</v>
      </c>
      <c r="H1283" s="2994"/>
      <c r="I1283" s="2996">
        <f t="shared" si="203"/>
        <v>1</v>
      </c>
      <c r="J1283" s="2994"/>
      <c r="K1283" s="2996">
        <f t="shared" si="204"/>
        <v>1</v>
      </c>
      <c r="L1283" s="2994"/>
      <c r="M1283" s="2996">
        <f t="shared" si="205"/>
        <v>1</v>
      </c>
      <c r="N1283" s="2994"/>
      <c r="O1283" s="2996">
        <f t="shared" si="206"/>
        <v>1</v>
      </c>
      <c r="P1283" s="2994"/>
      <c r="Q1283" s="2996">
        <f t="shared" si="207"/>
        <v>1</v>
      </c>
      <c r="R1283" s="2997">
        <f t="shared" ca="1" si="208"/>
        <v>17260</v>
      </c>
      <c r="S1283" s="2962">
        <f t="shared" ca="1" si="209"/>
        <v>87</v>
      </c>
    </row>
    <row r="1284" spans="1:19">
      <c r="A1284" s="2992" t="str">
        <f>Sheet1!F1265</f>
        <v>3-1528</v>
      </c>
      <c r="B1284" s="2992">
        <f>Sheet1!G1265</f>
        <v>50.63</v>
      </c>
      <c r="C1284" s="2996">
        <f t="shared" si="200"/>
        <v>1</v>
      </c>
      <c r="D1284" s="2994"/>
      <c r="E1284" s="2996">
        <f t="shared" si="201"/>
        <v>1</v>
      </c>
      <c r="F1284" s="2994"/>
      <c r="G1284" s="2996">
        <f t="shared" si="202"/>
        <v>1</v>
      </c>
      <c r="H1284" s="2994"/>
      <c r="I1284" s="2996">
        <f t="shared" si="203"/>
        <v>1</v>
      </c>
      <c r="J1284" s="2994"/>
      <c r="K1284" s="2996">
        <f t="shared" si="204"/>
        <v>1</v>
      </c>
      <c r="L1284" s="2994"/>
      <c r="M1284" s="2996">
        <f t="shared" si="205"/>
        <v>1</v>
      </c>
      <c r="N1284" s="2994"/>
      <c r="O1284" s="2996">
        <f t="shared" si="206"/>
        <v>1</v>
      </c>
      <c r="P1284" s="2994"/>
      <c r="Q1284" s="2996">
        <f t="shared" si="207"/>
        <v>1</v>
      </c>
      <c r="R1284" s="2997">
        <f t="shared" ca="1" si="208"/>
        <v>17260</v>
      </c>
      <c r="S1284" s="2962">
        <f t="shared" ca="1" si="209"/>
        <v>87</v>
      </c>
    </row>
    <row r="1285" spans="1:19">
      <c r="A1285" s="2992" t="str">
        <f>Sheet1!F1266</f>
        <v>3-1529</v>
      </c>
      <c r="B1285" s="2992">
        <f>Sheet1!G1266</f>
        <v>50.63</v>
      </c>
      <c r="C1285" s="2996">
        <f t="shared" si="200"/>
        <v>1</v>
      </c>
      <c r="D1285" s="2994"/>
      <c r="E1285" s="2996">
        <f t="shared" si="201"/>
        <v>1</v>
      </c>
      <c r="F1285" s="2994"/>
      <c r="G1285" s="2996">
        <f t="shared" si="202"/>
        <v>1</v>
      </c>
      <c r="H1285" s="2994"/>
      <c r="I1285" s="2996">
        <f t="shared" si="203"/>
        <v>1</v>
      </c>
      <c r="J1285" s="2994"/>
      <c r="K1285" s="2996">
        <f t="shared" si="204"/>
        <v>1</v>
      </c>
      <c r="L1285" s="2994"/>
      <c r="M1285" s="2996">
        <f t="shared" si="205"/>
        <v>1</v>
      </c>
      <c r="N1285" s="2994"/>
      <c r="O1285" s="2996">
        <f t="shared" si="206"/>
        <v>1</v>
      </c>
      <c r="P1285" s="2994"/>
      <c r="Q1285" s="2996">
        <f t="shared" si="207"/>
        <v>1</v>
      </c>
      <c r="R1285" s="2997">
        <f t="shared" ca="1" si="208"/>
        <v>17260</v>
      </c>
      <c r="S1285" s="2962">
        <f t="shared" ca="1" si="209"/>
        <v>87</v>
      </c>
    </row>
    <row r="1286" spans="1:19">
      <c r="A1286" s="2992" t="str">
        <f>Sheet1!F1267</f>
        <v>3-1530</v>
      </c>
      <c r="B1286" s="2992">
        <f>Sheet1!G1267</f>
        <v>50.63</v>
      </c>
      <c r="C1286" s="2996">
        <f t="shared" si="200"/>
        <v>1</v>
      </c>
      <c r="D1286" s="2994"/>
      <c r="E1286" s="2996">
        <f t="shared" si="201"/>
        <v>1</v>
      </c>
      <c r="F1286" s="2994"/>
      <c r="G1286" s="2996">
        <f t="shared" si="202"/>
        <v>1</v>
      </c>
      <c r="H1286" s="2994"/>
      <c r="I1286" s="2996">
        <f t="shared" si="203"/>
        <v>1</v>
      </c>
      <c r="J1286" s="2994"/>
      <c r="K1286" s="2996">
        <f t="shared" si="204"/>
        <v>1</v>
      </c>
      <c r="L1286" s="2994"/>
      <c r="M1286" s="2996">
        <f t="shared" si="205"/>
        <v>1</v>
      </c>
      <c r="N1286" s="2994"/>
      <c r="O1286" s="2996">
        <f t="shared" si="206"/>
        <v>1</v>
      </c>
      <c r="P1286" s="2994"/>
      <c r="Q1286" s="2996">
        <f t="shared" si="207"/>
        <v>1</v>
      </c>
      <c r="R1286" s="2997">
        <f t="shared" ca="1" si="208"/>
        <v>17260</v>
      </c>
      <c r="S1286" s="2962">
        <f t="shared" ca="1" si="209"/>
        <v>87</v>
      </c>
    </row>
    <row r="1287" spans="1:19">
      <c r="A1287" s="2992" t="str">
        <f>Sheet1!F1268</f>
        <v>3-1531</v>
      </c>
      <c r="B1287" s="2992">
        <f>Sheet1!G1268</f>
        <v>50.63</v>
      </c>
      <c r="C1287" s="2996">
        <f t="shared" si="200"/>
        <v>1</v>
      </c>
      <c r="D1287" s="2994"/>
      <c r="E1287" s="2996">
        <f t="shared" si="201"/>
        <v>1</v>
      </c>
      <c r="F1287" s="2994"/>
      <c r="G1287" s="2996">
        <f t="shared" si="202"/>
        <v>1</v>
      </c>
      <c r="H1287" s="2994"/>
      <c r="I1287" s="2996">
        <f t="shared" si="203"/>
        <v>1</v>
      </c>
      <c r="J1287" s="2994"/>
      <c r="K1287" s="2996">
        <f t="shared" si="204"/>
        <v>1</v>
      </c>
      <c r="L1287" s="2994"/>
      <c r="M1287" s="2996">
        <f t="shared" si="205"/>
        <v>1</v>
      </c>
      <c r="N1287" s="2994"/>
      <c r="O1287" s="2996">
        <f t="shared" si="206"/>
        <v>1</v>
      </c>
      <c r="P1287" s="2994"/>
      <c r="Q1287" s="2996">
        <f t="shared" si="207"/>
        <v>1</v>
      </c>
      <c r="R1287" s="2997">
        <f t="shared" ca="1" si="208"/>
        <v>17260</v>
      </c>
      <c r="S1287" s="2962">
        <f t="shared" ca="1" si="209"/>
        <v>87</v>
      </c>
    </row>
    <row r="1288" spans="1:19">
      <c r="A1288" s="2992" t="str">
        <f>Sheet1!F1269</f>
        <v>3-1532</v>
      </c>
      <c r="B1288" s="2992">
        <f>Sheet1!G1269</f>
        <v>50.63</v>
      </c>
      <c r="C1288" s="2996">
        <f t="shared" si="200"/>
        <v>1</v>
      </c>
      <c r="D1288" s="2994"/>
      <c r="E1288" s="2996">
        <f t="shared" si="201"/>
        <v>1</v>
      </c>
      <c r="F1288" s="2994"/>
      <c r="G1288" s="2996">
        <f t="shared" si="202"/>
        <v>1</v>
      </c>
      <c r="H1288" s="2994"/>
      <c r="I1288" s="2996">
        <f t="shared" si="203"/>
        <v>1</v>
      </c>
      <c r="J1288" s="2994"/>
      <c r="K1288" s="2996">
        <f t="shared" si="204"/>
        <v>1</v>
      </c>
      <c r="L1288" s="2994"/>
      <c r="M1288" s="2996">
        <f t="shared" si="205"/>
        <v>1</v>
      </c>
      <c r="N1288" s="2994"/>
      <c r="O1288" s="2996">
        <f t="shared" si="206"/>
        <v>1</v>
      </c>
      <c r="P1288" s="2994"/>
      <c r="Q1288" s="2996">
        <f t="shared" si="207"/>
        <v>1</v>
      </c>
      <c r="R1288" s="2997">
        <f t="shared" ca="1" si="208"/>
        <v>17260</v>
      </c>
      <c r="S1288" s="2962">
        <f t="shared" ca="1" si="209"/>
        <v>87</v>
      </c>
    </row>
    <row r="1289" spans="1:19">
      <c r="A1289" s="2992" t="str">
        <f>Sheet1!F1270</f>
        <v>3-1533</v>
      </c>
      <c r="B1289" s="2992">
        <f>Sheet1!G1270</f>
        <v>50.38</v>
      </c>
      <c r="C1289" s="2996">
        <f t="shared" si="200"/>
        <v>1</v>
      </c>
      <c r="D1289" s="2994"/>
      <c r="E1289" s="2996">
        <f t="shared" si="201"/>
        <v>1</v>
      </c>
      <c r="F1289" s="2994"/>
      <c r="G1289" s="2996">
        <f t="shared" si="202"/>
        <v>1</v>
      </c>
      <c r="H1289" s="2994"/>
      <c r="I1289" s="2996">
        <f t="shared" si="203"/>
        <v>1</v>
      </c>
      <c r="J1289" s="2994"/>
      <c r="K1289" s="2996">
        <f t="shared" si="204"/>
        <v>1</v>
      </c>
      <c r="L1289" s="2994"/>
      <c r="M1289" s="2996">
        <f t="shared" si="205"/>
        <v>1</v>
      </c>
      <c r="N1289" s="2994"/>
      <c r="O1289" s="2996">
        <f t="shared" si="206"/>
        <v>1</v>
      </c>
      <c r="P1289" s="2994"/>
      <c r="Q1289" s="2996">
        <f t="shared" si="207"/>
        <v>1</v>
      </c>
      <c r="R1289" s="2997">
        <f t="shared" ca="1" si="208"/>
        <v>17260</v>
      </c>
      <c r="S1289" s="2962">
        <f t="shared" ca="1" si="209"/>
        <v>87</v>
      </c>
    </row>
    <row r="1290" spans="1:19">
      <c r="A1290" s="2992" t="str">
        <f>Sheet1!F1271</f>
        <v>3-1534</v>
      </c>
      <c r="B1290" s="2992">
        <f>Sheet1!G1271</f>
        <v>51.12</v>
      </c>
      <c r="C1290" s="2996">
        <f t="shared" si="200"/>
        <v>1</v>
      </c>
      <c r="D1290" s="2994"/>
      <c r="E1290" s="2996">
        <f t="shared" si="201"/>
        <v>1</v>
      </c>
      <c r="F1290" s="2994"/>
      <c r="G1290" s="2996">
        <f t="shared" si="202"/>
        <v>1</v>
      </c>
      <c r="H1290" s="2994"/>
      <c r="I1290" s="2996">
        <f t="shared" si="203"/>
        <v>1</v>
      </c>
      <c r="J1290" s="2994"/>
      <c r="K1290" s="2996">
        <f t="shared" si="204"/>
        <v>1</v>
      </c>
      <c r="L1290" s="2994"/>
      <c r="M1290" s="2996">
        <f t="shared" si="205"/>
        <v>1</v>
      </c>
      <c r="N1290" s="2994"/>
      <c r="O1290" s="2996">
        <f t="shared" si="206"/>
        <v>1</v>
      </c>
      <c r="P1290" s="2994"/>
      <c r="Q1290" s="2996">
        <f t="shared" si="207"/>
        <v>1</v>
      </c>
      <c r="R1290" s="2997">
        <f t="shared" ca="1" si="208"/>
        <v>17260</v>
      </c>
      <c r="S1290" s="2962">
        <f t="shared" ca="1" si="209"/>
        <v>88</v>
      </c>
    </row>
    <row r="1291" spans="1:19">
      <c r="A1291" s="2992" t="str">
        <f>Sheet1!F1272</f>
        <v>3-1535</v>
      </c>
      <c r="B1291" s="2992">
        <f>Sheet1!G1272</f>
        <v>68.760000000000005</v>
      </c>
      <c r="C1291" s="2996">
        <f t="shared" si="200"/>
        <v>1</v>
      </c>
      <c r="D1291" s="2994"/>
      <c r="E1291" s="2996">
        <f t="shared" si="201"/>
        <v>1</v>
      </c>
      <c r="F1291" s="2994"/>
      <c r="G1291" s="2996">
        <f t="shared" si="202"/>
        <v>1</v>
      </c>
      <c r="H1291" s="2994"/>
      <c r="I1291" s="2996">
        <f t="shared" si="203"/>
        <v>1</v>
      </c>
      <c r="J1291" s="2994"/>
      <c r="K1291" s="2996">
        <f t="shared" si="204"/>
        <v>1</v>
      </c>
      <c r="L1291" s="2994"/>
      <c r="M1291" s="2996">
        <f t="shared" si="205"/>
        <v>1</v>
      </c>
      <c r="N1291" s="2994"/>
      <c r="O1291" s="2996">
        <f t="shared" si="206"/>
        <v>1</v>
      </c>
      <c r="P1291" s="2994"/>
      <c r="Q1291" s="2996">
        <f t="shared" si="207"/>
        <v>1</v>
      </c>
      <c r="R1291" s="2997">
        <f t="shared" ca="1" si="208"/>
        <v>17260</v>
      </c>
      <c r="S1291" s="2962">
        <f t="shared" ca="1" si="209"/>
        <v>119</v>
      </c>
    </row>
    <row r="1292" spans="1:19">
      <c r="A1292" s="2992" t="str">
        <f>Sheet1!F1273</f>
        <v>3-1536</v>
      </c>
      <c r="B1292" s="2992">
        <f>Sheet1!G1273</f>
        <v>69.319999999999993</v>
      </c>
      <c r="C1292" s="2996">
        <f t="shared" si="200"/>
        <v>1</v>
      </c>
      <c r="D1292" s="2994"/>
      <c r="E1292" s="2996">
        <f t="shared" si="201"/>
        <v>1</v>
      </c>
      <c r="F1292" s="2994"/>
      <c r="G1292" s="2996">
        <f t="shared" si="202"/>
        <v>1</v>
      </c>
      <c r="H1292" s="2994"/>
      <c r="I1292" s="2996">
        <f t="shared" si="203"/>
        <v>1</v>
      </c>
      <c r="J1292" s="2994"/>
      <c r="K1292" s="2996">
        <f t="shared" si="204"/>
        <v>1</v>
      </c>
      <c r="L1292" s="2994"/>
      <c r="M1292" s="2996">
        <f t="shared" si="205"/>
        <v>1</v>
      </c>
      <c r="N1292" s="2994"/>
      <c r="O1292" s="2996">
        <f t="shared" si="206"/>
        <v>1</v>
      </c>
      <c r="P1292" s="2994"/>
      <c r="Q1292" s="2996">
        <f t="shared" si="207"/>
        <v>1</v>
      </c>
      <c r="R1292" s="2997">
        <f t="shared" ca="1" si="208"/>
        <v>17260</v>
      </c>
      <c r="S1292" s="2962">
        <f t="shared" ca="1" si="209"/>
        <v>120</v>
      </c>
    </row>
    <row r="1293" spans="1:19">
      <c r="A1293" s="2992" t="str">
        <f>Sheet1!F1274</f>
        <v>3-1537</v>
      </c>
      <c r="B1293" s="2992">
        <f>Sheet1!G1274</f>
        <v>61.41</v>
      </c>
      <c r="C1293" s="2996">
        <f t="shared" ref="C1293:C1356" si="210">IF(B1293="",1,(LOOKUP(B1293,$3:$3,$4:$4)-LOOKUP($B$24,$3:$3,$4:$4)+100)/100)</f>
        <v>1</v>
      </c>
      <c r="D1293" s="2994"/>
      <c r="E1293" s="2996">
        <f t="shared" ref="E1293:E1356" si="211">(SUMIF($5:$5,D1293,$6:$6)-SUMIF($5:$5,$D$24,$6:$6)+100)/100</f>
        <v>1</v>
      </c>
      <c r="F1293" s="2994"/>
      <c r="G1293" s="2996">
        <f t="shared" ref="G1293:G1356" si="212">(SUMIF($7:$7,F1293,$8:$8)-SUMIF($7:$7,$F$24,$8:$8)+100)/100</f>
        <v>1</v>
      </c>
      <c r="H1293" s="2994"/>
      <c r="I1293" s="2996">
        <f t="shared" ref="I1293:I1356" si="213">(SUMIF($9:$9,H1293,$10:$10)-SUMIF($9:$9,$H$24,$10:$10)+100)/100</f>
        <v>1</v>
      </c>
      <c r="J1293" s="2994"/>
      <c r="K1293" s="2996">
        <f t="shared" ref="K1293:K1356" si="214">(SUMIF($11:$11,J1293,$12:$12)-SUMIF($11:$11,$J$24,$12:$12)+100)/100</f>
        <v>1</v>
      </c>
      <c r="L1293" s="2994"/>
      <c r="M1293" s="2996">
        <f t="shared" ref="M1293:M1356" si="215">(SUMIF($13:$13,L1293,$14:$14)-SUMIF($13:$13,$L$24,$14:$14)+100)/100</f>
        <v>1</v>
      </c>
      <c r="N1293" s="2994"/>
      <c r="O1293" s="2996">
        <f t="shared" ref="O1293:O1356" si="216">(SUMIF($15:$15,N1293,$16:$16)-SUMIF($15:$15,$N$24,$16:$16)+100)/100</f>
        <v>1</v>
      </c>
      <c r="P1293" s="2994"/>
      <c r="Q1293" s="2996">
        <f t="shared" ref="Q1293:Q1356" si="217">(SUMIF($17:$17,P1293,$18:$18)-SUMIF($17:$17,$P$24,$18:$18)+100)/100</f>
        <v>1</v>
      </c>
      <c r="R1293" s="2997">
        <f t="shared" ref="R1293:R1356" ca="1" si="218">IF(B1293="",0,ROUND($R$24*C1293*E1293*G1293*I1293*K1293*M1293*O1293*Q1293,0))</f>
        <v>17260</v>
      </c>
      <c r="S1293" s="2962">
        <f t="shared" ref="S1293:S1356" ca="1" si="219">ROUND(R1293*B1293/10000,0)</f>
        <v>106</v>
      </c>
    </row>
    <row r="1294" spans="1:19">
      <c r="A1294" s="2992" t="str">
        <f>Sheet1!F1275</f>
        <v>3-1538</v>
      </c>
      <c r="B1294" s="2992">
        <f>Sheet1!G1275</f>
        <v>61.41</v>
      </c>
      <c r="C1294" s="2996">
        <f t="shared" si="210"/>
        <v>1</v>
      </c>
      <c r="D1294" s="2994"/>
      <c r="E1294" s="2996">
        <f t="shared" si="211"/>
        <v>1</v>
      </c>
      <c r="F1294" s="2994"/>
      <c r="G1294" s="2996">
        <f t="shared" si="212"/>
        <v>1</v>
      </c>
      <c r="H1294" s="2994"/>
      <c r="I1294" s="2996">
        <f t="shared" si="213"/>
        <v>1</v>
      </c>
      <c r="J1294" s="2994"/>
      <c r="K1294" s="2996">
        <f t="shared" si="214"/>
        <v>1</v>
      </c>
      <c r="L1294" s="2994"/>
      <c r="M1294" s="2996">
        <f t="shared" si="215"/>
        <v>1</v>
      </c>
      <c r="N1294" s="2994"/>
      <c r="O1294" s="2996">
        <f t="shared" si="216"/>
        <v>1</v>
      </c>
      <c r="P1294" s="2994"/>
      <c r="Q1294" s="2996">
        <f t="shared" si="217"/>
        <v>1</v>
      </c>
      <c r="R1294" s="2997">
        <f t="shared" ca="1" si="218"/>
        <v>17260</v>
      </c>
      <c r="S1294" s="2962">
        <f t="shared" ca="1" si="219"/>
        <v>106</v>
      </c>
    </row>
    <row r="1295" spans="1:19">
      <c r="A1295" s="2992" t="str">
        <f>Sheet1!F1276</f>
        <v>3-1539</v>
      </c>
      <c r="B1295" s="2992">
        <f>Sheet1!G1276</f>
        <v>61.41</v>
      </c>
      <c r="C1295" s="2996">
        <f t="shared" si="210"/>
        <v>1</v>
      </c>
      <c r="D1295" s="2994"/>
      <c r="E1295" s="2996">
        <f t="shared" si="211"/>
        <v>1</v>
      </c>
      <c r="F1295" s="2994"/>
      <c r="G1295" s="2996">
        <f t="shared" si="212"/>
        <v>1</v>
      </c>
      <c r="H1295" s="2994"/>
      <c r="I1295" s="2996">
        <f t="shared" si="213"/>
        <v>1</v>
      </c>
      <c r="J1295" s="2994"/>
      <c r="K1295" s="2996">
        <f t="shared" si="214"/>
        <v>1</v>
      </c>
      <c r="L1295" s="2994"/>
      <c r="M1295" s="2996">
        <f t="shared" si="215"/>
        <v>1</v>
      </c>
      <c r="N1295" s="2994"/>
      <c r="O1295" s="2996">
        <f t="shared" si="216"/>
        <v>1</v>
      </c>
      <c r="P1295" s="2994"/>
      <c r="Q1295" s="2996">
        <f t="shared" si="217"/>
        <v>1</v>
      </c>
      <c r="R1295" s="2997">
        <f t="shared" ca="1" si="218"/>
        <v>17260</v>
      </c>
      <c r="S1295" s="2962">
        <f t="shared" ca="1" si="219"/>
        <v>106</v>
      </c>
    </row>
    <row r="1296" spans="1:19">
      <c r="A1296" s="2992" t="str">
        <f>Sheet1!F1277</f>
        <v>3-1540</v>
      </c>
      <c r="B1296" s="2992">
        <f>Sheet1!G1277</f>
        <v>61.41</v>
      </c>
      <c r="C1296" s="2996">
        <f t="shared" si="210"/>
        <v>1</v>
      </c>
      <c r="D1296" s="2994"/>
      <c r="E1296" s="2996">
        <f t="shared" si="211"/>
        <v>1</v>
      </c>
      <c r="F1296" s="2994"/>
      <c r="G1296" s="2996">
        <f t="shared" si="212"/>
        <v>1</v>
      </c>
      <c r="H1296" s="2994"/>
      <c r="I1296" s="2996">
        <f t="shared" si="213"/>
        <v>1</v>
      </c>
      <c r="J1296" s="2994"/>
      <c r="K1296" s="2996">
        <f t="shared" si="214"/>
        <v>1</v>
      </c>
      <c r="L1296" s="2994"/>
      <c r="M1296" s="2996">
        <f t="shared" si="215"/>
        <v>1</v>
      </c>
      <c r="N1296" s="2994"/>
      <c r="O1296" s="2996">
        <f t="shared" si="216"/>
        <v>1</v>
      </c>
      <c r="P1296" s="2994"/>
      <c r="Q1296" s="2996">
        <f t="shared" si="217"/>
        <v>1</v>
      </c>
      <c r="R1296" s="2997">
        <f t="shared" ca="1" si="218"/>
        <v>17260</v>
      </c>
      <c r="S1296" s="2962">
        <f t="shared" ca="1" si="219"/>
        <v>106</v>
      </c>
    </row>
    <row r="1297" spans="1:19">
      <c r="A1297" s="2992" t="str">
        <f>Sheet1!F1278</f>
        <v>3-1541</v>
      </c>
      <c r="B1297" s="2992">
        <f>Sheet1!G1278</f>
        <v>61.41</v>
      </c>
      <c r="C1297" s="2996">
        <f t="shared" si="210"/>
        <v>1</v>
      </c>
      <c r="D1297" s="2994"/>
      <c r="E1297" s="2996">
        <f t="shared" si="211"/>
        <v>1</v>
      </c>
      <c r="F1297" s="2994"/>
      <c r="G1297" s="2996">
        <f t="shared" si="212"/>
        <v>1</v>
      </c>
      <c r="H1297" s="2994"/>
      <c r="I1297" s="2996">
        <f t="shared" si="213"/>
        <v>1</v>
      </c>
      <c r="J1297" s="2994"/>
      <c r="K1297" s="2996">
        <f t="shared" si="214"/>
        <v>1</v>
      </c>
      <c r="L1297" s="2994"/>
      <c r="M1297" s="2996">
        <f t="shared" si="215"/>
        <v>1</v>
      </c>
      <c r="N1297" s="2994"/>
      <c r="O1297" s="2996">
        <f t="shared" si="216"/>
        <v>1</v>
      </c>
      <c r="P1297" s="2994"/>
      <c r="Q1297" s="2996">
        <f t="shared" si="217"/>
        <v>1</v>
      </c>
      <c r="R1297" s="2997">
        <f t="shared" ca="1" si="218"/>
        <v>17260</v>
      </c>
      <c r="S1297" s="2962">
        <f t="shared" ca="1" si="219"/>
        <v>106</v>
      </c>
    </row>
    <row r="1298" spans="1:19">
      <c r="A1298" s="2992" t="str">
        <f>Sheet1!F1279</f>
        <v>3-1542</v>
      </c>
      <c r="B1298" s="2992">
        <f>Sheet1!G1279</f>
        <v>72.87</v>
      </c>
      <c r="C1298" s="2996">
        <f t="shared" si="210"/>
        <v>1</v>
      </c>
      <c r="D1298" s="2994"/>
      <c r="E1298" s="2996">
        <f t="shared" si="211"/>
        <v>1</v>
      </c>
      <c r="F1298" s="2994"/>
      <c r="G1298" s="2996">
        <f t="shared" si="212"/>
        <v>1</v>
      </c>
      <c r="H1298" s="2994"/>
      <c r="I1298" s="2996">
        <f t="shared" si="213"/>
        <v>1</v>
      </c>
      <c r="J1298" s="2994"/>
      <c r="K1298" s="2996">
        <f t="shared" si="214"/>
        <v>1</v>
      </c>
      <c r="L1298" s="2994"/>
      <c r="M1298" s="2996">
        <f t="shared" si="215"/>
        <v>1</v>
      </c>
      <c r="N1298" s="2994"/>
      <c r="O1298" s="2996">
        <f t="shared" si="216"/>
        <v>1</v>
      </c>
      <c r="P1298" s="2994"/>
      <c r="Q1298" s="2996">
        <f t="shared" si="217"/>
        <v>1</v>
      </c>
      <c r="R1298" s="2997">
        <f t="shared" ca="1" si="218"/>
        <v>17260</v>
      </c>
      <c r="S1298" s="2962">
        <f t="shared" ca="1" si="219"/>
        <v>126</v>
      </c>
    </row>
    <row r="1299" spans="1:19">
      <c r="A1299" s="2992" t="str">
        <f>Sheet1!F1280</f>
        <v>3-1543</v>
      </c>
      <c r="B1299" s="2992">
        <f>Sheet1!G1280</f>
        <v>81.069999999999993</v>
      </c>
      <c r="C1299" s="2996">
        <f t="shared" si="210"/>
        <v>1</v>
      </c>
      <c r="D1299" s="2994"/>
      <c r="E1299" s="2996">
        <f t="shared" si="211"/>
        <v>1</v>
      </c>
      <c r="F1299" s="2994"/>
      <c r="G1299" s="2996">
        <f t="shared" si="212"/>
        <v>1</v>
      </c>
      <c r="H1299" s="2994"/>
      <c r="I1299" s="2996">
        <f t="shared" si="213"/>
        <v>1</v>
      </c>
      <c r="J1299" s="2994"/>
      <c r="K1299" s="2996">
        <f t="shared" si="214"/>
        <v>1</v>
      </c>
      <c r="L1299" s="2994"/>
      <c r="M1299" s="2996">
        <f t="shared" si="215"/>
        <v>1</v>
      </c>
      <c r="N1299" s="2994"/>
      <c r="O1299" s="2996">
        <f t="shared" si="216"/>
        <v>1</v>
      </c>
      <c r="P1299" s="2994"/>
      <c r="Q1299" s="2996">
        <f t="shared" si="217"/>
        <v>1</v>
      </c>
      <c r="R1299" s="2997">
        <f t="shared" ca="1" si="218"/>
        <v>17260</v>
      </c>
      <c r="S1299" s="2962">
        <f t="shared" ca="1" si="219"/>
        <v>140</v>
      </c>
    </row>
    <row r="1300" spans="1:19">
      <c r="A1300" s="2992" t="str">
        <f>Sheet1!F1281</f>
        <v>3-1544</v>
      </c>
      <c r="B1300" s="2992">
        <f>Sheet1!G1281</f>
        <v>61.41</v>
      </c>
      <c r="C1300" s="2996">
        <f t="shared" si="210"/>
        <v>1</v>
      </c>
      <c r="D1300" s="2994"/>
      <c r="E1300" s="2996">
        <f t="shared" si="211"/>
        <v>1</v>
      </c>
      <c r="F1300" s="2994"/>
      <c r="G1300" s="2996">
        <f t="shared" si="212"/>
        <v>1</v>
      </c>
      <c r="H1300" s="2994"/>
      <c r="I1300" s="2996">
        <f t="shared" si="213"/>
        <v>1</v>
      </c>
      <c r="J1300" s="2994"/>
      <c r="K1300" s="2996">
        <f t="shared" si="214"/>
        <v>1</v>
      </c>
      <c r="L1300" s="2994"/>
      <c r="M1300" s="2996">
        <f t="shared" si="215"/>
        <v>1</v>
      </c>
      <c r="N1300" s="2994"/>
      <c r="O1300" s="2996">
        <f t="shared" si="216"/>
        <v>1</v>
      </c>
      <c r="P1300" s="2994"/>
      <c r="Q1300" s="2996">
        <f t="shared" si="217"/>
        <v>1</v>
      </c>
      <c r="R1300" s="2997">
        <f t="shared" ca="1" si="218"/>
        <v>17260</v>
      </c>
      <c r="S1300" s="2962">
        <f t="shared" ca="1" si="219"/>
        <v>106</v>
      </c>
    </row>
    <row r="1301" spans="1:19">
      <c r="A1301" s="2992" t="str">
        <f>Sheet1!F1282</f>
        <v>3-1545</v>
      </c>
      <c r="B1301" s="2992">
        <f>Sheet1!G1282</f>
        <v>54.6</v>
      </c>
      <c r="C1301" s="2996">
        <f t="shared" si="210"/>
        <v>1</v>
      </c>
      <c r="D1301" s="2994"/>
      <c r="E1301" s="2996">
        <f t="shared" si="211"/>
        <v>1</v>
      </c>
      <c r="F1301" s="2994"/>
      <c r="G1301" s="2996">
        <f t="shared" si="212"/>
        <v>1</v>
      </c>
      <c r="H1301" s="2994"/>
      <c r="I1301" s="2996">
        <f t="shared" si="213"/>
        <v>1</v>
      </c>
      <c r="J1301" s="2994"/>
      <c r="K1301" s="2996">
        <f t="shared" si="214"/>
        <v>1</v>
      </c>
      <c r="L1301" s="2994"/>
      <c r="M1301" s="2996">
        <f t="shared" si="215"/>
        <v>1</v>
      </c>
      <c r="N1301" s="2994"/>
      <c r="O1301" s="2996">
        <f t="shared" si="216"/>
        <v>1</v>
      </c>
      <c r="P1301" s="2994"/>
      <c r="Q1301" s="2996">
        <f t="shared" si="217"/>
        <v>1</v>
      </c>
      <c r="R1301" s="2997">
        <f t="shared" ca="1" si="218"/>
        <v>17260</v>
      </c>
      <c r="S1301" s="2962">
        <f t="shared" ca="1" si="219"/>
        <v>94</v>
      </c>
    </row>
    <row r="1302" spans="1:19">
      <c r="A1302" s="2992" t="str">
        <f>Sheet1!F1283</f>
        <v>3-1546</v>
      </c>
      <c r="B1302" s="2992">
        <f>Sheet1!G1283</f>
        <v>71.23</v>
      </c>
      <c r="C1302" s="2996">
        <f t="shared" si="210"/>
        <v>1</v>
      </c>
      <c r="D1302" s="2994"/>
      <c r="E1302" s="2996">
        <f t="shared" si="211"/>
        <v>1</v>
      </c>
      <c r="F1302" s="2994"/>
      <c r="G1302" s="2996">
        <f t="shared" si="212"/>
        <v>1</v>
      </c>
      <c r="H1302" s="2994"/>
      <c r="I1302" s="2996">
        <f t="shared" si="213"/>
        <v>1</v>
      </c>
      <c r="J1302" s="2994"/>
      <c r="K1302" s="2996">
        <f t="shared" si="214"/>
        <v>1</v>
      </c>
      <c r="L1302" s="2994"/>
      <c r="M1302" s="2996">
        <f t="shared" si="215"/>
        <v>1</v>
      </c>
      <c r="N1302" s="2994"/>
      <c r="O1302" s="2996">
        <f t="shared" si="216"/>
        <v>1</v>
      </c>
      <c r="P1302" s="2994"/>
      <c r="Q1302" s="2996">
        <f t="shared" si="217"/>
        <v>1</v>
      </c>
      <c r="R1302" s="2997">
        <f t="shared" ca="1" si="218"/>
        <v>17260</v>
      </c>
      <c r="S1302" s="2962">
        <f t="shared" ca="1" si="219"/>
        <v>123</v>
      </c>
    </row>
    <row r="1303" spans="1:19">
      <c r="A1303" s="2992" t="str">
        <f>Sheet1!F1284</f>
        <v>3-1547</v>
      </c>
      <c r="B1303" s="2992">
        <f>Sheet1!G1284</f>
        <v>61.41</v>
      </c>
      <c r="C1303" s="2996">
        <f t="shared" si="210"/>
        <v>1</v>
      </c>
      <c r="D1303" s="2994"/>
      <c r="E1303" s="2996">
        <f t="shared" si="211"/>
        <v>1</v>
      </c>
      <c r="F1303" s="2994"/>
      <c r="G1303" s="2996">
        <f t="shared" si="212"/>
        <v>1</v>
      </c>
      <c r="H1303" s="2994"/>
      <c r="I1303" s="2996">
        <f t="shared" si="213"/>
        <v>1</v>
      </c>
      <c r="J1303" s="2994"/>
      <c r="K1303" s="2996">
        <f t="shared" si="214"/>
        <v>1</v>
      </c>
      <c r="L1303" s="2994"/>
      <c r="M1303" s="2996">
        <f t="shared" si="215"/>
        <v>1</v>
      </c>
      <c r="N1303" s="2994"/>
      <c r="O1303" s="2996">
        <f t="shared" si="216"/>
        <v>1</v>
      </c>
      <c r="P1303" s="2994"/>
      <c r="Q1303" s="2996">
        <f t="shared" si="217"/>
        <v>1</v>
      </c>
      <c r="R1303" s="2997">
        <f t="shared" ca="1" si="218"/>
        <v>17260</v>
      </c>
      <c r="S1303" s="2962">
        <f t="shared" ca="1" si="219"/>
        <v>106</v>
      </c>
    </row>
    <row r="1304" spans="1:19">
      <c r="A1304" s="2992" t="str">
        <f>Sheet1!F1285</f>
        <v>3-1548</v>
      </c>
      <c r="B1304" s="2992">
        <f>Sheet1!G1285</f>
        <v>61.41</v>
      </c>
      <c r="C1304" s="2996">
        <f t="shared" si="210"/>
        <v>1</v>
      </c>
      <c r="D1304" s="2994"/>
      <c r="E1304" s="2996">
        <f t="shared" si="211"/>
        <v>1</v>
      </c>
      <c r="F1304" s="2994"/>
      <c r="G1304" s="2996">
        <f t="shared" si="212"/>
        <v>1</v>
      </c>
      <c r="H1304" s="2994"/>
      <c r="I1304" s="2996">
        <f t="shared" si="213"/>
        <v>1</v>
      </c>
      <c r="J1304" s="2994"/>
      <c r="K1304" s="2996">
        <f t="shared" si="214"/>
        <v>1</v>
      </c>
      <c r="L1304" s="2994"/>
      <c r="M1304" s="2996">
        <f t="shared" si="215"/>
        <v>1</v>
      </c>
      <c r="N1304" s="2994"/>
      <c r="O1304" s="2996">
        <f t="shared" si="216"/>
        <v>1</v>
      </c>
      <c r="P1304" s="2994"/>
      <c r="Q1304" s="2996">
        <f t="shared" si="217"/>
        <v>1</v>
      </c>
      <c r="R1304" s="2997">
        <f t="shared" ca="1" si="218"/>
        <v>17260</v>
      </c>
      <c r="S1304" s="2962">
        <f t="shared" ca="1" si="219"/>
        <v>106</v>
      </c>
    </row>
    <row r="1305" spans="1:19">
      <c r="A1305" s="2992" t="str">
        <f>Sheet1!F1286</f>
        <v>3-1549</v>
      </c>
      <c r="B1305" s="2992">
        <f>Sheet1!G1286</f>
        <v>61.41</v>
      </c>
      <c r="C1305" s="2996">
        <f t="shared" si="210"/>
        <v>1</v>
      </c>
      <c r="D1305" s="2994"/>
      <c r="E1305" s="2996">
        <f t="shared" si="211"/>
        <v>1</v>
      </c>
      <c r="F1305" s="2994"/>
      <c r="G1305" s="2996">
        <f t="shared" si="212"/>
        <v>1</v>
      </c>
      <c r="H1305" s="2994"/>
      <c r="I1305" s="2996">
        <f t="shared" si="213"/>
        <v>1</v>
      </c>
      <c r="J1305" s="2994"/>
      <c r="K1305" s="2996">
        <f t="shared" si="214"/>
        <v>1</v>
      </c>
      <c r="L1305" s="2994"/>
      <c r="M1305" s="2996">
        <f t="shared" si="215"/>
        <v>1</v>
      </c>
      <c r="N1305" s="2994"/>
      <c r="O1305" s="2996">
        <f t="shared" si="216"/>
        <v>1</v>
      </c>
      <c r="P1305" s="2994"/>
      <c r="Q1305" s="2996">
        <f t="shared" si="217"/>
        <v>1</v>
      </c>
      <c r="R1305" s="2997">
        <f t="shared" ca="1" si="218"/>
        <v>17260</v>
      </c>
      <c r="S1305" s="2962">
        <f t="shared" ca="1" si="219"/>
        <v>106</v>
      </c>
    </row>
    <row r="1306" spans="1:19">
      <c r="A1306" s="2992" t="str">
        <f>Sheet1!F1287</f>
        <v>3-1550</v>
      </c>
      <c r="B1306" s="2992">
        <f>Sheet1!G1287</f>
        <v>61.88</v>
      </c>
      <c r="C1306" s="2996">
        <f t="shared" si="210"/>
        <v>1</v>
      </c>
      <c r="D1306" s="2994"/>
      <c r="E1306" s="2996">
        <f t="shared" si="211"/>
        <v>1</v>
      </c>
      <c r="F1306" s="2994"/>
      <c r="G1306" s="2996">
        <f t="shared" si="212"/>
        <v>1</v>
      </c>
      <c r="H1306" s="2994"/>
      <c r="I1306" s="2996">
        <f t="shared" si="213"/>
        <v>1</v>
      </c>
      <c r="J1306" s="2994"/>
      <c r="K1306" s="2996">
        <f t="shared" si="214"/>
        <v>1</v>
      </c>
      <c r="L1306" s="2994"/>
      <c r="M1306" s="2996">
        <f t="shared" si="215"/>
        <v>1</v>
      </c>
      <c r="N1306" s="2994"/>
      <c r="O1306" s="2996">
        <f t="shared" si="216"/>
        <v>1</v>
      </c>
      <c r="P1306" s="2994"/>
      <c r="Q1306" s="2996">
        <f t="shared" si="217"/>
        <v>1</v>
      </c>
      <c r="R1306" s="2997">
        <f t="shared" ca="1" si="218"/>
        <v>17260</v>
      </c>
      <c r="S1306" s="2962">
        <f t="shared" ca="1" si="219"/>
        <v>107</v>
      </c>
    </row>
    <row r="1307" spans="1:19">
      <c r="A1307" s="2992" t="str">
        <f>Sheet1!F1288</f>
        <v>3-1551</v>
      </c>
      <c r="B1307" s="2992">
        <f>Sheet1!G1288</f>
        <v>58.8</v>
      </c>
      <c r="C1307" s="2996">
        <f t="shared" si="210"/>
        <v>1</v>
      </c>
      <c r="D1307" s="2994"/>
      <c r="E1307" s="2996">
        <f t="shared" si="211"/>
        <v>1</v>
      </c>
      <c r="F1307" s="2994"/>
      <c r="G1307" s="2996">
        <f t="shared" si="212"/>
        <v>1</v>
      </c>
      <c r="H1307" s="2994"/>
      <c r="I1307" s="2996">
        <f t="shared" si="213"/>
        <v>1</v>
      </c>
      <c r="J1307" s="2994"/>
      <c r="K1307" s="2996">
        <f t="shared" si="214"/>
        <v>1</v>
      </c>
      <c r="L1307" s="2994"/>
      <c r="M1307" s="2996">
        <f t="shared" si="215"/>
        <v>1</v>
      </c>
      <c r="N1307" s="2994"/>
      <c r="O1307" s="2996">
        <f t="shared" si="216"/>
        <v>1</v>
      </c>
      <c r="P1307" s="2994"/>
      <c r="Q1307" s="2996">
        <f t="shared" si="217"/>
        <v>1</v>
      </c>
      <c r="R1307" s="2997">
        <f t="shared" ca="1" si="218"/>
        <v>17260</v>
      </c>
      <c r="S1307" s="2962">
        <f t="shared" ca="1" si="219"/>
        <v>101</v>
      </c>
    </row>
    <row r="1308" spans="1:19">
      <c r="A1308" s="2992" t="str">
        <f>Sheet1!F1289</f>
        <v>3-1552</v>
      </c>
      <c r="B1308" s="2992">
        <f>Sheet1!G1289</f>
        <v>60.21</v>
      </c>
      <c r="C1308" s="2996">
        <f t="shared" si="210"/>
        <v>1</v>
      </c>
      <c r="D1308" s="2994"/>
      <c r="E1308" s="2996">
        <f t="shared" si="211"/>
        <v>1</v>
      </c>
      <c r="F1308" s="2994"/>
      <c r="G1308" s="2996">
        <f t="shared" si="212"/>
        <v>1</v>
      </c>
      <c r="H1308" s="2994"/>
      <c r="I1308" s="2996">
        <f t="shared" si="213"/>
        <v>1</v>
      </c>
      <c r="J1308" s="2994"/>
      <c r="K1308" s="2996">
        <f t="shared" si="214"/>
        <v>1</v>
      </c>
      <c r="L1308" s="2994"/>
      <c r="M1308" s="2996">
        <f t="shared" si="215"/>
        <v>1</v>
      </c>
      <c r="N1308" s="2994"/>
      <c r="O1308" s="2996">
        <f t="shared" si="216"/>
        <v>1</v>
      </c>
      <c r="P1308" s="2994"/>
      <c r="Q1308" s="2996">
        <f t="shared" si="217"/>
        <v>1</v>
      </c>
      <c r="R1308" s="2997">
        <f t="shared" ca="1" si="218"/>
        <v>17260</v>
      </c>
      <c r="S1308" s="2962">
        <f t="shared" ca="1" si="219"/>
        <v>104</v>
      </c>
    </row>
    <row r="1309" spans="1:19">
      <c r="A1309" s="2992" t="str">
        <f>Sheet1!F1290</f>
        <v>4-1501</v>
      </c>
      <c r="B1309" s="2992">
        <f>Sheet1!G1290</f>
        <v>65.760000000000005</v>
      </c>
      <c r="C1309" s="2996">
        <f t="shared" si="210"/>
        <v>1</v>
      </c>
      <c r="D1309" s="2994"/>
      <c r="E1309" s="2996">
        <f t="shared" si="211"/>
        <v>1</v>
      </c>
      <c r="F1309" s="2994"/>
      <c r="G1309" s="2996">
        <f t="shared" si="212"/>
        <v>1</v>
      </c>
      <c r="H1309" s="2994"/>
      <c r="I1309" s="2996">
        <f t="shared" si="213"/>
        <v>1</v>
      </c>
      <c r="J1309" s="2994"/>
      <c r="K1309" s="2996">
        <f t="shared" si="214"/>
        <v>1</v>
      </c>
      <c r="L1309" s="2994"/>
      <c r="M1309" s="2996">
        <f t="shared" si="215"/>
        <v>1</v>
      </c>
      <c r="N1309" s="2994"/>
      <c r="O1309" s="2996">
        <f t="shared" si="216"/>
        <v>1</v>
      </c>
      <c r="P1309" s="2994"/>
      <c r="Q1309" s="2996">
        <f t="shared" si="217"/>
        <v>1</v>
      </c>
      <c r="R1309" s="2997">
        <f t="shared" ca="1" si="218"/>
        <v>17260</v>
      </c>
      <c r="S1309" s="2962">
        <f t="shared" ca="1" si="219"/>
        <v>114</v>
      </c>
    </row>
    <row r="1310" spans="1:19">
      <c r="A1310" s="2992" t="str">
        <f>Sheet1!F1291</f>
        <v>4-1502</v>
      </c>
      <c r="B1310" s="2992">
        <f>Sheet1!G1291</f>
        <v>59.41</v>
      </c>
      <c r="C1310" s="2996">
        <f t="shared" si="210"/>
        <v>1</v>
      </c>
      <c r="D1310" s="2994"/>
      <c r="E1310" s="2996">
        <f t="shared" si="211"/>
        <v>1</v>
      </c>
      <c r="F1310" s="2994"/>
      <c r="G1310" s="2996">
        <f t="shared" si="212"/>
        <v>1</v>
      </c>
      <c r="H1310" s="2994"/>
      <c r="I1310" s="2996">
        <f t="shared" si="213"/>
        <v>1</v>
      </c>
      <c r="J1310" s="2994"/>
      <c r="K1310" s="2996">
        <f t="shared" si="214"/>
        <v>1</v>
      </c>
      <c r="L1310" s="2994"/>
      <c r="M1310" s="2996">
        <f t="shared" si="215"/>
        <v>1</v>
      </c>
      <c r="N1310" s="2994"/>
      <c r="O1310" s="2996">
        <f t="shared" si="216"/>
        <v>1</v>
      </c>
      <c r="P1310" s="2994"/>
      <c r="Q1310" s="2996">
        <f t="shared" si="217"/>
        <v>1</v>
      </c>
      <c r="R1310" s="2997">
        <f t="shared" ca="1" si="218"/>
        <v>17260</v>
      </c>
      <c r="S1310" s="2962">
        <f t="shared" ca="1" si="219"/>
        <v>103</v>
      </c>
    </row>
    <row r="1311" spans="1:19">
      <c r="A1311" s="2992" t="str">
        <f>Sheet1!F1292</f>
        <v>4-1503</v>
      </c>
      <c r="B1311" s="2992">
        <f>Sheet1!G1292</f>
        <v>60.69</v>
      </c>
      <c r="C1311" s="2996">
        <f t="shared" si="210"/>
        <v>1</v>
      </c>
      <c r="D1311" s="2994"/>
      <c r="E1311" s="2996">
        <f t="shared" si="211"/>
        <v>1</v>
      </c>
      <c r="F1311" s="2994"/>
      <c r="G1311" s="2996">
        <f t="shared" si="212"/>
        <v>1</v>
      </c>
      <c r="H1311" s="2994"/>
      <c r="I1311" s="2996">
        <f t="shared" si="213"/>
        <v>1</v>
      </c>
      <c r="J1311" s="2994"/>
      <c r="K1311" s="2996">
        <f t="shared" si="214"/>
        <v>1</v>
      </c>
      <c r="L1311" s="2994"/>
      <c r="M1311" s="2996">
        <f t="shared" si="215"/>
        <v>1</v>
      </c>
      <c r="N1311" s="2994"/>
      <c r="O1311" s="2996">
        <f t="shared" si="216"/>
        <v>1</v>
      </c>
      <c r="P1311" s="2994"/>
      <c r="Q1311" s="2996">
        <f t="shared" si="217"/>
        <v>1</v>
      </c>
      <c r="R1311" s="2997">
        <f t="shared" ca="1" si="218"/>
        <v>17260</v>
      </c>
      <c r="S1311" s="2962">
        <f t="shared" ca="1" si="219"/>
        <v>105</v>
      </c>
    </row>
    <row r="1312" spans="1:19">
      <c r="A1312" s="2992" t="str">
        <f>Sheet1!F1293</f>
        <v>4-1504</v>
      </c>
      <c r="B1312" s="2992">
        <f>Sheet1!G1293</f>
        <v>60.69</v>
      </c>
      <c r="C1312" s="2996">
        <f t="shared" si="210"/>
        <v>1</v>
      </c>
      <c r="D1312" s="2994"/>
      <c r="E1312" s="2996">
        <f t="shared" si="211"/>
        <v>1</v>
      </c>
      <c r="F1312" s="2994"/>
      <c r="G1312" s="2996">
        <f t="shared" si="212"/>
        <v>1</v>
      </c>
      <c r="H1312" s="2994"/>
      <c r="I1312" s="2996">
        <f t="shared" si="213"/>
        <v>1</v>
      </c>
      <c r="J1312" s="2994"/>
      <c r="K1312" s="2996">
        <f t="shared" si="214"/>
        <v>1</v>
      </c>
      <c r="L1312" s="2994"/>
      <c r="M1312" s="2996">
        <f t="shared" si="215"/>
        <v>1</v>
      </c>
      <c r="N1312" s="2994"/>
      <c r="O1312" s="2996">
        <f t="shared" si="216"/>
        <v>1</v>
      </c>
      <c r="P1312" s="2994"/>
      <c r="Q1312" s="2996">
        <f t="shared" si="217"/>
        <v>1</v>
      </c>
      <c r="R1312" s="2997">
        <f t="shared" ca="1" si="218"/>
        <v>17260</v>
      </c>
      <c r="S1312" s="2962">
        <f t="shared" ca="1" si="219"/>
        <v>105</v>
      </c>
    </row>
    <row r="1313" spans="1:19">
      <c r="A1313" s="2992" t="str">
        <f>Sheet1!F1294</f>
        <v>4-1505</v>
      </c>
      <c r="B1313" s="2992">
        <f>Sheet1!G1294</f>
        <v>60.69</v>
      </c>
      <c r="C1313" s="2996">
        <f t="shared" si="210"/>
        <v>1</v>
      </c>
      <c r="D1313" s="2994"/>
      <c r="E1313" s="2996">
        <f t="shared" si="211"/>
        <v>1</v>
      </c>
      <c r="F1313" s="2994"/>
      <c r="G1313" s="2996">
        <f t="shared" si="212"/>
        <v>1</v>
      </c>
      <c r="H1313" s="2994"/>
      <c r="I1313" s="2996">
        <f t="shared" si="213"/>
        <v>1</v>
      </c>
      <c r="J1313" s="2994"/>
      <c r="K1313" s="2996">
        <f t="shared" si="214"/>
        <v>1</v>
      </c>
      <c r="L1313" s="2994"/>
      <c r="M1313" s="2996">
        <f t="shared" si="215"/>
        <v>1</v>
      </c>
      <c r="N1313" s="2994"/>
      <c r="O1313" s="2996">
        <f t="shared" si="216"/>
        <v>1</v>
      </c>
      <c r="P1313" s="2994"/>
      <c r="Q1313" s="2996">
        <f t="shared" si="217"/>
        <v>1</v>
      </c>
      <c r="R1313" s="2997">
        <f t="shared" ca="1" si="218"/>
        <v>17260</v>
      </c>
      <c r="S1313" s="2962">
        <f t="shared" ca="1" si="219"/>
        <v>105</v>
      </c>
    </row>
    <row r="1314" spans="1:19">
      <c r="A1314" s="2992" t="str">
        <f>Sheet1!F1295</f>
        <v>4-1506</v>
      </c>
      <c r="B1314" s="2992">
        <f>Sheet1!G1295</f>
        <v>60.69</v>
      </c>
      <c r="C1314" s="2996">
        <f t="shared" si="210"/>
        <v>1</v>
      </c>
      <c r="D1314" s="2994"/>
      <c r="E1314" s="2996">
        <f t="shared" si="211"/>
        <v>1</v>
      </c>
      <c r="F1314" s="2994"/>
      <c r="G1314" s="2996">
        <f t="shared" si="212"/>
        <v>1</v>
      </c>
      <c r="H1314" s="2994"/>
      <c r="I1314" s="2996">
        <f t="shared" si="213"/>
        <v>1</v>
      </c>
      <c r="J1314" s="2994"/>
      <c r="K1314" s="2996">
        <f t="shared" si="214"/>
        <v>1</v>
      </c>
      <c r="L1314" s="2994"/>
      <c r="M1314" s="2996">
        <f t="shared" si="215"/>
        <v>1</v>
      </c>
      <c r="N1314" s="2994"/>
      <c r="O1314" s="2996">
        <f t="shared" si="216"/>
        <v>1</v>
      </c>
      <c r="P1314" s="2994"/>
      <c r="Q1314" s="2996">
        <f t="shared" si="217"/>
        <v>1</v>
      </c>
      <c r="R1314" s="2997">
        <f t="shared" ca="1" si="218"/>
        <v>17260</v>
      </c>
      <c r="S1314" s="2962">
        <f t="shared" ca="1" si="219"/>
        <v>105</v>
      </c>
    </row>
    <row r="1315" spans="1:19">
      <c r="A1315" s="2992" t="str">
        <f>Sheet1!F1296</f>
        <v>4-1507</v>
      </c>
      <c r="B1315" s="2992">
        <f>Sheet1!G1296</f>
        <v>60.69</v>
      </c>
      <c r="C1315" s="2996">
        <f t="shared" si="210"/>
        <v>1</v>
      </c>
      <c r="D1315" s="2994"/>
      <c r="E1315" s="2996">
        <f t="shared" si="211"/>
        <v>1</v>
      </c>
      <c r="F1315" s="2994"/>
      <c r="G1315" s="2996">
        <f t="shared" si="212"/>
        <v>1</v>
      </c>
      <c r="H1315" s="2994"/>
      <c r="I1315" s="2996">
        <f t="shared" si="213"/>
        <v>1</v>
      </c>
      <c r="J1315" s="2994"/>
      <c r="K1315" s="2996">
        <f t="shared" si="214"/>
        <v>1</v>
      </c>
      <c r="L1315" s="2994"/>
      <c r="M1315" s="2996">
        <f t="shared" si="215"/>
        <v>1</v>
      </c>
      <c r="N1315" s="2994"/>
      <c r="O1315" s="2996">
        <f t="shared" si="216"/>
        <v>1</v>
      </c>
      <c r="P1315" s="2994"/>
      <c r="Q1315" s="2996">
        <f t="shared" si="217"/>
        <v>1</v>
      </c>
      <c r="R1315" s="2997">
        <f t="shared" ca="1" si="218"/>
        <v>17260</v>
      </c>
      <c r="S1315" s="2962">
        <f t="shared" ca="1" si="219"/>
        <v>105</v>
      </c>
    </row>
    <row r="1316" spans="1:19">
      <c r="A1316" s="2992" t="str">
        <f>Sheet1!F1297</f>
        <v>4-1508</v>
      </c>
      <c r="B1316" s="2992">
        <f>Sheet1!G1297</f>
        <v>60.69</v>
      </c>
      <c r="C1316" s="2996">
        <f t="shared" si="210"/>
        <v>1</v>
      </c>
      <c r="D1316" s="2994"/>
      <c r="E1316" s="2996">
        <f t="shared" si="211"/>
        <v>1</v>
      </c>
      <c r="F1316" s="2994"/>
      <c r="G1316" s="2996">
        <f t="shared" si="212"/>
        <v>1</v>
      </c>
      <c r="H1316" s="2994"/>
      <c r="I1316" s="2996">
        <f t="shared" si="213"/>
        <v>1</v>
      </c>
      <c r="J1316" s="2994"/>
      <c r="K1316" s="2996">
        <f t="shared" si="214"/>
        <v>1</v>
      </c>
      <c r="L1316" s="2994"/>
      <c r="M1316" s="2996">
        <f t="shared" si="215"/>
        <v>1</v>
      </c>
      <c r="N1316" s="2994"/>
      <c r="O1316" s="2996">
        <f t="shared" si="216"/>
        <v>1</v>
      </c>
      <c r="P1316" s="2994"/>
      <c r="Q1316" s="2996">
        <f t="shared" si="217"/>
        <v>1</v>
      </c>
      <c r="R1316" s="2997">
        <f t="shared" ca="1" si="218"/>
        <v>17260</v>
      </c>
      <c r="S1316" s="2962">
        <f t="shared" ca="1" si="219"/>
        <v>105</v>
      </c>
    </row>
    <row r="1317" spans="1:19">
      <c r="A1317" s="2992" t="str">
        <f>Sheet1!F1298</f>
        <v>4-1509</v>
      </c>
      <c r="B1317" s="2992">
        <f>Sheet1!G1298</f>
        <v>60.69</v>
      </c>
      <c r="C1317" s="2996">
        <f t="shared" si="210"/>
        <v>1</v>
      </c>
      <c r="D1317" s="2994"/>
      <c r="E1317" s="2996">
        <f t="shared" si="211"/>
        <v>1</v>
      </c>
      <c r="F1317" s="2994"/>
      <c r="G1317" s="2996">
        <f t="shared" si="212"/>
        <v>1</v>
      </c>
      <c r="H1317" s="2994"/>
      <c r="I1317" s="2996">
        <f t="shared" si="213"/>
        <v>1</v>
      </c>
      <c r="J1317" s="2994"/>
      <c r="K1317" s="2996">
        <f t="shared" si="214"/>
        <v>1</v>
      </c>
      <c r="L1317" s="2994"/>
      <c r="M1317" s="2996">
        <f t="shared" si="215"/>
        <v>1</v>
      </c>
      <c r="N1317" s="2994"/>
      <c r="O1317" s="2996">
        <f t="shared" si="216"/>
        <v>1</v>
      </c>
      <c r="P1317" s="2994"/>
      <c r="Q1317" s="2996">
        <f t="shared" si="217"/>
        <v>1</v>
      </c>
      <c r="R1317" s="2997">
        <f t="shared" ca="1" si="218"/>
        <v>17260</v>
      </c>
      <c r="S1317" s="2962">
        <f t="shared" ca="1" si="219"/>
        <v>105</v>
      </c>
    </row>
    <row r="1318" spans="1:19">
      <c r="A1318" s="2992" t="str">
        <f>Sheet1!F1299</f>
        <v>4-1510</v>
      </c>
      <c r="B1318" s="2992">
        <f>Sheet1!G1299</f>
        <v>60.69</v>
      </c>
      <c r="C1318" s="2996">
        <f t="shared" si="210"/>
        <v>1</v>
      </c>
      <c r="D1318" s="2994"/>
      <c r="E1318" s="2996">
        <f t="shared" si="211"/>
        <v>1</v>
      </c>
      <c r="F1318" s="2994"/>
      <c r="G1318" s="2996">
        <f t="shared" si="212"/>
        <v>1</v>
      </c>
      <c r="H1318" s="2994"/>
      <c r="I1318" s="2996">
        <f t="shared" si="213"/>
        <v>1</v>
      </c>
      <c r="J1318" s="2994"/>
      <c r="K1318" s="2996">
        <f t="shared" si="214"/>
        <v>1</v>
      </c>
      <c r="L1318" s="2994"/>
      <c r="M1318" s="2996">
        <f t="shared" si="215"/>
        <v>1</v>
      </c>
      <c r="N1318" s="2994"/>
      <c r="O1318" s="2996">
        <f t="shared" si="216"/>
        <v>1</v>
      </c>
      <c r="P1318" s="2994"/>
      <c r="Q1318" s="2996">
        <f t="shared" si="217"/>
        <v>1</v>
      </c>
      <c r="R1318" s="2997">
        <f t="shared" ca="1" si="218"/>
        <v>17260</v>
      </c>
      <c r="S1318" s="2962">
        <f t="shared" ca="1" si="219"/>
        <v>105</v>
      </c>
    </row>
    <row r="1319" spans="1:19">
      <c r="A1319" s="2992" t="str">
        <f>Sheet1!F1300</f>
        <v>4-1511</v>
      </c>
      <c r="B1319" s="2992">
        <f>Sheet1!G1300</f>
        <v>60.69</v>
      </c>
      <c r="C1319" s="2996">
        <f t="shared" si="210"/>
        <v>1</v>
      </c>
      <c r="D1319" s="2994"/>
      <c r="E1319" s="2996">
        <f t="shared" si="211"/>
        <v>1</v>
      </c>
      <c r="F1319" s="2994"/>
      <c r="G1319" s="2996">
        <f t="shared" si="212"/>
        <v>1</v>
      </c>
      <c r="H1319" s="2994"/>
      <c r="I1319" s="2996">
        <f t="shared" si="213"/>
        <v>1</v>
      </c>
      <c r="J1319" s="2994"/>
      <c r="K1319" s="2996">
        <f t="shared" si="214"/>
        <v>1</v>
      </c>
      <c r="L1319" s="2994"/>
      <c r="M1319" s="2996">
        <f t="shared" si="215"/>
        <v>1</v>
      </c>
      <c r="N1319" s="2994"/>
      <c r="O1319" s="2996">
        <f t="shared" si="216"/>
        <v>1</v>
      </c>
      <c r="P1319" s="2994"/>
      <c r="Q1319" s="2996">
        <f t="shared" si="217"/>
        <v>1</v>
      </c>
      <c r="R1319" s="2997">
        <f t="shared" ca="1" si="218"/>
        <v>17260</v>
      </c>
      <c r="S1319" s="2962">
        <f t="shared" ca="1" si="219"/>
        <v>105</v>
      </c>
    </row>
    <row r="1320" spans="1:19">
      <c r="A1320" s="2992" t="str">
        <f>Sheet1!F1301</f>
        <v>4-1512</v>
      </c>
      <c r="B1320" s="2992">
        <f>Sheet1!G1301</f>
        <v>54.3</v>
      </c>
      <c r="C1320" s="2996">
        <f t="shared" si="210"/>
        <v>1</v>
      </c>
      <c r="D1320" s="2994"/>
      <c r="E1320" s="2996">
        <f t="shared" si="211"/>
        <v>1</v>
      </c>
      <c r="F1320" s="2994"/>
      <c r="G1320" s="2996">
        <f t="shared" si="212"/>
        <v>1</v>
      </c>
      <c r="H1320" s="2994"/>
      <c r="I1320" s="2996">
        <f t="shared" si="213"/>
        <v>1</v>
      </c>
      <c r="J1320" s="2994"/>
      <c r="K1320" s="2996">
        <f t="shared" si="214"/>
        <v>1</v>
      </c>
      <c r="L1320" s="2994"/>
      <c r="M1320" s="2996">
        <f t="shared" si="215"/>
        <v>1</v>
      </c>
      <c r="N1320" s="2994"/>
      <c r="O1320" s="2996">
        <f t="shared" si="216"/>
        <v>1</v>
      </c>
      <c r="P1320" s="2994"/>
      <c r="Q1320" s="2996">
        <f t="shared" si="217"/>
        <v>1</v>
      </c>
      <c r="R1320" s="2997">
        <f t="shared" ca="1" si="218"/>
        <v>17260</v>
      </c>
      <c r="S1320" s="2962">
        <f t="shared" ca="1" si="219"/>
        <v>94</v>
      </c>
    </row>
    <row r="1321" spans="1:19">
      <c r="A1321" s="2992" t="str">
        <f>Sheet1!F1302</f>
        <v>4-1513</v>
      </c>
      <c r="B1321" s="2992">
        <f>Sheet1!G1302</f>
        <v>60.68</v>
      </c>
      <c r="C1321" s="2996">
        <f t="shared" si="210"/>
        <v>1</v>
      </c>
      <c r="D1321" s="2994"/>
      <c r="E1321" s="2996">
        <f t="shared" si="211"/>
        <v>1</v>
      </c>
      <c r="F1321" s="2994"/>
      <c r="G1321" s="2996">
        <f t="shared" si="212"/>
        <v>1</v>
      </c>
      <c r="H1321" s="2994"/>
      <c r="I1321" s="2996">
        <f t="shared" si="213"/>
        <v>1</v>
      </c>
      <c r="J1321" s="2994"/>
      <c r="K1321" s="2996">
        <f t="shared" si="214"/>
        <v>1</v>
      </c>
      <c r="L1321" s="2994"/>
      <c r="M1321" s="2996">
        <f t="shared" si="215"/>
        <v>1</v>
      </c>
      <c r="N1321" s="2994"/>
      <c r="O1321" s="2996">
        <f t="shared" si="216"/>
        <v>1</v>
      </c>
      <c r="P1321" s="2994"/>
      <c r="Q1321" s="2996">
        <f t="shared" si="217"/>
        <v>1</v>
      </c>
      <c r="R1321" s="2997">
        <f t="shared" ca="1" si="218"/>
        <v>17260</v>
      </c>
      <c r="S1321" s="2962">
        <f t="shared" ca="1" si="219"/>
        <v>105</v>
      </c>
    </row>
    <row r="1322" spans="1:19">
      <c r="A1322" s="2992" t="str">
        <f>Sheet1!F1303</f>
        <v>4-1514</v>
      </c>
      <c r="B1322" s="2992">
        <f>Sheet1!G1303</f>
        <v>80.459999999999994</v>
      </c>
      <c r="C1322" s="2996">
        <f t="shared" si="210"/>
        <v>1</v>
      </c>
      <c r="D1322" s="2994"/>
      <c r="E1322" s="2996">
        <f t="shared" si="211"/>
        <v>1</v>
      </c>
      <c r="F1322" s="2994"/>
      <c r="G1322" s="2996">
        <f t="shared" si="212"/>
        <v>1</v>
      </c>
      <c r="H1322" s="2994"/>
      <c r="I1322" s="2996">
        <f t="shared" si="213"/>
        <v>1</v>
      </c>
      <c r="J1322" s="2994"/>
      <c r="K1322" s="2996">
        <f t="shared" si="214"/>
        <v>1</v>
      </c>
      <c r="L1322" s="2994"/>
      <c r="M1322" s="2996">
        <f t="shared" si="215"/>
        <v>1</v>
      </c>
      <c r="N1322" s="2994"/>
      <c r="O1322" s="2996">
        <f t="shared" si="216"/>
        <v>1</v>
      </c>
      <c r="P1322" s="2994"/>
      <c r="Q1322" s="2996">
        <f t="shared" si="217"/>
        <v>1</v>
      </c>
      <c r="R1322" s="2997">
        <f t="shared" ca="1" si="218"/>
        <v>17260</v>
      </c>
      <c r="S1322" s="2962">
        <f t="shared" ca="1" si="219"/>
        <v>139</v>
      </c>
    </row>
    <row r="1323" spans="1:19">
      <c r="A1323" s="2992" t="str">
        <f>Sheet1!F1304</f>
        <v>4-1515</v>
      </c>
      <c r="B1323" s="2992">
        <f>Sheet1!G1304</f>
        <v>80.45</v>
      </c>
      <c r="C1323" s="2996">
        <f t="shared" si="210"/>
        <v>1</v>
      </c>
      <c r="D1323" s="2994"/>
      <c r="E1323" s="2996">
        <f t="shared" si="211"/>
        <v>1</v>
      </c>
      <c r="F1323" s="2994"/>
      <c r="G1323" s="2996">
        <f t="shared" si="212"/>
        <v>1</v>
      </c>
      <c r="H1323" s="2994"/>
      <c r="I1323" s="2996">
        <f t="shared" si="213"/>
        <v>1</v>
      </c>
      <c r="J1323" s="2994"/>
      <c r="K1323" s="2996">
        <f t="shared" si="214"/>
        <v>1</v>
      </c>
      <c r="L1323" s="2994"/>
      <c r="M1323" s="2996">
        <f t="shared" si="215"/>
        <v>1</v>
      </c>
      <c r="N1323" s="2994"/>
      <c r="O1323" s="2996">
        <f t="shared" si="216"/>
        <v>1</v>
      </c>
      <c r="P1323" s="2994"/>
      <c r="Q1323" s="2996">
        <f t="shared" si="217"/>
        <v>1</v>
      </c>
      <c r="R1323" s="2997">
        <f t="shared" ca="1" si="218"/>
        <v>17260</v>
      </c>
      <c r="S1323" s="2962">
        <f t="shared" ca="1" si="219"/>
        <v>139</v>
      </c>
    </row>
    <row r="1324" spans="1:19">
      <c r="A1324" s="2992" t="str">
        <f>Sheet1!F1305</f>
        <v>4-1516</v>
      </c>
      <c r="B1324" s="2992">
        <f>Sheet1!G1305</f>
        <v>60.69</v>
      </c>
      <c r="C1324" s="2996">
        <f t="shared" si="210"/>
        <v>1</v>
      </c>
      <c r="D1324" s="2994"/>
      <c r="E1324" s="2996">
        <f t="shared" si="211"/>
        <v>1</v>
      </c>
      <c r="F1324" s="2994"/>
      <c r="G1324" s="2996">
        <f t="shared" si="212"/>
        <v>1</v>
      </c>
      <c r="H1324" s="2994"/>
      <c r="I1324" s="2996">
        <f t="shared" si="213"/>
        <v>1</v>
      </c>
      <c r="J1324" s="2994"/>
      <c r="K1324" s="2996">
        <f t="shared" si="214"/>
        <v>1</v>
      </c>
      <c r="L1324" s="2994"/>
      <c r="M1324" s="2996">
        <f t="shared" si="215"/>
        <v>1</v>
      </c>
      <c r="N1324" s="2994"/>
      <c r="O1324" s="2996">
        <f t="shared" si="216"/>
        <v>1</v>
      </c>
      <c r="P1324" s="2994"/>
      <c r="Q1324" s="2996">
        <f t="shared" si="217"/>
        <v>1</v>
      </c>
      <c r="R1324" s="2997">
        <f t="shared" ca="1" si="218"/>
        <v>17260</v>
      </c>
      <c r="S1324" s="2962">
        <f t="shared" ca="1" si="219"/>
        <v>105</v>
      </c>
    </row>
    <row r="1325" spans="1:19">
      <c r="A1325" s="2992" t="str">
        <f>Sheet1!F1306</f>
        <v>4-1517</v>
      </c>
      <c r="B1325" s="2992">
        <f>Sheet1!G1306</f>
        <v>60.69</v>
      </c>
      <c r="C1325" s="2996">
        <f t="shared" si="210"/>
        <v>1</v>
      </c>
      <c r="D1325" s="2994"/>
      <c r="E1325" s="2996">
        <f t="shared" si="211"/>
        <v>1</v>
      </c>
      <c r="F1325" s="2994"/>
      <c r="G1325" s="2996">
        <f t="shared" si="212"/>
        <v>1</v>
      </c>
      <c r="H1325" s="2994"/>
      <c r="I1325" s="2996">
        <f t="shared" si="213"/>
        <v>1</v>
      </c>
      <c r="J1325" s="2994"/>
      <c r="K1325" s="2996">
        <f t="shared" si="214"/>
        <v>1</v>
      </c>
      <c r="L1325" s="2994"/>
      <c r="M1325" s="2996">
        <f t="shared" si="215"/>
        <v>1</v>
      </c>
      <c r="N1325" s="2994"/>
      <c r="O1325" s="2996">
        <f t="shared" si="216"/>
        <v>1</v>
      </c>
      <c r="P1325" s="2994"/>
      <c r="Q1325" s="2996">
        <f t="shared" si="217"/>
        <v>1</v>
      </c>
      <c r="R1325" s="2997">
        <f t="shared" ca="1" si="218"/>
        <v>17260</v>
      </c>
      <c r="S1325" s="2962">
        <f t="shared" ca="1" si="219"/>
        <v>105</v>
      </c>
    </row>
    <row r="1326" spans="1:19">
      <c r="A1326" s="2992" t="str">
        <f>Sheet1!F1307</f>
        <v>4-1518</v>
      </c>
      <c r="B1326" s="2992">
        <f>Sheet1!G1307</f>
        <v>60.68</v>
      </c>
      <c r="C1326" s="2996">
        <f t="shared" si="210"/>
        <v>1</v>
      </c>
      <c r="D1326" s="2994"/>
      <c r="E1326" s="2996">
        <f t="shared" si="211"/>
        <v>1</v>
      </c>
      <c r="F1326" s="2994"/>
      <c r="G1326" s="2996">
        <f t="shared" si="212"/>
        <v>1</v>
      </c>
      <c r="H1326" s="2994"/>
      <c r="I1326" s="2996">
        <f t="shared" si="213"/>
        <v>1</v>
      </c>
      <c r="J1326" s="2994"/>
      <c r="K1326" s="2996">
        <f t="shared" si="214"/>
        <v>1</v>
      </c>
      <c r="L1326" s="2994"/>
      <c r="M1326" s="2996">
        <f t="shared" si="215"/>
        <v>1</v>
      </c>
      <c r="N1326" s="2994"/>
      <c r="O1326" s="2996">
        <f t="shared" si="216"/>
        <v>1</v>
      </c>
      <c r="P1326" s="2994"/>
      <c r="Q1326" s="2996">
        <f t="shared" si="217"/>
        <v>1</v>
      </c>
      <c r="R1326" s="2997">
        <f t="shared" ca="1" si="218"/>
        <v>17260</v>
      </c>
      <c r="S1326" s="2962">
        <f t="shared" ca="1" si="219"/>
        <v>105</v>
      </c>
    </row>
    <row r="1327" spans="1:19">
      <c r="A1327" s="2992" t="str">
        <f>Sheet1!F1308</f>
        <v>4-1519</v>
      </c>
      <c r="B1327" s="2992">
        <f>Sheet1!G1308</f>
        <v>60.69</v>
      </c>
      <c r="C1327" s="2996">
        <f t="shared" si="210"/>
        <v>1</v>
      </c>
      <c r="D1327" s="2994"/>
      <c r="E1327" s="2996">
        <f t="shared" si="211"/>
        <v>1</v>
      </c>
      <c r="F1327" s="2994"/>
      <c r="G1327" s="2996">
        <f t="shared" si="212"/>
        <v>1</v>
      </c>
      <c r="H1327" s="2994"/>
      <c r="I1327" s="2996">
        <f t="shared" si="213"/>
        <v>1</v>
      </c>
      <c r="J1327" s="2994"/>
      <c r="K1327" s="2996">
        <f t="shared" si="214"/>
        <v>1</v>
      </c>
      <c r="L1327" s="2994"/>
      <c r="M1327" s="2996">
        <f t="shared" si="215"/>
        <v>1</v>
      </c>
      <c r="N1327" s="2994"/>
      <c r="O1327" s="2996">
        <f t="shared" si="216"/>
        <v>1</v>
      </c>
      <c r="P1327" s="2994"/>
      <c r="Q1327" s="2996">
        <f t="shared" si="217"/>
        <v>1</v>
      </c>
      <c r="R1327" s="2997">
        <f t="shared" ca="1" si="218"/>
        <v>17260</v>
      </c>
      <c r="S1327" s="2962">
        <f t="shared" ca="1" si="219"/>
        <v>105</v>
      </c>
    </row>
    <row r="1328" spans="1:19">
      <c r="A1328" s="2992" t="str">
        <f>Sheet1!F1309</f>
        <v>4-1520</v>
      </c>
      <c r="B1328" s="2992">
        <f>Sheet1!G1309</f>
        <v>60.69</v>
      </c>
      <c r="C1328" s="2996">
        <f t="shared" si="210"/>
        <v>1</v>
      </c>
      <c r="D1328" s="2994"/>
      <c r="E1328" s="2996">
        <f t="shared" si="211"/>
        <v>1</v>
      </c>
      <c r="F1328" s="2994"/>
      <c r="G1328" s="2996">
        <f t="shared" si="212"/>
        <v>1</v>
      </c>
      <c r="H1328" s="2994"/>
      <c r="I1328" s="2996">
        <f t="shared" si="213"/>
        <v>1</v>
      </c>
      <c r="J1328" s="2994"/>
      <c r="K1328" s="2996">
        <f t="shared" si="214"/>
        <v>1</v>
      </c>
      <c r="L1328" s="2994"/>
      <c r="M1328" s="2996">
        <f t="shared" si="215"/>
        <v>1</v>
      </c>
      <c r="N1328" s="2994"/>
      <c r="O1328" s="2996">
        <f t="shared" si="216"/>
        <v>1</v>
      </c>
      <c r="P1328" s="2994"/>
      <c r="Q1328" s="2996">
        <f t="shared" si="217"/>
        <v>1</v>
      </c>
      <c r="R1328" s="2997">
        <f t="shared" ca="1" si="218"/>
        <v>17260</v>
      </c>
      <c r="S1328" s="2962">
        <f t="shared" ca="1" si="219"/>
        <v>105</v>
      </c>
    </row>
    <row r="1329" spans="1:19">
      <c r="A1329" s="2992" t="str">
        <f>Sheet1!F1310</f>
        <v>4-1521</v>
      </c>
      <c r="B1329" s="2992">
        <f>Sheet1!G1310</f>
        <v>60.69</v>
      </c>
      <c r="C1329" s="2996">
        <f t="shared" si="210"/>
        <v>1</v>
      </c>
      <c r="D1329" s="2994"/>
      <c r="E1329" s="2996">
        <f t="shared" si="211"/>
        <v>1</v>
      </c>
      <c r="F1329" s="2994"/>
      <c r="G1329" s="2996">
        <f t="shared" si="212"/>
        <v>1</v>
      </c>
      <c r="H1329" s="2994"/>
      <c r="I1329" s="2996">
        <f t="shared" si="213"/>
        <v>1</v>
      </c>
      <c r="J1329" s="2994"/>
      <c r="K1329" s="2996">
        <f t="shared" si="214"/>
        <v>1</v>
      </c>
      <c r="L1329" s="2994"/>
      <c r="M1329" s="2996">
        <f t="shared" si="215"/>
        <v>1</v>
      </c>
      <c r="N1329" s="2994"/>
      <c r="O1329" s="2996">
        <f t="shared" si="216"/>
        <v>1</v>
      </c>
      <c r="P1329" s="2994"/>
      <c r="Q1329" s="2996">
        <f t="shared" si="217"/>
        <v>1</v>
      </c>
      <c r="R1329" s="2997">
        <f t="shared" ca="1" si="218"/>
        <v>17260</v>
      </c>
      <c r="S1329" s="2962">
        <f t="shared" ca="1" si="219"/>
        <v>105</v>
      </c>
    </row>
    <row r="1330" spans="1:19">
      <c r="A1330" s="2992" t="str">
        <f>Sheet1!F1311</f>
        <v>4-1522</v>
      </c>
      <c r="B1330" s="2992">
        <f>Sheet1!G1311</f>
        <v>60.69</v>
      </c>
      <c r="C1330" s="2996">
        <f t="shared" si="210"/>
        <v>1</v>
      </c>
      <c r="D1330" s="2994"/>
      <c r="E1330" s="2996">
        <f t="shared" si="211"/>
        <v>1</v>
      </c>
      <c r="F1330" s="2994"/>
      <c r="G1330" s="2996">
        <f t="shared" si="212"/>
        <v>1</v>
      </c>
      <c r="H1330" s="2994"/>
      <c r="I1330" s="2996">
        <f t="shared" si="213"/>
        <v>1</v>
      </c>
      <c r="J1330" s="2994"/>
      <c r="K1330" s="2996">
        <f t="shared" si="214"/>
        <v>1</v>
      </c>
      <c r="L1330" s="2994"/>
      <c r="M1330" s="2996">
        <f t="shared" si="215"/>
        <v>1</v>
      </c>
      <c r="N1330" s="2994"/>
      <c r="O1330" s="2996">
        <f t="shared" si="216"/>
        <v>1</v>
      </c>
      <c r="P1330" s="2994"/>
      <c r="Q1330" s="2996">
        <f t="shared" si="217"/>
        <v>1</v>
      </c>
      <c r="R1330" s="2997">
        <f t="shared" ca="1" si="218"/>
        <v>17260</v>
      </c>
      <c r="S1330" s="2962">
        <f t="shared" ca="1" si="219"/>
        <v>105</v>
      </c>
    </row>
    <row r="1331" spans="1:19">
      <c r="A1331" s="2992" t="str">
        <f>Sheet1!F1312</f>
        <v>4-1523</v>
      </c>
      <c r="B1331" s="2992">
        <f>Sheet1!G1312</f>
        <v>60.69</v>
      </c>
      <c r="C1331" s="2996">
        <f t="shared" si="210"/>
        <v>1</v>
      </c>
      <c r="D1331" s="2994"/>
      <c r="E1331" s="2996">
        <f t="shared" si="211"/>
        <v>1</v>
      </c>
      <c r="F1331" s="2994"/>
      <c r="G1331" s="2996">
        <f t="shared" si="212"/>
        <v>1</v>
      </c>
      <c r="H1331" s="2994"/>
      <c r="I1331" s="2996">
        <f t="shared" si="213"/>
        <v>1</v>
      </c>
      <c r="J1331" s="2994"/>
      <c r="K1331" s="2996">
        <f t="shared" si="214"/>
        <v>1</v>
      </c>
      <c r="L1331" s="2994"/>
      <c r="M1331" s="2996">
        <f t="shared" si="215"/>
        <v>1</v>
      </c>
      <c r="N1331" s="2994"/>
      <c r="O1331" s="2996">
        <f t="shared" si="216"/>
        <v>1</v>
      </c>
      <c r="P1331" s="2994"/>
      <c r="Q1331" s="2996">
        <f t="shared" si="217"/>
        <v>1</v>
      </c>
      <c r="R1331" s="2997">
        <f t="shared" ca="1" si="218"/>
        <v>17260</v>
      </c>
      <c r="S1331" s="2962">
        <f t="shared" ca="1" si="219"/>
        <v>105</v>
      </c>
    </row>
    <row r="1332" spans="1:19">
      <c r="A1332" s="2992" t="str">
        <f>Sheet1!F1313</f>
        <v>4-1524</v>
      </c>
      <c r="B1332" s="2992">
        <f>Sheet1!G1313</f>
        <v>60.69</v>
      </c>
      <c r="C1332" s="2996">
        <f t="shared" si="210"/>
        <v>1</v>
      </c>
      <c r="D1332" s="2994"/>
      <c r="E1332" s="2996">
        <f t="shared" si="211"/>
        <v>1</v>
      </c>
      <c r="F1332" s="2994"/>
      <c r="G1332" s="2996">
        <f t="shared" si="212"/>
        <v>1</v>
      </c>
      <c r="H1332" s="2994"/>
      <c r="I1332" s="2996">
        <f t="shared" si="213"/>
        <v>1</v>
      </c>
      <c r="J1332" s="2994"/>
      <c r="K1332" s="2996">
        <f t="shared" si="214"/>
        <v>1</v>
      </c>
      <c r="L1332" s="2994"/>
      <c r="M1332" s="2996">
        <f t="shared" si="215"/>
        <v>1</v>
      </c>
      <c r="N1332" s="2994"/>
      <c r="O1332" s="2996">
        <f t="shared" si="216"/>
        <v>1</v>
      </c>
      <c r="P1332" s="2994"/>
      <c r="Q1332" s="2996">
        <f t="shared" si="217"/>
        <v>1</v>
      </c>
      <c r="R1332" s="2997">
        <f t="shared" ca="1" si="218"/>
        <v>17260</v>
      </c>
      <c r="S1332" s="2962">
        <f t="shared" ca="1" si="219"/>
        <v>105</v>
      </c>
    </row>
    <row r="1333" spans="1:19">
      <c r="A1333" s="2992" t="str">
        <f>Sheet1!F1314</f>
        <v>4-1525</v>
      </c>
      <c r="B1333" s="2992">
        <f>Sheet1!G1314</f>
        <v>60.69</v>
      </c>
      <c r="C1333" s="2996">
        <f t="shared" si="210"/>
        <v>1</v>
      </c>
      <c r="D1333" s="2994"/>
      <c r="E1333" s="2996">
        <f t="shared" si="211"/>
        <v>1</v>
      </c>
      <c r="F1333" s="2994"/>
      <c r="G1333" s="2996">
        <f t="shared" si="212"/>
        <v>1</v>
      </c>
      <c r="H1333" s="2994"/>
      <c r="I1333" s="2996">
        <f t="shared" si="213"/>
        <v>1</v>
      </c>
      <c r="J1333" s="2994"/>
      <c r="K1333" s="2996">
        <f t="shared" si="214"/>
        <v>1</v>
      </c>
      <c r="L1333" s="2994"/>
      <c r="M1333" s="2996">
        <f t="shared" si="215"/>
        <v>1</v>
      </c>
      <c r="N1333" s="2994"/>
      <c r="O1333" s="2996">
        <f t="shared" si="216"/>
        <v>1</v>
      </c>
      <c r="P1333" s="2994"/>
      <c r="Q1333" s="2996">
        <f t="shared" si="217"/>
        <v>1</v>
      </c>
      <c r="R1333" s="2997">
        <f t="shared" ca="1" si="218"/>
        <v>17260</v>
      </c>
      <c r="S1333" s="2962">
        <f t="shared" ca="1" si="219"/>
        <v>105</v>
      </c>
    </row>
    <row r="1334" spans="1:19">
      <c r="A1334" s="2992" t="str">
        <f>Sheet1!F1315</f>
        <v>4-1526</v>
      </c>
      <c r="B1334" s="2992">
        <f>Sheet1!G1315</f>
        <v>60.69</v>
      </c>
      <c r="C1334" s="2996">
        <f t="shared" si="210"/>
        <v>1</v>
      </c>
      <c r="D1334" s="2994"/>
      <c r="E1334" s="2996">
        <f t="shared" si="211"/>
        <v>1</v>
      </c>
      <c r="F1334" s="2994"/>
      <c r="G1334" s="2996">
        <f t="shared" si="212"/>
        <v>1</v>
      </c>
      <c r="H1334" s="2994"/>
      <c r="I1334" s="2996">
        <f t="shared" si="213"/>
        <v>1</v>
      </c>
      <c r="J1334" s="2994"/>
      <c r="K1334" s="2996">
        <f t="shared" si="214"/>
        <v>1</v>
      </c>
      <c r="L1334" s="2994"/>
      <c r="M1334" s="2996">
        <f t="shared" si="215"/>
        <v>1</v>
      </c>
      <c r="N1334" s="2994"/>
      <c r="O1334" s="2996">
        <f t="shared" si="216"/>
        <v>1</v>
      </c>
      <c r="P1334" s="2994"/>
      <c r="Q1334" s="2996">
        <f t="shared" si="217"/>
        <v>1</v>
      </c>
      <c r="R1334" s="2997">
        <f t="shared" ca="1" si="218"/>
        <v>17260</v>
      </c>
      <c r="S1334" s="2962">
        <f t="shared" ca="1" si="219"/>
        <v>105</v>
      </c>
    </row>
    <row r="1335" spans="1:19">
      <c r="A1335" s="2992" t="str">
        <f>Sheet1!F1316</f>
        <v>4-1527</v>
      </c>
      <c r="B1335" s="2992">
        <f>Sheet1!G1316</f>
        <v>104.53</v>
      </c>
      <c r="C1335" s="2996">
        <f t="shared" si="210"/>
        <v>0.99</v>
      </c>
      <c r="D1335" s="2994"/>
      <c r="E1335" s="2996">
        <f t="shared" si="211"/>
        <v>1</v>
      </c>
      <c r="F1335" s="2994"/>
      <c r="G1335" s="2996">
        <f t="shared" si="212"/>
        <v>1</v>
      </c>
      <c r="H1335" s="2994"/>
      <c r="I1335" s="2996">
        <f t="shared" si="213"/>
        <v>1</v>
      </c>
      <c r="J1335" s="2994"/>
      <c r="K1335" s="2996">
        <f t="shared" si="214"/>
        <v>1</v>
      </c>
      <c r="L1335" s="2994"/>
      <c r="M1335" s="2996">
        <f t="shared" si="215"/>
        <v>1</v>
      </c>
      <c r="N1335" s="2994"/>
      <c r="O1335" s="2996">
        <f t="shared" si="216"/>
        <v>1</v>
      </c>
      <c r="P1335" s="2994"/>
      <c r="Q1335" s="2996">
        <f t="shared" si="217"/>
        <v>1</v>
      </c>
      <c r="R1335" s="2997">
        <f t="shared" ca="1" si="218"/>
        <v>17087</v>
      </c>
      <c r="S1335" s="2962">
        <f t="shared" ca="1" si="219"/>
        <v>179</v>
      </c>
    </row>
    <row r="1336" spans="1:19">
      <c r="A1336" s="2992" t="str">
        <f>Sheet1!F1317</f>
        <v>4-1528</v>
      </c>
      <c r="B1336" s="2992">
        <f>Sheet1!G1317</f>
        <v>55.78</v>
      </c>
      <c r="C1336" s="2996">
        <f t="shared" si="210"/>
        <v>1</v>
      </c>
      <c r="D1336" s="2994"/>
      <c r="E1336" s="2996">
        <f t="shared" si="211"/>
        <v>1</v>
      </c>
      <c r="F1336" s="2994"/>
      <c r="G1336" s="2996">
        <f t="shared" si="212"/>
        <v>1</v>
      </c>
      <c r="H1336" s="2994"/>
      <c r="I1336" s="2996">
        <f t="shared" si="213"/>
        <v>1</v>
      </c>
      <c r="J1336" s="2994"/>
      <c r="K1336" s="2996">
        <f t="shared" si="214"/>
        <v>1</v>
      </c>
      <c r="L1336" s="2994"/>
      <c r="M1336" s="2996">
        <f t="shared" si="215"/>
        <v>1</v>
      </c>
      <c r="N1336" s="2994"/>
      <c r="O1336" s="2996">
        <f t="shared" si="216"/>
        <v>1</v>
      </c>
      <c r="P1336" s="2994"/>
      <c r="Q1336" s="2996">
        <f t="shared" si="217"/>
        <v>1</v>
      </c>
      <c r="R1336" s="2997">
        <f t="shared" ca="1" si="218"/>
        <v>17260</v>
      </c>
      <c r="S1336" s="2962">
        <f t="shared" ca="1" si="219"/>
        <v>96</v>
      </c>
    </row>
    <row r="1337" spans="1:19">
      <c r="A1337" s="2992" t="str">
        <f>Sheet1!F1318</f>
        <v>4-1529</v>
      </c>
      <c r="B1337" s="2992">
        <f>Sheet1!G1318</f>
        <v>48.86</v>
      </c>
      <c r="C1337" s="2996">
        <f t="shared" si="210"/>
        <v>1</v>
      </c>
      <c r="D1337" s="2994"/>
      <c r="E1337" s="2996">
        <f t="shared" si="211"/>
        <v>1</v>
      </c>
      <c r="F1337" s="2994"/>
      <c r="G1337" s="2996">
        <f t="shared" si="212"/>
        <v>1</v>
      </c>
      <c r="H1337" s="2994"/>
      <c r="I1337" s="2996">
        <f t="shared" si="213"/>
        <v>1</v>
      </c>
      <c r="J1337" s="2994"/>
      <c r="K1337" s="2996">
        <f t="shared" si="214"/>
        <v>1</v>
      </c>
      <c r="L1337" s="2994"/>
      <c r="M1337" s="2996">
        <f t="shared" si="215"/>
        <v>1</v>
      </c>
      <c r="N1337" s="2994"/>
      <c r="O1337" s="2996">
        <f t="shared" si="216"/>
        <v>1</v>
      </c>
      <c r="P1337" s="2994"/>
      <c r="Q1337" s="2996">
        <f t="shared" si="217"/>
        <v>1</v>
      </c>
      <c r="R1337" s="2997">
        <f t="shared" ca="1" si="218"/>
        <v>17260</v>
      </c>
      <c r="S1337" s="2962">
        <f t="shared" ca="1" si="219"/>
        <v>84</v>
      </c>
    </row>
    <row r="1338" spans="1:19">
      <c r="A1338" s="2992" t="str">
        <f>Sheet1!F1319</f>
        <v>4-1530</v>
      </c>
      <c r="B1338" s="2992">
        <f>Sheet1!G1319</f>
        <v>48.86</v>
      </c>
      <c r="C1338" s="2996">
        <f t="shared" si="210"/>
        <v>1</v>
      </c>
      <c r="D1338" s="2994"/>
      <c r="E1338" s="2996">
        <f t="shared" si="211"/>
        <v>1</v>
      </c>
      <c r="F1338" s="2994"/>
      <c r="G1338" s="2996">
        <f t="shared" si="212"/>
        <v>1</v>
      </c>
      <c r="H1338" s="2994"/>
      <c r="I1338" s="2996">
        <f t="shared" si="213"/>
        <v>1</v>
      </c>
      <c r="J1338" s="2994"/>
      <c r="K1338" s="2996">
        <f t="shared" si="214"/>
        <v>1</v>
      </c>
      <c r="L1338" s="2994"/>
      <c r="M1338" s="2996">
        <f t="shared" si="215"/>
        <v>1</v>
      </c>
      <c r="N1338" s="2994"/>
      <c r="O1338" s="2996">
        <f t="shared" si="216"/>
        <v>1</v>
      </c>
      <c r="P1338" s="2994"/>
      <c r="Q1338" s="2996">
        <f t="shared" si="217"/>
        <v>1</v>
      </c>
      <c r="R1338" s="2997">
        <f t="shared" ca="1" si="218"/>
        <v>17260</v>
      </c>
      <c r="S1338" s="2962">
        <f t="shared" ca="1" si="219"/>
        <v>84</v>
      </c>
    </row>
    <row r="1339" spans="1:19">
      <c r="A1339" s="2992" t="str">
        <f>Sheet1!F1320</f>
        <v>4-1531</v>
      </c>
      <c r="B1339" s="2992">
        <f>Sheet1!G1320</f>
        <v>48.86</v>
      </c>
      <c r="C1339" s="2996">
        <f t="shared" si="210"/>
        <v>1</v>
      </c>
      <c r="D1339" s="2994"/>
      <c r="E1339" s="2996">
        <f t="shared" si="211"/>
        <v>1</v>
      </c>
      <c r="F1339" s="2994"/>
      <c r="G1339" s="2996">
        <f t="shared" si="212"/>
        <v>1</v>
      </c>
      <c r="H1339" s="2994"/>
      <c r="I1339" s="2996">
        <f t="shared" si="213"/>
        <v>1</v>
      </c>
      <c r="J1339" s="2994"/>
      <c r="K1339" s="2996">
        <f t="shared" si="214"/>
        <v>1</v>
      </c>
      <c r="L1339" s="2994"/>
      <c r="M1339" s="2996">
        <f t="shared" si="215"/>
        <v>1</v>
      </c>
      <c r="N1339" s="2994"/>
      <c r="O1339" s="2996">
        <f t="shared" si="216"/>
        <v>1</v>
      </c>
      <c r="P1339" s="2994"/>
      <c r="Q1339" s="2996">
        <f t="shared" si="217"/>
        <v>1</v>
      </c>
      <c r="R1339" s="2997">
        <f t="shared" ca="1" si="218"/>
        <v>17260</v>
      </c>
      <c r="S1339" s="2962">
        <f t="shared" ca="1" si="219"/>
        <v>84</v>
      </c>
    </row>
    <row r="1340" spans="1:19">
      <c r="A1340" s="2992" t="str">
        <f>Sheet1!F1321</f>
        <v>4-1532</v>
      </c>
      <c r="B1340" s="2992">
        <f>Sheet1!G1321</f>
        <v>54.5</v>
      </c>
      <c r="C1340" s="2996">
        <f t="shared" si="210"/>
        <v>1</v>
      </c>
      <c r="D1340" s="2994"/>
      <c r="E1340" s="2996">
        <f t="shared" si="211"/>
        <v>1</v>
      </c>
      <c r="F1340" s="2994"/>
      <c r="G1340" s="2996">
        <f t="shared" si="212"/>
        <v>1</v>
      </c>
      <c r="H1340" s="2994"/>
      <c r="I1340" s="2996">
        <f t="shared" si="213"/>
        <v>1</v>
      </c>
      <c r="J1340" s="2994"/>
      <c r="K1340" s="2996">
        <f t="shared" si="214"/>
        <v>1</v>
      </c>
      <c r="L1340" s="2994"/>
      <c r="M1340" s="2996">
        <f t="shared" si="215"/>
        <v>1</v>
      </c>
      <c r="N1340" s="2994"/>
      <c r="O1340" s="2996">
        <f t="shared" si="216"/>
        <v>1</v>
      </c>
      <c r="P1340" s="2994"/>
      <c r="Q1340" s="2996">
        <f t="shared" si="217"/>
        <v>1</v>
      </c>
      <c r="R1340" s="2997">
        <f t="shared" ca="1" si="218"/>
        <v>17260</v>
      </c>
      <c r="S1340" s="2962">
        <f t="shared" ca="1" si="219"/>
        <v>94</v>
      </c>
    </row>
    <row r="1341" spans="1:19">
      <c r="A1341" s="2992" t="str">
        <f>Sheet1!F1322</f>
        <v>4-1533</v>
      </c>
      <c r="B1341" s="2992">
        <f>Sheet1!G1322</f>
        <v>64.58</v>
      </c>
      <c r="C1341" s="2996">
        <f t="shared" si="210"/>
        <v>1</v>
      </c>
      <c r="D1341" s="2994"/>
      <c r="E1341" s="2996">
        <f t="shared" si="211"/>
        <v>1</v>
      </c>
      <c r="F1341" s="2994"/>
      <c r="G1341" s="2996">
        <f t="shared" si="212"/>
        <v>1</v>
      </c>
      <c r="H1341" s="2994"/>
      <c r="I1341" s="2996">
        <f t="shared" si="213"/>
        <v>1</v>
      </c>
      <c r="J1341" s="2994"/>
      <c r="K1341" s="2996">
        <f t="shared" si="214"/>
        <v>1</v>
      </c>
      <c r="L1341" s="2994"/>
      <c r="M1341" s="2996">
        <f t="shared" si="215"/>
        <v>1</v>
      </c>
      <c r="N1341" s="2994"/>
      <c r="O1341" s="2996">
        <f t="shared" si="216"/>
        <v>1</v>
      </c>
      <c r="P1341" s="2994"/>
      <c r="Q1341" s="2996">
        <f t="shared" si="217"/>
        <v>1</v>
      </c>
      <c r="R1341" s="2997">
        <f t="shared" ca="1" si="218"/>
        <v>17260</v>
      </c>
      <c r="S1341" s="2962">
        <f t="shared" ca="1" si="219"/>
        <v>111</v>
      </c>
    </row>
    <row r="1342" spans="1:19">
      <c r="A1342" s="2992" t="str">
        <f>Sheet1!F1323</f>
        <v>4-1534</v>
      </c>
      <c r="B1342" s="2992">
        <f>Sheet1!G1323</f>
        <v>45.32</v>
      </c>
      <c r="C1342" s="2996">
        <f t="shared" si="210"/>
        <v>1</v>
      </c>
      <c r="D1342" s="2994"/>
      <c r="E1342" s="2996">
        <f t="shared" si="211"/>
        <v>1</v>
      </c>
      <c r="F1342" s="2994"/>
      <c r="G1342" s="2996">
        <f t="shared" si="212"/>
        <v>1</v>
      </c>
      <c r="H1342" s="2994"/>
      <c r="I1342" s="2996">
        <f t="shared" si="213"/>
        <v>1</v>
      </c>
      <c r="J1342" s="2994"/>
      <c r="K1342" s="2996">
        <f t="shared" si="214"/>
        <v>1</v>
      </c>
      <c r="L1342" s="2994"/>
      <c r="M1342" s="2996">
        <f t="shared" si="215"/>
        <v>1</v>
      </c>
      <c r="N1342" s="2994"/>
      <c r="O1342" s="2996">
        <f t="shared" si="216"/>
        <v>1</v>
      </c>
      <c r="P1342" s="2994"/>
      <c r="Q1342" s="2996">
        <f t="shared" si="217"/>
        <v>1</v>
      </c>
      <c r="R1342" s="2997">
        <f t="shared" ca="1" si="218"/>
        <v>17260</v>
      </c>
      <c r="S1342" s="2962">
        <f t="shared" ca="1" si="219"/>
        <v>78</v>
      </c>
    </row>
    <row r="1343" spans="1:19">
      <c r="A1343" s="2992" t="str">
        <f>Sheet1!F1324</f>
        <v>4-1535</v>
      </c>
      <c r="B1343" s="2992">
        <f>Sheet1!G1324</f>
        <v>45.2</v>
      </c>
      <c r="C1343" s="2996">
        <f t="shared" si="210"/>
        <v>1</v>
      </c>
      <c r="D1343" s="2994"/>
      <c r="E1343" s="2996">
        <f t="shared" si="211"/>
        <v>1</v>
      </c>
      <c r="F1343" s="2994"/>
      <c r="G1343" s="2996">
        <f t="shared" si="212"/>
        <v>1</v>
      </c>
      <c r="H1343" s="2994"/>
      <c r="I1343" s="2996">
        <f t="shared" si="213"/>
        <v>1</v>
      </c>
      <c r="J1343" s="2994"/>
      <c r="K1343" s="2996">
        <f t="shared" si="214"/>
        <v>1</v>
      </c>
      <c r="L1343" s="2994"/>
      <c r="M1343" s="2996">
        <f t="shared" si="215"/>
        <v>1</v>
      </c>
      <c r="N1343" s="2994"/>
      <c r="O1343" s="2996">
        <f t="shared" si="216"/>
        <v>1</v>
      </c>
      <c r="P1343" s="2994"/>
      <c r="Q1343" s="2996">
        <f t="shared" si="217"/>
        <v>1</v>
      </c>
      <c r="R1343" s="2997">
        <f t="shared" ca="1" si="218"/>
        <v>17260</v>
      </c>
      <c r="S1343" s="2962">
        <f t="shared" ca="1" si="219"/>
        <v>78</v>
      </c>
    </row>
    <row r="1344" spans="1:19">
      <c r="A1344" s="2992" t="str">
        <f>Sheet1!F1325</f>
        <v>4-1536</v>
      </c>
      <c r="B1344" s="2992">
        <f>Sheet1!G1325</f>
        <v>45.32</v>
      </c>
      <c r="C1344" s="2996">
        <f t="shared" si="210"/>
        <v>1</v>
      </c>
      <c r="D1344" s="2994"/>
      <c r="E1344" s="2996">
        <f t="shared" si="211"/>
        <v>1</v>
      </c>
      <c r="F1344" s="2994"/>
      <c r="G1344" s="2996">
        <f t="shared" si="212"/>
        <v>1</v>
      </c>
      <c r="H1344" s="2994"/>
      <c r="I1344" s="2996">
        <f t="shared" si="213"/>
        <v>1</v>
      </c>
      <c r="J1344" s="2994"/>
      <c r="K1344" s="2996">
        <f t="shared" si="214"/>
        <v>1</v>
      </c>
      <c r="L1344" s="2994"/>
      <c r="M1344" s="2996">
        <f t="shared" si="215"/>
        <v>1</v>
      </c>
      <c r="N1344" s="2994"/>
      <c r="O1344" s="2996">
        <f t="shared" si="216"/>
        <v>1</v>
      </c>
      <c r="P1344" s="2994"/>
      <c r="Q1344" s="2996">
        <f t="shared" si="217"/>
        <v>1</v>
      </c>
      <c r="R1344" s="2997">
        <f t="shared" ca="1" si="218"/>
        <v>17260</v>
      </c>
      <c r="S1344" s="2962">
        <f t="shared" ca="1" si="219"/>
        <v>78</v>
      </c>
    </row>
    <row r="1345" spans="1:19">
      <c r="A1345" s="2992" t="str">
        <f>Sheet1!F1326</f>
        <v>4-1537</v>
      </c>
      <c r="B1345" s="2992">
        <f>Sheet1!G1326</f>
        <v>45.32</v>
      </c>
      <c r="C1345" s="2996">
        <f t="shared" si="210"/>
        <v>1</v>
      </c>
      <c r="D1345" s="2994"/>
      <c r="E1345" s="2996">
        <f t="shared" si="211"/>
        <v>1</v>
      </c>
      <c r="F1345" s="2994"/>
      <c r="G1345" s="2996">
        <f t="shared" si="212"/>
        <v>1</v>
      </c>
      <c r="H1345" s="2994"/>
      <c r="I1345" s="2996">
        <f t="shared" si="213"/>
        <v>1</v>
      </c>
      <c r="J1345" s="2994"/>
      <c r="K1345" s="2996">
        <f t="shared" si="214"/>
        <v>1</v>
      </c>
      <c r="L1345" s="2994"/>
      <c r="M1345" s="2996">
        <f t="shared" si="215"/>
        <v>1</v>
      </c>
      <c r="N1345" s="2994"/>
      <c r="O1345" s="2996">
        <f t="shared" si="216"/>
        <v>1</v>
      </c>
      <c r="P1345" s="2994"/>
      <c r="Q1345" s="2996">
        <f t="shared" si="217"/>
        <v>1</v>
      </c>
      <c r="R1345" s="2997">
        <f t="shared" ca="1" si="218"/>
        <v>17260</v>
      </c>
      <c r="S1345" s="2962">
        <f t="shared" ca="1" si="219"/>
        <v>78</v>
      </c>
    </row>
    <row r="1346" spans="1:19">
      <c r="A1346" s="2992" t="str">
        <f>Sheet1!F1327</f>
        <v>4-1538</v>
      </c>
      <c r="B1346" s="2992">
        <f>Sheet1!G1327</f>
        <v>48.86</v>
      </c>
      <c r="C1346" s="2996">
        <f t="shared" si="210"/>
        <v>1</v>
      </c>
      <c r="D1346" s="2994"/>
      <c r="E1346" s="2996">
        <f t="shared" si="211"/>
        <v>1</v>
      </c>
      <c r="F1346" s="2994"/>
      <c r="G1346" s="2996">
        <f t="shared" si="212"/>
        <v>1</v>
      </c>
      <c r="H1346" s="2994"/>
      <c r="I1346" s="2996">
        <f t="shared" si="213"/>
        <v>1</v>
      </c>
      <c r="J1346" s="2994"/>
      <c r="K1346" s="2996">
        <f t="shared" si="214"/>
        <v>1</v>
      </c>
      <c r="L1346" s="2994"/>
      <c r="M1346" s="2996">
        <f t="shared" si="215"/>
        <v>1</v>
      </c>
      <c r="N1346" s="2994"/>
      <c r="O1346" s="2996">
        <f t="shared" si="216"/>
        <v>1</v>
      </c>
      <c r="P1346" s="2994"/>
      <c r="Q1346" s="2996">
        <f t="shared" si="217"/>
        <v>1</v>
      </c>
      <c r="R1346" s="2997">
        <f t="shared" ca="1" si="218"/>
        <v>17260</v>
      </c>
      <c r="S1346" s="2962">
        <f t="shared" ca="1" si="219"/>
        <v>84</v>
      </c>
    </row>
    <row r="1347" spans="1:19">
      <c r="A1347" s="2992" t="str">
        <f>Sheet1!F1328</f>
        <v>4-1539</v>
      </c>
      <c r="B1347" s="2992">
        <f>Sheet1!G1328</f>
        <v>44.51</v>
      </c>
      <c r="C1347" s="2996">
        <f t="shared" si="210"/>
        <v>1</v>
      </c>
      <c r="D1347" s="2994"/>
      <c r="E1347" s="2996">
        <f t="shared" si="211"/>
        <v>1</v>
      </c>
      <c r="F1347" s="2994"/>
      <c r="G1347" s="2996">
        <f t="shared" si="212"/>
        <v>1</v>
      </c>
      <c r="H1347" s="2994"/>
      <c r="I1347" s="2996">
        <f t="shared" si="213"/>
        <v>1</v>
      </c>
      <c r="J1347" s="2994"/>
      <c r="K1347" s="2996">
        <f t="shared" si="214"/>
        <v>1</v>
      </c>
      <c r="L1347" s="2994"/>
      <c r="M1347" s="2996">
        <f t="shared" si="215"/>
        <v>1</v>
      </c>
      <c r="N1347" s="2994"/>
      <c r="O1347" s="2996">
        <f t="shared" si="216"/>
        <v>1</v>
      </c>
      <c r="P1347" s="2994"/>
      <c r="Q1347" s="2996">
        <f t="shared" si="217"/>
        <v>1</v>
      </c>
      <c r="R1347" s="2997">
        <f t="shared" ca="1" si="218"/>
        <v>17260</v>
      </c>
      <c r="S1347" s="2962">
        <f t="shared" ca="1" si="219"/>
        <v>77</v>
      </c>
    </row>
    <row r="1348" spans="1:19">
      <c r="A1348" s="2992" t="str">
        <f>Sheet1!F1329</f>
        <v>4-1540</v>
      </c>
      <c r="B1348" s="2992">
        <f>Sheet1!G1329</f>
        <v>54.67</v>
      </c>
      <c r="C1348" s="2996">
        <f t="shared" si="210"/>
        <v>1</v>
      </c>
      <c r="D1348" s="2994"/>
      <c r="E1348" s="2996">
        <f t="shared" si="211"/>
        <v>1</v>
      </c>
      <c r="F1348" s="2994"/>
      <c r="G1348" s="2996">
        <f t="shared" si="212"/>
        <v>1</v>
      </c>
      <c r="H1348" s="2994"/>
      <c r="I1348" s="2996">
        <f t="shared" si="213"/>
        <v>1</v>
      </c>
      <c r="J1348" s="2994"/>
      <c r="K1348" s="2996">
        <f t="shared" si="214"/>
        <v>1</v>
      </c>
      <c r="L1348" s="2994"/>
      <c r="M1348" s="2996">
        <f t="shared" si="215"/>
        <v>1</v>
      </c>
      <c r="N1348" s="2994"/>
      <c r="O1348" s="2996">
        <f t="shared" si="216"/>
        <v>1</v>
      </c>
      <c r="P1348" s="2994"/>
      <c r="Q1348" s="2996">
        <f t="shared" si="217"/>
        <v>1</v>
      </c>
      <c r="R1348" s="2997">
        <f t="shared" ca="1" si="218"/>
        <v>17260</v>
      </c>
      <c r="S1348" s="2962">
        <f t="shared" ca="1" si="219"/>
        <v>94</v>
      </c>
    </row>
    <row r="1349" spans="1:19">
      <c r="A1349" s="2992" t="str">
        <f>Sheet1!F1330</f>
        <v>4-1541</v>
      </c>
      <c r="B1349" s="2992">
        <f>Sheet1!G1330</f>
        <v>48.86</v>
      </c>
      <c r="C1349" s="2996">
        <f t="shared" si="210"/>
        <v>1</v>
      </c>
      <c r="D1349" s="2994"/>
      <c r="E1349" s="2996">
        <f t="shared" si="211"/>
        <v>1</v>
      </c>
      <c r="F1349" s="2994"/>
      <c r="G1349" s="2996">
        <f t="shared" si="212"/>
        <v>1</v>
      </c>
      <c r="H1349" s="2994"/>
      <c r="I1349" s="2996">
        <f t="shared" si="213"/>
        <v>1</v>
      </c>
      <c r="J1349" s="2994"/>
      <c r="K1349" s="2996">
        <f t="shared" si="214"/>
        <v>1</v>
      </c>
      <c r="L1349" s="2994"/>
      <c r="M1349" s="2996">
        <f t="shared" si="215"/>
        <v>1</v>
      </c>
      <c r="N1349" s="2994"/>
      <c r="O1349" s="2996">
        <f t="shared" si="216"/>
        <v>1</v>
      </c>
      <c r="P1349" s="2994"/>
      <c r="Q1349" s="2996">
        <f t="shared" si="217"/>
        <v>1</v>
      </c>
      <c r="R1349" s="2997">
        <f t="shared" ca="1" si="218"/>
        <v>17260</v>
      </c>
      <c r="S1349" s="2962">
        <f t="shared" ca="1" si="219"/>
        <v>84</v>
      </c>
    </row>
    <row r="1350" spans="1:19">
      <c r="A1350" s="2992" t="str">
        <f>Sheet1!F1331</f>
        <v>4-1542</v>
      </c>
      <c r="B1350" s="2992">
        <f>Sheet1!G1331</f>
        <v>48.86</v>
      </c>
      <c r="C1350" s="2996">
        <f t="shared" si="210"/>
        <v>1</v>
      </c>
      <c r="D1350" s="2994"/>
      <c r="E1350" s="2996">
        <f t="shared" si="211"/>
        <v>1</v>
      </c>
      <c r="F1350" s="2994"/>
      <c r="G1350" s="2996">
        <f t="shared" si="212"/>
        <v>1</v>
      </c>
      <c r="H1350" s="2994"/>
      <c r="I1350" s="2996">
        <f t="shared" si="213"/>
        <v>1</v>
      </c>
      <c r="J1350" s="2994"/>
      <c r="K1350" s="2996">
        <f t="shared" si="214"/>
        <v>1</v>
      </c>
      <c r="L1350" s="2994"/>
      <c r="M1350" s="2996">
        <f t="shared" si="215"/>
        <v>1</v>
      </c>
      <c r="N1350" s="2994"/>
      <c r="O1350" s="2996">
        <f t="shared" si="216"/>
        <v>1</v>
      </c>
      <c r="P1350" s="2994"/>
      <c r="Q1350" s="2996">
        <f t="shared" si="217"/>
        <v>1</v>
      </c>
      <c r="R1350" s="2997">
        <f t="shared" ca="1" si="218"/>
        <v>17260</v>
      </c>
      <c r="S1350" s="2962">
        <f t="shared" ca="1" si="219"/>
        <v>84</v>
      </c>
    </row>
    <row r="1351" spans="1:19">
      <c r="A1351" s="2992" t="str">
        <f>Sheet1!F1332</f>
        <v>4-1543</v>
      </c>
      <c r="B1351" s="2992">
        <f>Sheet1!G1332</f>
        <v>48.86</v>
      </c>
      <c r="C1351" s="2996">
        <f t="shared" si="210"/>
        <v>1</v>
      </c>
      <c r="D1351" s="2994"/>
      <c r="E1351" s="2996">
        <f t="shared" si="211"/>
        <v>1</v>
      </c>
      <c r="F1351" s="2994"/>
      <c r="G1351" s="2996">
        <f t="shared" si="212"/>
        <v>1</v>
      </c>
      <c r="H1351" s="2994"/>
      <c r="I1351" s="2996">
        <f t="shared" si="213"/>
        <v>1</v>
      </c>
      <c r="J1351" s="2994"/>
      <c r="K1351" s="2996">
        <f t="shared" si="214"/>
        <v>1</v>
      </c>
      <c r="L1351" s="2994"/>
      <c r="M1351" s="2996">
        <f t="shared" si="215"/>
        <v>1</v>
      </c>
      <c r="N1351" s="2994"/>
      <c r="O1351" s="2996">
        <f t="shared" si="216"/>
        <v>1</v>
      </c>
      <c r="P1351" s="2994"/>
      <c r="Q1351" s="2996">
        <f t="shared" si="217"/>
        <v>1</v>
      </c>
      <c r="R1351" s="2997">
        <f t="shared" ca="1" si="218"/>
        <v>17260</v>
      </c>
      <c r="S1351" s="2962">
        <f t="shared" ca="1" si="219"/>
        <v>84</v>
      </c>
    </row>
    <row r="1352" spans="1:19">
      <c r="A1352" s="2992" t="str">
        <f>Sheet1!F1333</f>
        <v>4-1544</v>
      </c>
      <c r="B1352" s="2992">
        <f>Sheet1!G1333</f>
        <v>54.87</v>
      </c>
      <c r="C1352" s="2996">
        <f t="shared" si="210"/>
        <v>1</v>
      </c>
      <c r="D1352" s="2994"/>
      <c r="E1352" s="2996">
        <f t="shared" si="211"/>
        <v>1</v>
      </c>
      <c r="F1352" s="2994"/>
      <c r="G1352" s="2996">
        <f t="shared" si="212"/>
        <v>1</v>
      </c>
      <c r="H1352" s="2994"/>
      <c r="I1352" s="2996">
        <f t="shared" si="213"/>
        <v>1</v>
      </c>
      <c r="J1352" s="2994"/>
      <c r="K1352" s="2996">
        <f t="shared" si="214"/>
        <v>1</v>
      </c>
      <c r="L1352" s="2994"/>
      <c r="M1352" s="2996">
        <f t="shared" si="215"/>
        <v>1</v>
      </c>
      <c r="N1352" s="2994"/>
      <c r="O1352" s="2996">
        <f t="shared" si="216"/>
        <v>1</v>
      </c>
      <c r="P1352" s="2994"/>
      <c r="Q1352" s="2996">
        <f t="shared" si="217"/>
        <v>1</v>
      </c>
      <c r="R1352" s="2997">
        <f t="shared" ca="1" si="218"/>
        <v>17260</v>
      </c>
      <c r="S1352" s="2962">
        <f t="shared" ca="1" si="219"/>
        <v>95</v>
      </c>
    </row>
    <row r="1353" spans="1:19">
      <c r="A1353" s="2992" t="str">
        <f>Sheet1!F1334</f>
        <v>4-1545</v>
      </c>
      <c r="B1353" s="2992">
        <f>Sheet1!G1334</f>
        <v>88.13</v>
      </c>
      <c r="C1353" s="2996">
        <f t="shared" si="210"/>
        <v>1</v>
      </c>
      <c r="D1353" s="2994"/>
      <c r="E1353" s="2996">
        <f t="shared" si="211"/>
        <v>1</v>
      </c>
      <c r="F1353" s="2994"/>
      <c r="G1353" s="2996">
        <f t="shared" si="212"/>
        <v>1</v>
      </c>
      <c r="H1353" s="2994"/>
      <c r="I1353" s="2996">
        <f t="shared" si="213"/>
        <v>1</v>
      </c>
      <c r="J1353" s="2994"/>
      <c r="K1353" s="2996">
        <f t="shared" si="214"/>
        <v>1</v>
      </c>
      <c r="L1353" s="2994"/>
      <c r="M1353" s="2996">
        <f t="shared" si="215"/>
        <v>1</v>
      </c>
      <c r="N1353" s="2994"/>
      <c r="O1353" s="2996">
        <f t="shared" si="216"/>
        <v>1</v>
      </c>
      <c r="P1353" s="2994"/>
      <c r="Q1353" s="2996">
        <f t="shared" si="217"/>
        <v>1</v>
      </c>
      <c r="R1353" s="2997">
        <f t="shared" ca="1" si="218"/>
        <v>17260</v>
      </c>
      <c r="S1353" s="2962">
        <f t="shared" ca="1" si="219"/>
        <v>152</v>
      </c>
    </row>
    <row r="1354" spans="1:19">
      <c r="A1354" s="2992" t="str">
        <f>Sheet1!F1335</f>
        <v>1-1601</v>
      </c>
      <c r="B1354" s="2992">
        <f>Sheet1!G1335</f>
        <v>186.33</v>
      </c>
      <c r="C1354" s="2996">
        <f t="shared" si="210"/>
        <v>0.99</v>
      </c>
      <c r="D1354" s="2994"/>
      <c r="E1354" s="2996">
        <f t="shared" si="211"/>
        <v>1</v>
      </c>
      <c r="F1354" s="2994"/>
      <c r="G1354" s="2996">
        <f t="shared" si="212"/>
        <v>1</v>
      </c>
      <c r="H1354" s="2994"/>
      <c r="I1354" s="2996">
        <f t="shared" si="213"/>
        <v>1</v>
      </c>
      <c r="J1354" s="2994"/>
      <c r="K1354" s="2996">
        <f t="shared" si="214"/>
        <v>1</v>
      </c>
      <c r="L1354" s="2994"/>
      <c r="M1354" s="2996">
        <f t="shared" si="215"/>
        <v>1</v>
      </c>
      <c r="N1354" s="2994"/>
      <c r="O1354" s="2996">
        <f t="shared" si="216"/>
        <v>1</v>
      </c>
      <c r="P1354" s="2994"/>
      <c r="Q1354" s="2996">
        <f t="shared" si="217"/>
        <v>1</v>
      </c>
      <c r="R1354" s="2997">
        <f t="shared" ca="1" si="218"/>
        <v>17087</v>
      </c>
      <c r="S1354" s="2962">
        <f t="shared" ca="1" si="219"/>
        <v>318</v>
      </c>
    </row>
    <row r="1355" spans="1:19">
      <c r="A1355" s="2992" t="str">
        <f>Sheet1!F1336</f>
        <v>1-1602</v>
      </c>
      <c r="B1355" s="2992">
        <f>Sheet1!G1336</f>
        <v>188.39</v>
      </c>
      <c r="C1355" s="2996">
        <f t="shared" si="210"/>
        <v>0.99</v>
      </c>
      <c r="D1355" s="2994"/>
      <c r="E1355" s="2996">
        <f t="shared" si="211"/>
        <v>1</v>
      </c>
      <c r="F1355" s="2994"/>
      <c r="G1355" s="2996">
        <f t="shared" si="212"/>
        <v>1</v>
      </c>
      <c r="H1355" s="2994"/>
      <c r="I1355" s="2996">
        <f t="shared" si="213"/>
        <v>1</v>
      </c>
      <c r="J1355" s="2994"/>
      <c r="K1355" s="2996">
        <f t="shared" si="214"/>
        <v>1</v>
      </c>
      <c r="L1355" s="2994"/>
      <c r="M1355" s="2996">
        <f t="shared" si="215"/>
        <v>1</v>
      </c>
      <c r="N1355" s="2994"/>
      <c r="O1355" s="2996">
        <f t="shared" si="216"/>
        <v>1</v>
      </c>
      <c r="P1355" s="2994"/>
      <c r="Q1355" s="2996">
        <f t="shared" si="217"/>
        <v>1</v>
      </c>
      <c r="R1355" s="2997">
        <f t="shared" ca="1" si="218"/>
        <v>17087</v>
      </c>
      <c r="S1355" s="2962">
        <f t="shared" ca="1" si="219"/>
        <v>322</v>
      </c>
    </row>
    <row r="1356" spans="1:19">
      <c r="A1356" s="2992" t="str">
        <f>Sheet1!F1337</f>
        <v>1-1603</v>
      </c>
      <c r="B1356" s="2992">
        <f>Sheet1!G1337</f>
        <v>188.39</v>
      </c>
      <c r="C1356" s="2996">
        <f t="shared" si="210"/>
        <v>0.99</v>
      </c>
      <c r="D1356" s="2994"/>
      <c r="E1356" s="2996">
        <f t="shared" si="211"/>
        <v>1</v>
      </c>
      <c r="F1356" s="2994"/>
      <c r="G1356" s="2996">
        <f t="shared" si="212"/>
        <v>1</v>
      </c>
      <c r="H1356" s="2994"/>
      <c r="I1356" s="2996">
        <f t="shared" si="213"/>
        <v>1</v>
      </c>
      <c r="J1356" s="2994"/>
      <c r="K1356" s="2996">
        <f t="shared" si="214"/>
        <v>1</v>
      </c>
      <c r="L1356" s="2994"/>
      <c r="M1356" s="2996">
        <f t="shared" si="215"/>
        <v>1</v>
      </c>
      <c r="N1356" s="2994"/>
      <c r="O1356" s="2996">
        <f t="shared" si="216"/>
        <v>1</v>
      </c>
      <c r="P1356" s="2994"/>
      <c r="Q1356" s="2996">
        <f t="shared" si="217"/>
        <v>1</v>
      </c>
      <c r="R1356" s="2997">
        <f t="shared" ca="1" si="218"/>
        <v>17087</v>
      </c>
      <c r="S1356" s="2962">
        <f t="shared" ca="1" si="219"/>
        <v>322</v>
      </c>
    </row>
    <row r="1357" spans="1:19">
      <c r="A1357" s="2992" t="str">
        <f>Sheet1!F1338</f>
        <v>1-1604</v>
      </c>
      <c r="B1357" s="2992">
        <f>Sheet1!G1338</f>
        <v>188.39</v>
      </c>
      <c r="C1357" s="2996">
        <f t="shared" ref="C1357:C1420" si="220">IF(B1357="",1,(LOOKUP(B1357,$3:$3,$4:$4)-LOOKUP($B$24,$3:$3,$4:$4)+100)/100)</f>
        <v>0.99</v>
      </c>
      <c r="D1357" s="2994"/>
      <c r="E1357" s="2996">
        <f t="shared" ref="E1357:E1420" si="221">(SUMIF($5:$5,D1357,$6:$6)-SUMIF($5:$5,$D$24,$6:$6)+100)/100</f>
        <v>1</v>
      </c>
      <c r="F1357" s="2994"/>
      <c r="G1357" s="2996">
        <f t="shared" ref="G1357:G1420" si="222">(SUMIF($7:$7,F1357,$8:$8)-SUMIF($7:$7,$F$24,$8:$8)+100)/100</f>
        <v>1</v>
      </c>
      <c r="H1357" s="2994"/>
      <c r="I1357" s="2996">
        <f t="shared" ref="I1357:I1420" si="223">(SUMIF($9:$9,H1357,$10:$10)-SUMIF($9:$9,$H$24,$10:$10)+100)/100</f>
        <v>1</v>
      </c>
      <c r="J1357" s="2994"/>
      <c r="K1357" s="2996">
        <f t="shared" ref="K1357:K1420" si="224">(SUMIF($11:$11,J1357,$12:$12)-SUMIF($11:$11,$J$24,$12:$12)+100)/100</f>
        <v>1</v>
      </c>
      <c r="L1357" s="2994"/>
      <c r="M1357" s="2996">
        <f t="shared" ref="M1357:M1420" si="225">(SUMIF($13:$13,L1357,$14:$14)-SUMIF($13:$13,$L$24,$14:$14)+100)/100</f>
        <v>1</v>
      </c>
      <c r="N1357" s="2994"/>
      <c r="O1357" s="2996">
        <f t="shared" ref="O1357:O1420" si="226">(SUMIF($15:$15,N1357,$16:$16)-SUMIF($15:$15,$N$24,$16:$16)+100)/100</f>
        <v>1</v>
      </c>
      <c r="P1357" s="2994"/>
      <c r="Q1357" s="2996">
        <f t="shared" ref="Q1357:Q1420" si="227">(SUMIF($17:$17,P1357,$18:$18)-SUMIF($17:$17,$P$24,$18:$18)+100)/100</f>
        <v>1</v>
      </c>
      <c r="R1357" s="2997">
        <f t="shared" ref="R1357:R1420" ca="1" si="228">IF(B1357="",0,ROUND($R$24*C1357*E1357*G1357*I1357*K1357*M1357*O1357*Q1357,0))</f>
        <v>17087</v>
      </c>
      <c r="S1357" s="2962">
        <f t="shared" ref="S1357:S1420" ca="1" si="229">ROUND(R1357*B1357/10000,0)</f>
        <v>322</v>
      </c>
    </row>
    <row r="1358" spans="1:19">
      <c r="A1358" s="2992" t="str">
        <f>Sheet1!F1339</f>
        <v>1-1605</v>
      </c>
      <c r="B1358" s="2992">
        <f>Sheet1!G1339</f>
        <v>188.39</v>
      </c>
      <c r="C1358" s="2996">
        <f t="shared" si="220"/>
        <v>0.99</v>
      </c>
      <c r="D1358" s="2994"/>
      <c r="E1358" s="2996">
        <f t="shared" si="221"/>
        <v>1</v>
      </c>
      <c r="F1358" s="2994"/>
      <c r="G1358" s="2996">
        <f t="shared" si="222"/>
        <v>1</v>
      </c>
      <c r="H1358" s="2994"/>
      <c r="I1358" s="2996">
        <f t="shared" si="223"/>
        <v>1</v>
      </c>
      <c r="J1358" s="2994"/>
      <c r="K1358" s="2996">
        <f t="shared" si="224"/>
        <v>1</v>
      </c>
      <c r="L1358" s="2994"/>
      <c r="M1358" s="2996">
        <f t="shared" si="225"/>
        <v>1</v>
      </c>
      <c r="N1358" s="2994"/>
      <c r="O1358" s="2996">
        <f t="shared" si="226"/>
        <v>1</v>
      </c>
      <c r="P1358" s="2994"/>
      <c r="Q1358" s="2996">
        <f t="shared" si="227"/>
        <v>1</v>
      </c>
      <c r="R1358" s="2997">
        <f t="shared" ca="1" si="228"/>
        <v>17087</v>
      </c>
      <c r="S1358" s="2962">
        <f t="shared" ca="1" si="229"/>
        <v>322</v>
      </c>
    </row>
    <row r="1359" spans="1:19">
      <c r="A1359" s="2992" t="str">
        <f>Sheet1!F1340</f>
        <v>1-1606</v>
      </c>
      <c r="B1359" s="2992">
        <f>Sheet1!G1340</f>
        <v>188.39</v>
      </c>
      <c r="C1359" s="2996">
        <f t="shared" si="220"/>
        <v>0.99</v>
      </c>
      <c r="D1359" s="2994"/>
      <c r="E1359" s="2996">
        <f t="shared" si="221"/>
        <v>1</v>
      </c>
      <c r="F1359" s="2994"/>
      <c r="G1359" s="2996">
        <f t="shared" si="222"/>
        <v>1</v>
      </c>
      <c r="H1359" s="2994"/>
      <c r="I1359" s="2996">
        <f t="shared" si="223"/>
        <v>1</v>
      </c>
      <c r="J1359" s="2994"/>
      <c r="K1359" s="2996">
        <f t="shared" si="224"/>
        <v>1</v>
      </c>
      <c r="L1359" s="2994"/>
      <c r="M1359" s="2996">
        <f t="shared" si="225"/>
        <v>1</v>
      </c>
      <c r="N1359" s="2994"/>
      <c r="O1359" s="2996">
        <f t="shared" si="226"/>
        <v>1</v>
      </c>
      <c r="P1359" s="2994"/>
      <c r="Q1359" s="2996">
        <f t="shared" si="227"/>
        <v>1</v>
      </c>
      <c r="R1359" s="2997">
        <f t="shared" ca="1" si="228"/>
        <v>17087</v>
      </c>
      <c r="S1359" s="2962">
        <f t="shared" ca="1" si="229"/>
        <v>322</v>
      </c>
    </row>
    <row r="1360" spans="1:19">
      <c r="A1360" s="2992" t="str">
        <f>Sheet1!F1341</f>
        <v>1-1607</v>
      </c>
      <c r="B1360" s="2992">
        <f>Sheet1!G1341</f>
        <v>187.53</v>
      </c>
      <c r="C1360" s="2996">
        <f t="shared" si="220"/>
        <v>0.99</v>
      </c>
      <c r="D1360" s="2994"/>
      <c r="E1360" s="2996">
        <f t="shared" si="221"/>
        <v>1</v>
      </c>
      <c r="F1360" s="2994"/>
      <c r="G1360" s="2996">
        <f t="shared" si="222"/>
        <v>1</v>
      </c>
      <c r="H1360" s="2994"/>
      <c r="I1360" s="2996">
        <f t="shared" si="223"/>
        <v>1</v>
      </c>
      <c r="J1360" s="2994"/>
      <c r="K1360" s="2996">
        <f t="shared" si="224"/>
        <v>1</v>
      </c>
      <c r="L1360" s="2994"/>
      <c r="M1360" s="2996">
        <f t="shared" si="225"/>
        <v>1</v>
      </c>
      <c r="N1360" s="2994"/>
      <c r="O1360" s="2996">
        <f t="shared" si="226"/>
        <v>1</v>
      </c>
      <c r="P1360" s="2994"/>
      <c r="Q1360" s="2996">
        <f t="shared" si="227"/>
        <v>1</v>
      </c>
      <c r="R1360" s="2997">
        <f t="shared" ca="1" si="228"/>
        <v>17087</v>
      </c>
      <c r="S1360" s="2962">
        <f t="shared" ca="1" si="229"/>
        <v>320</v>
      </c>
    </row>
    <row r="1361" spans="1:19">
      <c r="A1361" s="2992" t="str">
        <f>Sheet1!F1342</f>
        <v>1-1608</v>
      </c>
      <c r="B1361" s="2992">
        <f>Sheet1!G1342</f>
        <v>210.19</v>
      </c>
      <c r="C1361" s="2996">
        <f t="shared" si="220"/>
        <v>0.98</v>
      </c>
      <c r="D1361" s="2994"/>
      <c r="E1361" s="2996">
        <f t="shared" si="221"/>
        <v>1</v>
      </c>
      <c r="F1361" s="2994"/>
      <c r="G1361" s="2996">
        <f t="shared" si="222"/>
        <v>1</v>
      </c>
      <c r="H1361" s="2994"/>
      <c r="I1361" s="2996">
        <f t="shared" si="223"/>
        <v>1</v>
      </c>
      <c r="J1361" s="2994"/>
      <c r="K1361" s="2996">
        <f t="shared" si="224"/>
        <v>1</v>
      </c>
      <c r="L1361" s="2994"/>
      <c r="M1361" s="2996">
        <f t="shared" si="225"/>
        <v>1</v>
      </c>
      <c r="N1361" s="2994"/>
      <c r="O1361" s="2996">
        <f t="shared" si="226"/>
        <v>1</v>
      </c>
      <c r="P1361" s="2994"/>
      <c r="Q1361" s="2996">
        <f t="shared" si="227"/>
        <v>1</v>
      </c>
      <c r="R1361" s="2997">
        <f t="shared" ca="1" si="228"/>
        <v>16915</v>
      </c>
      <c r="S1361" s="2962">
        <f t="shared" ca="1" si="229"/>
        <v>356</v>
      </c>
    </row>
    <row r="1362" spans="1:19">
      <c r="A1362" s="2992" t="str">
        <f>Sheet1!F1343</f>
        <v>1-1609</v>
      </c>
      <c r="B1362" s="2992">
        <f>Sheet1!G1343</f>
        <v>169.2</v>
      </c>
      <c r="C1362" s="2996">
        <f t="shared" si="220"/>
        <v>0.99</v>
      </c>
      <c r="D1362" s="2994"/>
      <c r="E1362" s="2996">
        <f t="shared" si="221"/>
        <v>1</v>
      </c>
      <c r="F1362" s="2994"/>
      <c r="G1362" s="2996">
        <f t="shared" si="222"/>
        <v>1</v>
      </c>
      <c r="H1362" s="2994"/>
      <c r="I1362" s="2996">
        <f t="shared" si="223"/>
        <v>1</v>
      </c>
      <c r="J1362" s="2994"/>
      <c r="K1362" s="2996">
        <f t="shared" si="224"/>
        <v>1</v>
      </c>
      <c r="L1362" s="2994"/>
      <c r="M1362" s="2996">
        <f t="shared" si="225"/>
        <v>1</v>
      </c>
      <c r="N1362" s="2994"/>
      <c r="O1362" s="2996">
        <f t="shared" si="226"/>
        <v>1</v>
      </c>
      <c r="P1362" s="2994"/>
      <c r="Q1362" s="2996">
        <f t="shared" si="227"/>
        <v>1</v>
      </c>
      <c r="R1362" s="2997">
        <f t="shared" ca="1" si="228"/>
        <v>17087</v>
      </c>
      <c r="S1362" s="2962">
        <f t="shared" ca="1" si="229"/>
        <v>289</v>
      </c>
    </row>
    <row r="1363" spans="1:19">
      <c r="A1363" s="2992" t="str">
        <f>Sheet1!F1344</f>
        <v>1-1610</v>
      </c>
      <c r="B1363" s="2992">
        <f>Sheet1!G1344</f>
        <v>178.35</v>
      </c>
      <c r="C1363" s="2996">
        <f t="shared" si="220"/>
        <v>0.99</v>
      </c>
      <c r="D1363" s="2994"/>
      <c r="E1363" s="2996">
        <f t="shared" si="221"/>
        <v>1</v>
      </c>
      <c r="F1363" s="2994"/>
      <c r="G1363" s="2996">
        <f t="shared" si="222"/>
        <v>1</v>
      </c>
      <c r="H1363" s="2994"/>
      <c r="I1363" s="2996">
        <f t="shared" si="223"/>
        <v>1</v>
      </c>
      <c r="J1363" s="2994"/>
      <c r="K1363" s="2996">
        <f t="shared" si="224"/>
        <v>1</v>
      </c>
      <c r="L1363" s="2994"/>
      <c r="M1363" s="2996">
        <f t="shared" si="225"/>
        <v>1</v>
      </c>
      <c r="N1363" s="2994"/>
      <c r="O1363" s="2996">
        <f t="shared" si="226"/>
        <v>1</v>
      </c>
      <c r="P1363" s="2994"/>
      <c r="Q1363" s="2996">
        <f t="shared" si="227"/>
        <v>1</v>
      </c>
      <c r="R1363" s="2997">
        <f t="shared" ca="1" si="228"/>
        <v>17087</v>
      </c>
      <c r="S1363" s="2962">
        <f t="shared" ca="1" si="229"/>
        <v>305</v>
      </c>
    </row>
    <row r="1364" spans="1:19">
      <c r="A1364" s="2992" t="str">
        <f>Sheet1!F1345</f>
        <v>1-1611</v>
      </c>
      <c r="B1364" s="2992">
        <f>Sheet1!G1345</f>
        <v>208.92</v>
      </c>
      <c r="C1364" s="2996">
        <f t="shared" si="220"/>
        <v>0.98</v>
      </c>
      <c r="D1364" s="2994"/>
      <c r="E1364" s="2996">
        <f t="shared" si="221"/>
        <v>1</v>
      </c>
      <c r="F1364" s="2994"/>
      <c r="G1364" s="2996">
        <f t="shared" si="222"/>
        <v>1</v>
      </c>
      <c r="H1364" s="2994"/>
      <c r="I1364" s="2996">
        <f t="shared" si="223"/>
        <v>1</v>
      </c>
      <c r="J1364" s="2994"/>
      <c r="K1364" s="2996">
        <f t="shared" si="224"/>
        <v>1</v>
      </c>
      <c r="L1364" s="2994"/>
      <c r="M1364" s="2996">
        <f t="shared" si="225"/>
        <v>1</v>
      </c>
      <c r="N1364" s="2994"/>
      <c r="O1364" s="2996">
        <f t="shared" si="226"/>
        <v>1</v>
      </c>
      <c r="P1364" s="2994"/>
      <c r="Q1364" s="2996">
        <f t="shared" si="227"/>
        <v>1</v>
      </c>
      <c r="R1364" s="2997">
        <f t="shared" ca="1" si="228"/>
        <v>16915</v>
      </c>
      <c r="S1364" s="2962">
        <f t="shared" ca="1" si="229"/>
        <v>353</v>
      </c>
    </row>
    <row r="1365" spans="1:19">
      <c r="A1365" s="2992" t="str">
        <f>Sheet1!F1346</f>
        <v>1-1612</v>
      </c>
      <c r="B1365" s="2992">
        <f>Sheet1!G1346</f>
        <v>188.35</v>
      </c>
      <c r="C1365" s="2996">
        <f t="shared" si="220"/>
        <v>0.99</v>
      </c>
      <c r="D1365" s="2994"/>
      <c r="E1365" s="2996">
        <f t="shared" si="221"/>
        <v>1</v>
      </c>
      <c r="F1365" s="2994"/>
      <c r="G1365" s="2996">
        <f t="shared" si="222"/>
        <v>1</v>
      </c>
      <c r="H1365" s="2994"/>
      <c r="I1365" s="2996">
        <f t="shared" si="223"/>
        <v>1</v>
      </c>
      <c r="J1365" s="2994"/>
      <c r="K1365" s="2996">
        <f t="shared" si="224"/>
        <v>1</v>
      </c>
      <c r="L1365" s="2994"/>
      <c r="M1365" s="2996">
        <f t="shared" si="225"/>
        <v>1</v>
      </c>
      <c r="N1365" s="2994"/>
      <c r="O1365" s="2996">
        <f t="shared" si="226"/>
        <v>1</v>
      </c>
      <c r="P1365" s="2994"/>
      <c r="Q1365" s="2996">
        <f t="shared" si="227"/>
        <v>1</v>
      </c>
      <c r="R1365" s="2997">
        <f t="shared" ca="1" si="228"/>
        <v>17087</v>
      </c>
      <c r="S1365" s="2962">
        <f t="shared" ca="1" si="229"/>
        <v>322</v>
      </c>
    </row>
    <row r="1366" spans="1:19">
      <c r="A1366" s="2992" t="str">
        <f>Sheet1!F1347</f>
        <v>1-1613</v>
      </c>
      <c r="B1366" s="2992">
        <f>Sheet1!G1347</f>
        <v>188.39</v>
      </c>
      <c r="C1366" s="2996">
        <f t="shared" si="220"/>
        <v>0.99</v>
      </c>
      <c r="D1366" s="2994"/>
      <c r="E1366" s="2996">
        <f t="shared" si="221"/>
        <v>1</v>
      </c>
      <c r="F1366" s="2994"/>
      <c r="G1366" s="2996">
        <f t="shared" si="222"/>
        <v>1</v>
      </c>
      <c r="H1366" s="2994"/>
      <c r="I1366" s="2996">
        <f t="shared" si="223"/>
        <v>1</v>
      </c>
      <c r="J1366" s="2994"/>
      <c r="K1366" s="2996">
        <f t="shared" si="224"/>
        <v>1</v>
      </c>
      <c r="L1366" s="2994"/>
      <c r="M1366" s="2996">
        <f t="shared" si="225"/>
        <v>1</v>
      </c>
      <c r="N1366" s="2994"/>
      <c r="O1366" s="2996">
        <f t="shared" si="226"/>
        <v>1</v>
      </c>
      <c r="P1366" s="2994"/>
      <c r="Q1366" s="2996">
        <f t="shared" si="227"/>
        <v>1</v>
      </c>
      <c r="R1366" s="2997">
        <f t="shared" ca="1" si="228"/>
        <v>17087</v>
      </c>
      <c r="S1366" s="2962">
        <f t="shared" ca="1" si="229"/>
        <v>322</v>
      </c>
    </row>
    <row r="1367" spans="1:19">
      <c r="A1367" s="2992" t="str">
        <f>Sheet1!F1348</f>
        <v>1-1614</v>
      </c>
      <c r="B1367" s="2992">
        <f>Sheet1!G1348</f>
        <v>188.39</v>
      </c>
      <c r="C1367" s="2996">
        <f t="shared" si="220"/>
        <v>0.99</v>
      </c>
      <c r="D1367" s="2994"/>
      <c r="E1367" s="2996">
        <f t="shared" si="221"/>
        <v>1</v>
      </c>
      <c r="F1367" s="2994"/>
      <c r="G1367" s="2996">
        <f t="shared" si="222"/>
        <v>1</v>
      </c>
      <c r="H1367" s="2994"/>
      <c r="I1367" s="2996">
        <f t="shared" si="223"/>
        <v>1</v>
      </c>
      <c r="J1367" s="2994"/>
      <c r="K1367" s="2996">
        <f t="shared" si="224"/>
        <v>1</v>
      </c>
      <c r="L1367" s="2994"/>
      <c r="M1367" s="2996">
        <f t="shared" si="225"/>
        <v>1</v>
      </c>
      <c r="N1367" s="2994"/>
      <c r="O1367" s="2996">
        <f t="shared" si="226"/>
        <v>1</v>
      </c>
      <c r="P1367" s="2994"/>
      <c r="Q1367" s="2996">
        <f t="shared" si="227"/>
        <v>1</v>
      </c>
      <c r="R1367" s="2997">
        <f t="shared" ca="1" si="228"/>
        <v>17087</v>
      </c>
      <c r="S1367" s="2962">
        <f t="shared" ca="1" si="229"/>
        <v>322</v>
      </c>
    </row>
    <row r="1368" spans="1:19">
      <c r="A1368" s="2992" t="str">
        <f>Sheet1!F1349</f>
        <v>1-1615</v>
      </c>
      <c r="B1368" s="2992">
        <f>Sheet1!G1349</f>
        <v>188.39</v>
      </c>
      <c r="C1368" s="2996">
        <f t="shared" si="220"/>
        <v>0.99</v>
      </c>
      <c r="D1368" s="2994"/>
      <c r="E1368" s="2996">
        <f t="shared" si="221"/>
        <v>1</v>
      </c>
      <c r="F1368" s="2994"/>
      <c r="G1368" s="2996">
        <f t="shared" si="222"/>
        <v>1</v>
      </c>
      <c r="H1368" s="2994"/>
      <c r="I1368" s="2996">
        <f t="shared" si="223"/>
        <v>1</v>
      </c>
      <c r="J1368" s="2994"/>
      <c r="K1368" s="2996">
        <f t="shared" si="224"/>
        <v>1</v>
      </c>
      <c r="L1368" s="2994"/>
      <c r="M1368" s="2996">
        <f t="shared" si="225"/>
        <v>1</v>
      </c>
      <c r="N1368" s="2994"/>
      <c r="O1368" s="2996">
        <f t="shared" si="226"/>
        <v>1</v>
      </c>
      <c r="P1368" s="2994"/>
      <c r="Q1368" s="2996">
        <f t="shared" si="227"/>
        <v>1</v>
      </c>
      <c r="R1368" s="2997">
        <f t="shared" ca="1" si="228"/>
        <v>17087</v>
      </c>
      <c r="S1368" s="2962">
        <f t="shared" ca="1" si="229"/>
        <v>322</v>
      </c>
    </row>
    <row r="1369" spans="1:19">
      <c r="A1369" s="2992" t="str">
        <f>Sheet1!F1350</f>
        <v>1-1616</v>
      </c>
      <c r="B1369" s="2992">
        <f>Sheet1!G1350</f>
        <v>188.39</v>
      </c>
      <c r="C1369" s="2996">
        <f t="shared" si="220"/>
        <v>0.99</v>
      </c>
      <c r="D1369" s="2994"/>
      <c r="E1369" s="2996">
        <f t="shared" si="221"/>
        <v>1</v>
      </c>
      <c r="F1369" s="2994"/>
      <c r="G1369" s="2996">
        <f t="shared" si="222"/>
        <v>1</v>
      </c>
      <c r="H1369" s="2994"/>
      <c r="I1369" s="2996">
        <f t="shared" si="223"/>
        <v>1</v>
      </c>
      <c r="J1369" s="2994"/>
      <c r="K1369" s="2996">
        <f t="shared" si="224"/>
        <v>1</v>
      </c>
      <c r="L1369" s="2994"/>
      <c r="M1369" s="2996">
        <f t="shared" si="225"/>
        <v>1</v>
      </c>
      <c r="N1369" s="2994"/>
      <c r="O1369" s="2996">
        <f t="shared" si="226"/>
        <v>1</v>
      </c>
      <c r="P1369" s="2994"/>
      <c r="Q1369" s="2996">
        <f t="shared" si="227"/>
        <v>1</v>
      </c>
      <c r="R1369" s="2997">
        <f t="shared" ca="1" si="228"/>
        <v>17087</v>
      </c>
      <c r="S1369" s="2962">
        <f t="shared" ca="1" si="229"/>
        <v>322</v>
      </c>
    </row>
    <row r="1370" spans="1:19">
      <c r="A1370" s="2992" t="str">
        <f>Sheet1!F1351</f>
        <v>1-1617</v>
      </c>
      <c r="B1370" s="2992">
        <f>Sheet1!G1351</f>
        <v>188.39</v>
      </c>
      <c r="C1370" s="2996">
        <f t="shared" si="220"/>
        <v>0.99</v>
      </c>
      <c r="D1370" s="2994"/>
      <c r="E1370" s="2996">
        <f t="shared" si="221"/>
        <v>1</v>
      </c>
      <c r="F1370" s="2994"/>
      <c r="G1370" s="2996">
        <f t="shared" si="222"/>
        <v>1</v>
      </c>
      <c r="H1370" s="2994"/>
      <c r="I1370" s="2996">
        <f t="shared" si="223"/>
        <v>1</v>
      </c>
      <c r="J1370" s="2994"/>
      <c r="K1370" s="2996">
        <f t="shared" si="224"/>
        <v>1</v>
      </c>
      <c r="L1370" s="2994"/>
      <c r="M1370" s="2996">
        <f t="shared" si="225"/>
        <v>1</v>
      </c>
      <c r="N1370" s="2994"/>
      <c r="O1370" s="2996">
        <f t="shared" si="226"/>
        <v>1</v>
      </c>
      <c r="P1370" s="2994"/>
      <c r="Q1370" s="2996">
        <f t="shared" si="227"/>
        <v>1</v>
      </c>
      <c r="R1370" s="2997">
        <f t="shared" ca="1" si="228"/>
        <v>17087</v>
      </c>
      <c r="S1370" s="2962">
        <f t="shared" ca="1" si="229"/>
        <v>322</v>
      </c>
    </row>
    <row r="1371" spans="1:19">
      <c r="A1371" s="2992" t="str">
        <f>Sheet1!F1352</f>
        <v>1-1618</v>
      </c>
      <c r="B1371" s="2992">
        <f>Sheet1!G1352</f>
        <v>279.91000000000003</v>
      </c>
      <c r="C1371" s="2996">
        <f t="shared" si="220"/>
        <v>0.98</v>
      </c>
      <c r="D1371" s="2994"/>
      <c r="E1371" s="2996">
        <f t="shared" si="221"/>
        <v>1</v>
      </c>
      <c r="F1371" s="2994"/>
      <c r="G1371" s="2996">
        <f t="shared" si="222"/>
        <v>1</v>
      </c>
      <c r="H1371" s="2994"/>
      <c r="I1371" s="2996">
        <f t="shared" si="223"/>
        <v>1</v>
      </c>
      <c r="J1371" s="2994"/>
      <c r="K1371" s="2996">
        <f t="shared" si="224"/>
        <v>1</v>
      </c>
      <c r="L1371" s="2994"/>
      <c r="M1371" s="2996">
        <f t="shared" si="225"/>
        <v>1</v>
      </c>
      <c r="N1371" s="2994"/>
      <c r="O1371" s="2996">
        <f t="shared" si="226"/>
        <v>1</v>
      </c>
      <c r="P1371" s="2994"/>
      <c r="Q1371" s="2996">
        <f t="shared" si="227"/>
        <v>1</v>
      </c>
      <c r="R1371" s="2997">
        <f t="shared" ca="1" si="228"/>
        <v>16915</v>
      </c>
      <c r="S1371" s="2962">
        <f t="shared" ca="1" si="229"/>
        <v>473</v>
      </c>
    </row>
    <row r="1372" spans="1:19">
      <c r="A1372" s="2992" t="str">
        <f>Sheet1!F1353</f>
        <v>1-1619</v>
      </c>
      <c r="B1372" s="2992">
        <f>Sheet1!G1353</f>
        <v>175.75</v>
      </c>
      <c r="C1372" s="2996">
        <f t="shared" si="220"/>
        <v>0.99</v>
      </c>
      <c r="D1372" s="2994"/>
      <c r="E1372" s="2996">
        <f t="shared" si="221"/>
        <v>1</v>
      </c>
      <c r="F1372" s="2994"/>
      <c r="G1372" s="2996">
        <f t="shared" si="222"/>
        <v>1</v>
      </c>
      <c r="H1372" s="2994"/>
      <c r="I1372" s="2996">
        <f t="shared" si="223"/>
        <v>1</v>
      </c>
      <c r="J1372" s="2994"/>
      <c r="K1372" s="2996">
        <f t="shared" si="224"/>
        <v>1</v>
      </c>
      <c r="L1372" s="2994"/>
      <c r="M1372" s="2996">
        <f t="shared" si="225"/>
        <v>1</v>
      </c>
      <c r="N1372" s="2994"/>
      <c r="O1372" s="2996">
        <f t="shared" si="226"/>
        <v>1</v>
      </c>
      <c r="P1372" s="2994"/>
      <c r="Q1372" s="2996">
        <f t="shared" si="227"/>
        <v>1</v>
      </c>
      <c r="R1372" s="2997">
        <f t="shared" ca="1" si="228"/>
        <v>17087</v>
      </c>
      <c r="S1372" s="2962">
        <f t="shared" ca="1" si="229"/>
        <v>300</v>
      </c>
    </row>
    <row r="1373" spans="1:19">
      <c r="A1373" s="2992" t="str">
        <f>Sheet1!F1354</f>
        <v>1-1620</v>
      </c>
      <c r="B1373" s="2992">
        <f>Sheet1!G1354</f>
        <v>188.32</v>
      </c>
      <c r="C1373" s="2996">
        <f t="shared" si="220"/>
        <v>0.99</v>
      </c>
      <c r="D1373" s="2994"/>
      <c r="E1373" s="2996">
        <f t="shared" si="221"/>
        <v>1</v>
      </c>
      <c r="F1373" s="2994"/>
      <c r="G1373" s="2996">
        <f t="shared" si="222"/>
        <v>1</v>
      </c>
      <c r="H1373" s="2994"/>
      <c r="I1373" s="2996">
        <f t="shared" si="223"/>
        <v>1</v>
      </c>
      <c r="J1373" s="2994"/>
      <c r="K1373" s="2996">
        <f t="shared" si="224"/>
        <v>1</v>
      </c>
      <c r="L1373" s="2994"/>
      <c r="M1373" s="2996">
        <f t="shared" si="225"/>
        <v>1</v>
      </c>
      <c r="N1373" s="2994"/>
      <c r="O1373" s="2996">
        <f t="shared" si="226"/>
        <v>1</v>
      </c>
      <c r="P1373" s="2994"/>
      <c r="Q1373" s="2996">
        <f t="shared" si="227"/>
        <v>1</v>
      </c>
      <c r="R1373" s="2997">
        <f t="shared" ca="1" si="228"/>
        <v>17087</v>
      </c>
      <c r="S1373" s="2962">
        <f t="shared" ca="1" si="229"/>
        <v>322</v>
      </c>
    </row>
    <row r="1374" spans="1:19">
      <c r="A1374" s="2992" t="str">
        <f>Sheet1!F1355</f>
        <v>2-1601</v>
      </c>
      <c r="B1374" s="2992">
        <f>Sheet1!G1355</f>
        <v>210.22</v>
      </c>
      <c r="C1374" s="2996">
        <f t="shared" si="220"/>
        <v>0.98</v>
      </c>
      <c r="D1374" s="2994"/>
      <c r="E1374" s="2996">
        <f t="shared" si="221"/>
        <v>1</v>
      </c>
      <c r="F1374" s="2994"/>
      <c r="G1374" s="2996">
        <f t="shared" si="222"/>
        <v>1</v>
      </c>
      <c r="H1374" s="2994"/>
      <c r="I1374" s="2996">
        <f t="shared" si="223"/>
        <v>1</v>
      </c>
      <c r="J1374" s="2994"/>
      <c r="K1374" s="2996">
        <f t="shared" si="224"/>
        <v>1</v>
      </c>
      <c r="L1374" s="2994"/>
      <c r="M1374" s="2996">
        <f t="shared" si="225"/>
        <v>1</v>
      </c>
      <c r="N1374" s="2994"/>
      <c r="O1374" s="2996">
        <f t="shared" si="226"/>
        <v>1</v>
      </c>
      <c r="P1374" s="2994"/>
      <c r="Q1374" s="2996">
        <f t="shared" si="227"/>
        <v>1</v>
      </c>
      <c r="R1374" s="2997">
        <f t="shared" ca="1" si="228"/>
        <v>16915</v>
      </c>
      <c r="S1374" s="2962">
        <f t="shared" ca="1" si="229"/>
        <v>356</v>
      </c>
    </row>
    <row r="1375" spans="1:19">
      <c r="A1375" s="2992" t="str">
        <f>Sheet1!F1356</f>
        <v>2-1602</v>
      </c>
      <c r="B1375" s="2992">
        <f>Sheet1!G1356</f>
        <v>187.56</v>
      </c>
      <c r="C1375" s="2996">
        <f t="shared" si="220"/>
        <v>0.99</v>
      </c>
      <c r="D1375" s="2994"/>
      <c r="E1375" s="2996">
        <f t="shared" si="221"/>
        <v>1</v>
      </c>
      <c r="F1375" s="2994"/>
      <c r="G1375" s="2996">
        <f t="shared" si="222"/>
        <v>1</v>
      </c>
      <c r="H1375" s="2994"/>
      <c r="I1375" s="2996">
        <f t="shared" si="223"/>
        <v>1</v>
      </c>
      <c r="J1375" s="2994"/>
      <c r="K1375" s="2996">
        <f t="shared" si="224"/>
        <v>1</v>
      </c>
      <c r="L1375" s="2994"/>
      <c r="M1375" s="2996">
        <f t="shared" si="225"/>
        <v>1</v>
      </c>
      <c r="N1375" s="2994"/>
      <c r="O1375" s="2996">
        <f t="shared" si="226"/>
        <v>1</v>
      </c>
      <c r="P1375" s="2994"/>
      <c r="Q1375" s="2996">
        <f t="shared" si="227"/>
        <v>1</v>
      </c>
      <c r="R1375" s="2997">
        <f t="shared" ca="1" si="228"/>
        <v>17087</v>
      </c>
      <c r="S1375" s="2962">
        <f t="shared" ca="1" si="229"/>
        <v>320</v>
      </c>
    </row>
    <row r="1376" spans="1:19">
      <c r="A1376" s="2992" t="str">
        <f>Sheet1!F1357</f>
        <v>2-1603</v>
      </c>
      <c r="B1376" s="2992">
        <f>Sheet1!G1357</f>
        <v>188.42</v>
      </c>
      <c r="C1376" s="2996">
        <f t="shared" si="220"/>
        <v>0.99</v>
      </c>
      <c r="D1376" s="2994"/>
      <c r="E1376" s="2996">
        <f t="shared" si="221"/>
        <v>1</v>
      </c>
      <c r="F1376" s="2994"/>
      <c r="G1376" s="2996">
        <f t="shared" si="222"/>
        <v>1</v>
      </c>
      <c r="H1376" s="2994"/>
      <c r="I1376" s="2996">
        <f t="shared" si="223"/>
        <v>1</v>
      </c>
      <c r="J1376" s="2994"/>
      <c r="K1376" s="2996">
        <f t="shared" si="224"/>
        <v>1</v>
      </c>
      <c r="L1376" s="2994"/>
      <c r="M1376" s="2996">
        <f t="shared" si="225"/>
        <v>1</v>
      </c>
      <c r="N1376" s="2994"/>
      <c r="O1376" s="2996">
        <f t="shared" si="226"/>
        <v>1</v>
      </c>
      <c r="P1376" s="2994"/>
      <c r="Q1376" s="2996">
        <f t="shared" si="227"/>
        <v>1</v>
      </c>
      <c r="R1376" s="2997">
        <f t="shared" ca="1" si="228"/>
        <v>17087</v>
      </c>
      <c r="S1376" s="2962">
        <f t="shared" ca="1" si="229"/>
        <v>322</v>
      </c>
    </row>
    <row r="1377" spans="1:19">
      <c r="A1377" s="2992" t="str">
        <f>Sheet1!F1358</f>
        <v>2-1604</v>
      </c>
      <c r="B1377" s="2992">
        <f>Sheet1!G1358</f>
        <v>188.42</v>
      </c>
      <c r="C1377" s="2996">
        <f t="shared" si="220"/>
        <v>0.99</v>
      </c>
      <c r="D1377" s="2994"/>
      <c r="E1377" s="2996">
        <f t="shared" si="221"/>
        <v>1</v>
      </c>
      <c r="F1377" s="2994"/>
      <c r="G1377" s="2996">
        <f t="shared" si="222"/>
        <v>1</v>
      </c>
      <c r="H1377" s="2994"/>
      <c r="I1377" s="2996">
        <f t="shared" si="223"/>
        <v>1</v>
      </c>
      <c r="J1377" s="2994"/>
      <c r="K1377" s="2996">
        <f t="shared" si="224"/>
        <v>1</v>
      </c>
      <c r="L1377" s="2994"/>
      <c r="M1377" s="2996">
        <f t="shared" si="225"/>
        <v>1</v>
      </c>
      <c r="N1377" s="2994"/>
      <c r="O1377" s="2996">
        <f t="shared" si="226"/>
        <v>1</v>
      </c>
      <c r="P1377" s="2994"/>
      <c r="Q1377" s="2996">
        <f t="shared" si="227"/>
        <v>1</v>
      </c>
      <c r="R1377" s="2997">
        <f t="shared" ca="1" si="228"/>
        <v>17087</v>
      </c>
      <c r="S1377" s="2962">
        <f t="shared" ca="1" si="229"/>
        <v>322</v>
      </c>
    </row>
    <row r="1378" spans="1:19">
      <c r="A1378" s="2992" t="str">
        <f>Sheet1!F1359</f>
        <v>2-1605</v>
      </c>
      <c r="B1378" s="2992">
        <f>Sheet1!G1359</f>
        <v>188.42</v>
      </c>
      <c r="C1378" s="2996">
        <f t="shared" si="220"/>
        <v>0.99</v>
      </c>
      <c r="D1378" s="2994"/>
      <c r="E1378" s="2996">
        <f t="shared" si="221"/>
        <v>1</v>
      </c>
      <c r="F1378" s="2994"/>
      <c r="G1378" s="2996">
        <f t="shared" si="222"/>
        <v>1</v>
      </c>
      <c r="H1378" s="2994"/>
      <c r="I1378" s="2996">
        <f t="shared" si="223"/>
        <v>1</v>
      </c>
      <c r="J1378" s="2994"/>
      <c r="K1378" s="2996">
        <f t="shared" si="224"/>
        <v>1</v>
      </c>
      <c r="L1378" s="2994"/>
      <c r="M1378" s="2996">
        <f t="shared" si="225"/>
        <v>1</v>
      </c>
      <c r="N1378" s="2994"/>
      <c r="O1378" s="2996">
        <f t="shared" si="226"/>
        <v>1</v>
      </c>
      <c r="P1378" s="2994"/>
      <c r="Q1378" s="2996">
        <f t="shared" si="227"/>
        <v>1</v>
      </c>
      <c r="R1378" s="2997">
        <f t="shared" ca="1" si="228"/>
        <v>17087</v>
      </c>
      <c r="S1378" s="2962">
        <f t="shared" ca="1" si="229"/>
        <v>322</v>
      </c>
    </row>
    <row r="1379" spans="1:19">
      <c r="A1379" s="2992" t="str">
        <f>Sheet1!F1360</f>
        <v>2-1606</v>
      </c>
      <c r="B1379" s="2992">
        <f>Sheet1!G1360</f>
        <v>188.42</v>
      </c>
      <c r="C1379" s="2996">
        <f t="shared" si="220"/>
        <v>0.99</v>
      </c>
      <c r="D1379" s="2994"/>
      <c r="E1379" s="2996">
        <f t="shared" si="221"/>
        <v>1</v>
      </c>
      <c r="F1379" s="2994"/>
      <c r="G1379" s="2996">
        <f t="shared" si="222"/>
        <v>1</v>
      </c>
      <c r="H1379" s="2994"/>
      <c r="I1379" s="2996">
        <f t="shared" si="223"/>
        <v>1</v>
      </c>
      <c r="J1379" s="2994"/>
      <c r="K1379" s="2996">
        <f t="shared" si="224"/>
        <v>1</v>
      </c>
      <c r="L1379" s="2994"/>
      <c r="M1379" s="2996">
        <f t="shared" si="225"/>
        <v>1</v>
      </c>
      <c r="N1379" s="2994"/>
      <c r="O1379" s="2996">
        <f t="shared" si="226"/>
        <v>1</v>
      </c>
      <c r="P1379" s="2994"/>
      <c r="Q1379" s="2996">
        <f t="shared" si="227"/>
        <v>1</v>
      </c>
      <c r="R1379" s="2997">
        <f t="shared" ca="1" si="228"/>
        <v>17087</v>
      </c>
      <c r="S1379" s="2962">
        <f t="shared" ca="1" si="229"/>
        <v>322</v>
      </c>
    </row>
    <row r="1380" spans="1:19">
      <c r="A1380" s="2992" t="str">
        <f>Sheet1!F1361</f>
        <v>2-1607</v>
      </c>
      <c r="B1380" s="2992">
        <f>Sheet1!G1361</f>
        <v>188.42</v>
      </c>
      <c r="C1380" s="2996">
        <f t="shared" si="220"/>
        <v>0.99</v>
      </c>
      <c r="D1380" s="2994"/>
      <c r="E1380" s="2996">
        <f t="shared" si="221"/>
        <v>1</v>
      </c>
      <c r="F1380" s="2994"/>
      <c r="G1380" s="2996">
        <f t="shared" si="222"/>
        <v>1</v>
      </c>
      <c r="H1380" s="2994"/>
      <c r="I1380" s="2996">
        <f t="shared" si="223"/>
        <v>1</v>
      </c>
      <c r="J1380" s="2994"/>
      <c r="K1380" s="2996">
        <f t="shared" si="224"/>
        <v>1</v>
      </c>
      <c r="L1380" s="2994"/>
      <c r="M1380" s="2996">
        <f t="shared" si="225"/>
        <v>1</v>
      </c>
      <c r="N1380" s="2994"/>
      <c r="O1380" s="2996">
        <f t="shared" si="226"/>
        <v>1</v>
      </c>
      <c r="P1380" s="2994"/>
      <c r="Q1380" s="2996">
        <f t="shared" si="227"/>
        <v>1</v>
      </c>
      <c r="R1380" s="2997">
        <f t="shared" ca="1" si="228"/>
        <v>17087</v>
      </c>
      <c r="S1380" s="2962">
        <f t="shared" ca="1" si="229"/>
        <v>322</v>
      </c>
    </row>
    <row r="1381" spans="1:19">
      <c r="A1381" s="2992" t="str">
        <f>Sheet1!F1362</f>
        <v>2-1608</v>
      </c>
      <c r="B1381" s="2992">
        <f>Sheet1!G1362</f>
        <v>186.36</v>
      </c>
      <c r="C1381" s="2996">
        <f t="shared" si="220"/>
        <v>0.99</v>
      </c>
      <c r="D1381" s="2994"/>
      <c r="E1381" s="2996">
        <f t="shared" si="221"/>
        <v>1</v>
      </c>
      <c r="F1381" s="2994"/>
      <c r="G1381" s="2996">
        <f t="shared" si="222"/>
        <v>1</v>
      </c>
      <c r="H1381" s="2994"/>
      <c r="I1381" s="2996">
        <f t="shared" si="223"/>
        <v>1</v>
      </c>
      <c r="J1381" s="2994"/>
      <c r="K1381" s="2996">
        <f t="shared" si="224"/>
        <v>1</v>
      </c>
      <c r="L1381" s="2994"/>
      <c r="M1381" s="2996">
        <f t="shared" si="225"/>
        <v>1</v>
      </c>
      <c r="N1381" s="2994"/>
      <c r="O1381" s="2996">
        <f t="shared" si="226"/>
        <v>1</v>
      </c>
      <c r="P1381" s="2994"/>
      <c r="Q1381" s="2996">
        <f t="shared" si="227"/>
        <v>1</v>
      </c>
      <c r="R1381" s="2997">
        <f t="shared" ca="1" si="228"/>
        <v>17087</v>
      </c>
      <c r="S1381" s="2962">
        <f t="shared" ca="1" si="229"/>
        <v>318</v>
      </c>
    </row>
    <row r="1382" spans="1:19">
      <c r="A1382" s="2992" t="str">
        <f>Sheet1!F1363</f>
        <v>2-1609</v>
      </c>
      <c r="B1382" s="2992">
        <f>Sheet1!G1363</f>
        <v>188.36</v>
      </c>
      <c r="C1382" s="2996">
        <f t="shared" si="220"/>
        <v>0.99</v>
      </c>
      <c r="D1382" s="2994"/>
      <c r="E1382" s="2996">
        <f t="shared" si="221"/>
        <v>1</v>
      </c>
      <c r="F1382" s="2994"/>
      <c r="G1382" s="2996">
        <f t="shared" si="222"/>
        <v>1</v>
      </c>
      <c r="H1382" s="2994"/>
      <c r="I1382" s="2996">
        <f t="shared" si="223"/>
        <v>1</v>
      </c>
      <c r="J1382" s="2994"/>
      <c r="K1382" s="2996">
        <f t="shared" si="224"/>
        <v>1</v>
      </c>
      <c r="L1382" s="2994"/>
      <c r="M1382" s="2996">
        <f t="shared" si="225"/>
        <v>1</v>
      </c>
      <c r="N1382" s="2994"/>
      <c r="O1382" s="2996">
        <f t="shared" si="226"/>
        <v>1</v>
      </c>
      <c r="P1382" s="2994"/>
      <c r="Q1382" s="2996">
        <f t="shared" si="227"/>
        <v>1</v>
      </c>
      <c r="R1382" s="2997">
        <f t="shared" ca="1" si="228"/>
        <v>17087</v>
      </c>
      <c r="S1382" s="2962">
        <f t="shared" ca="1" si="229"/>
        <v>322</v>
      </c>
    </row>
    <row r="1383" spans="1:19">
      <c r="A1383" s="2992" t="str">
        <f>Sheet1!F1364</f>
        <v>2-1610</v>
      </c>
      <c r="B1383" s="2992">
        <f>Sheet1!G1364</f>
        <v>175.78</v>
      </c>
      <c r="C1383" s="2996">
        <f t="shared" si="220"/>
        <v>0.99</v>
      </c>
      <c r="D1383" s="2994"/>
      <c r="E1383" s="2996">
        <f t="shared" si="221"/>
        <v>1</v>
      </c>
      <c r="F1383" s="2994"/>
      <c r="G1383" s="2996">
        <f t="shared" si="222"/>
        <v>1</v>
      </c>
      <c r="H1383" s="2994"/>
      <c r="I1383" s="2996">
        <f t="shared" si="223"/>
        <v>1</v>
      </c>
      <c r="J1383" s="2994"/>
      <c r="K1383" s="2996">
        <f t="shared" si="224"/>
        <v>1</v>
      </c>
      <c r="L1383" s="2994"/>
      <c r="M1383" s="2996">
        <f t="shared" si="225"/>
        <v>1</v>
      </c>
      <c r="N1383" s="2994"/>
      <c r="O1383" s="2996">
        <f t="shared" si="226"/>
        <v>1</v>
      </c>
      <c r="P1383" s="2994"/>
      <c r="Q1383" s="2996">
        <f t="shared" si="227"/>
        <v>1</v>
      </c>
      <c r="R1383" s="2997">
        <f t="shared" ca="1" si="228"/>
        <v>17087</v>
      </c>
      <c r="S1383" s="2962">
        <f t="shared" ca="1" si="229"/>
        <v>300</v>
      </c>
    </row>
    <row r="1384" spans="1:19">
      <c r="A1384" s="2992" t="str">
        <f>Sheet1!F1365</f>
        <v>2-1611</v>
      </c>
      <c r="B1384" s="2992">
        <f>Sheet1!G1365</f>
        <v>279.95999999999998</v>
      </c>
      <c r="C1384" s="2996">
        <f t="shared" si="220"/>
        <v>0.98</v>
      </c>
      <c r="D1384" s="2994"/>
      <c r="E1384" s="2996">
        <f t="shared" si="221"/>
        <v>1</v>
      </c>
      <c r="F1384" s="2994"/>
      <c r="G1384" s="2996">
        <f t="shared" si="222"/>
        <v>1</v>
      </c>
      <c r="H1384" s="2994"/>
      <c r="I1384" s="2996">
        <f t="shared" si="223"/>
        <v>1</v>
      </c>
      <c r="J1384" s="2994"/>
      <c r="K1384" s="2996">
        <f t="shared" si="224"/>
        <v>1</v>
      </c>
      <c r="L1384" s="2994"/>
      <c r="M1384" s="2996">
        <f t="shared" si="225"/>
        <v>1</v>
      </c>
      <c r="N1384" s="2994"/>
      <c r="O1384" s="2996">
        <f t="shared" si="226"/>
        <v>1</v>
      </c>
      <c r="P1384" s="2994"/>
      <c r="Q1384" s="2996">
        <f t="shared" si="227"/>
        <v>1</v>
      </c>
      <c r="R1384" s="2997">
        <f t="shared" ca="1" si="228"/>
        <v>16915</v>
      </c>
      <c r="S1384" s="2962">
        <f t="shared" ca="1" si="229"/>
        <v>474</v>
      </c>
    </row>
    <row r="1385" spans="1:19">
      <c r="A1385" s="2992" t="str">
        <f>Sheet1!F1366</f>
        <v>2-1612</v>
      </c>
      <c r="B1385" s="2992">
        <f>Sheet1!G1366</f>
        <v>188.43</v>
      </c>
      <c r="C1385" s="2996">
        <f t="shared" si="220"/>
        <v>0.99</v>
      </c>
      <c r="D1385" s="2994"/>
      <c r="E1385" s="2996">
        <f t="shared" si="221"/>
        <v>1</v>
      </c>
      <c r="F1385" s="2994"/>
      <c r="G1385" s="2996">
        <f t="shared" si="222"/>
        <v>1</v>
      </c>
      <c r="H1385" s="2994"/>
      <c r="I1385" s="2996">
        <f t="shared" si="223"/>
        <v>1</v>
      </c>
      <c r="J1385" s="2994"/>
      <c r="K1385" s="2996">
        <f t="shared" si="224"/>
        <v>1</v>
      </c>
      <c r="L1385" s="2994"/>
      <c r="M1385" s="2996">
        <f t="shared" si="225"/>
        <v>1</v>
      </c>
      <c r="N1385" s="2994"/>
      <c r="O1385" s="2996">
        <f t="shared" si="226"/>
        <v>1</v>
      </c>
      <c r="P1385" s="2994"/>
      <c r="Q1385" s="2996">
        <f t="shared" si="227"/>
        <v>1</v>
      </c>
      <c r="R1385" s="2997">
        <f t="shared" ca="1" si="228"/>
        <v>17087</v>
      </c>
      <c r="S1385" s="2962">
        <f t="shared" ca="1" si="229"/>
        <v>322</v>
      </c>
    </row>
    <row r="1386" spans="1:19">
      <c r="A1386" s="2992" t="str">
        <f>Sheet1!F1367</f>
        <v>2-1613</v>
      </c>
      <c r="B1386" s="2992">
        <f>Sheet1!G1367</f>
        <v>188.43</v>
      </c>
      <c r="C1386" s="2996">
        <f t="shared" si="220"/>
        <v>0.99</v>
      </c>
      <c r="D1386" s="2994"/>
      <c r="E1386" s="2996">
        <f t="shared" si="221"/>
        <v>1</v>
      </c>
      <c r="F1386" s="2994"/>
      <c r="G1386" s="2996">
        <f t="shared" si="222"/>
        <v>1</v>
      </c>
      <c r="H1386" s="2994"/>
      <c r="I1386" s="2996">
        <f t="shared" si="223"/>
        <v>1</v>
      </c>
      <c r="J1386" s="2994"/>
      <c r="K1386" s="2996">
        <f t="shared" si="224"/>
        <v>1</v>
      </c>
      <c r="L1386" s="2994"/>
      <c r="M1386" s="2996">
        <f t="shared" si="225"/>
        <v>1</v>
      </c>
      <c r="N1386" s="2994"/>
      <c r="O1386" s="2996">
        <f t="shared" si="226"/>
        <v>1</v>
      </c>
      <c r="P1386" s="2994"/>
      <c r="Q1386" s="2996">
        <f t="shared" si="227"/>
        <v>1</v>
      </c>
      <c r="R1386" s="2997">
        <f t="shared" ca="1" si="228"/>
        <v>17087</v>
      </c>
      <c r="S1386" s="2962">
        <f t="shared" ca="1" si="229"/>
        <v>322</v>
      </c>
    </row>
    <row r="1387" spans="1:19">
      <c r="A1387" s="2992" t="str">
        <f>Sheet1!F1368</f>
        <v>2-1614</v>
      </c>
      <c r="B1387" s="2992">
        <f>Sheet1!G1368</f>
        <v>188.43</v>
      </c>
      <c r="C1387" s="2996">
        <f t="shared" si="220"/>
        <v>0.99</v>
      </c>
      <c r="D1387" s="2994"/>
      <c r="E1387" s="2996">
        <f t="shared" si="221"/>
        <v>1</v>
      </c>
      <c r="F1387" s="2994"/>
      <c r="G1387" s="2996">
        <f t="shared" si="222"/>
        <v>1</v>
      </c>
      <c r="H1387" s="2994"/>
      <c r="I1387" s="2996">
        <f t="shared" si="223"/>
        <v>1</v>
      </c>
      <c r="J1387" s="2994"/>
      <c r="K1387" s="2996">
        <f t="shared" si="224"/>
        <v>1</v>
      </c>
      <c r="L1387" s="2994"/>
      <c r="M1387" s="2996">
        <f t="shared" si="225"/>
        <v>1</v>
      </c>
      <c r="N1387" s="2994"/>
      <c r="O1387" s="2996">
        <f t="shared" si="226"/>
        <v>1</v>
      </c>
      <c r="P1387" s="2994"/>
      <c r="Q1387" s="2996">
        <f t="shared" si="227"/>
        <v>1</v>
      </c>
      <c r="R1387" s="2997">
        <f t="shared" ca="1" si="228"/>
        <v>17087</v>
      </c>
      <c r="S1387" s="2962">
        <f t="shared" ca="1" si="229"/>
        <v>322</v>
      </c>
    </row>
    <row r="1388" spans="1:19">
      <c r="A1388" s="2992" t="str">
        <f>Sheet1!F1369</f>
        <v>2-1615</v>
      </c>
      <c r="B1388" s="2992">
        <f>Sheet1!G1369</f>
        <v>188.43</v>
      </c>
      <c r="C1388" s="2996">
        <f t="shared" si="220"/>
        <v>0.99</v>
      </c>
      <c r="D1388" s="2994"/>
      <c r="E1388" s="2996">
        <f t="shared" si="221"/>
        <v>1</v>
      </c>
      <c r="F1388" s="2994"/>
      <c r="G1388" s="2996">
        <f t="shared" si="222"/>
        <v>1</v>
      </c>
      <c r="H1388" s="2994"/>
      <c r="I1388" s="2996">
        <f t="shared" si="223"/>
        <v>1</v>
      </c>
      <c r="J1388" s="2994"/>
      <c r="K1388" s="2996">
        <f t="shared" si="224"/>
        <v>1</v>
      </c>
      <c r="L1388" s="2994"/>
      <c r="M1388" s="2996">
        <f t="shared" si="225"/>
        <v>1</v>
      </c>
      <c r="N1388" s="2994"/>
      <c r="O1388" s="2996">
        <f t="shared" si="226"/>
        <v>1</v>
      </c>
      <c r="P1388" s="2994"/>
      <c r="Q1388" s="2996">
        <f t="shared" si="227"/>
        <v>1</v>
      </c>
      <c r="R1388" s="2997">
        <f t="shared" ca="1" si="228"/>
        <v>17087</v>
      </c>
      <c r="S1388" s="2962">
        <f t="shared" ca="1" si="229"/>
        <v>322</v>
      </c>
    </row>
    <row r="1389" spans="1:19">
      <c r="A1389" s="2992" t="str">
        <f>Sheet1!F1370</f>
        <v>2-1616</v>
      </c>
      <c r="B1389" s="2992">
        <f>Sheet1!G1370</f>
        <v>188.43</v>
      </c>
      <c r="C1389" s="2996">
        <f t="shared" si="220"/>
        <v>0.99</v>
      </c>
      <c r="D1389" s="2994"/>
      <c r="E1389" s="2996">
        <f t="shared" si="221"/>
        <v>1</v>
      </c>
      <c r="F1389" s="2994"/>
      <c r="G1389" s="2996">
        <f t="shared" si="222"/>
        <v>1</v>
      </c>
      <c r="H1389" s="2994"/>
      <c r="I1389" s="2996">
        <f t="shared" si="223"/>
        <v>1</v>
      </c>
      <c r="J1389" s="2994"/>
      <c r="K1389" s="2996">
        <f t="shared" si="224"/>
        <v>1</v>
      </c>
      <c r="L1389" s="2994"/>
      <c r="M1389" s="2996">
        <f t="shared" si="225"/>
        <v>1</v>
      </c>
      <c r="N1389" s="2994"/>
      <c r="O1389" s="2996">
        <f t="shared" si="226"/>
        <v>1</v>
      </c>
      <c r="P1389" s="2994"/>
      <c r="Q1389" s="2996">
        <f t="shared" si="227"/>
        <v>1</v>
      </c>
      <c r="R1389" s="2997">
        <f t="shared" ca="1" si="228"/>
        <v>17087</v>
      </c>
      <c r="S1389" s="2962">
        <f t="shared" ca="1" si="229"/>
        <v>322</v>
      </c>
    </row>
    <row r="1390" spans="1:19">
      <c r="A1390" s="2992" t="str">
        <f>Sheet1!F1371</f>
        <v>2-1617</v>
      </c>
      <c r="B1390" s="2992">
        <f>Sheet1!G1371</f>
        <v>188.38</v>
      </c>
      <c r="C1390" s="2996">
        <f t="shared" si="220"/>
        <v>0.99</v>
      </c>
      <c r="D1390" s="2994"/>
      <c r="E1390" s="2996">
        <f t="shared" si="221"/>
        <v>1</v>
      </c>
      <c r="F1390" s="2994"/>
      <c r="G1390" s="2996">
        <f t="shared" si="222"/>
        <v>1</v>
      </c>
      <c r="H1390" s="2994"/>
      <c r="I1390" s="2996">
        <f t="shared" si="223"/>
        <v>1</v>
      </c>
      <c r="J1390" s="2994"/>
      <c r="K1390" s="2996">
        <f t="shared" si="224"/>
        <v>1</v>
      </c>
      <c r="L1390" s="2994"/>
      <c r="M1390" s="2996">
        <f t="shared" si="225"/>
        <v>1</v>
      </c>
      <c r="N1390" s="2994"/>
      <c r="O1390" s="2996">
        <f t="shared" si="226"/>
        <v>1</v>
      </c>
      <c r="P1390" s="2994"/>
      <c r="Q1390" s="2996">
        <f t="shared" si="227"/>
        <v>1</v>
      </c>
      <c r="R1390" s="2997">
        <f t="shared" ca="1" si="228"/>
        <v>17087</v>
      </c>
      <c r="S1390" s="2962">
        <f t="shared" ca="1" si="229"/>
        <v>322</v>
      </c>
    </row>
    <row r="1391" spans="1:19">
      <c r="A1391" s="2992" t="str">
        <f>Sheet1!F1372</f>
        <v>2-1618</v>
      </c>
      <c r="B1391" s="2992">
        <f>Sheet1!G1372</f>
        <v>208.95</v>
      </c>
      <c r="C1391" s="2996">
        <f t="shared" si="220"/>
        <v>0.98</v>
      </c>
      <c r="D1391" s="2994"/>
      <c r="E1391" s="2996">
        <f t="shared" si="221"/>
        <v>1</v>
      </c>
      <c r="F1391" s="2994"/>
      <c r="G1391" s="2996">
        <f t="shared" si="222"/>
        <v>1</v>
      </c>
      <c r="H1391" s="2994"/>
      <c r="I1391" s="2996">
        <f t="shared" si="223"/>
        <v>1</v>
      </c>
      <c r="J1391" s="2994"/>
      <c r="K1391" s="2996">
        <f t="shared" si="224"/>
        <v>1</v>
      </c>
      <c r="L1391" s="2994"/>
      <c r="M1391" s="2996">
        <f t="shared" si="225"/>
        <v>1</v>
      </c>
      <c r="N1391" s="2994"/>
      <c r="O1391" s="2996">
        <f t="shared" si="226"/>
        <v>1</v>
      </c>
      <c r="P1391" s="2994"/>
      <c r="Q1391" s="2996">
        <f t="shared" si="227"/>
        <v>1</v>
      </c>
      <c r="R1391" s="2997">
        <f t="shared" ca="1" si="228"/>
        <v>16915</v>
      </c>
      <c r="S1391" s="2962">
        <f t="shared" ca="1" si="229"/>
        <v>353</v>
      </c>
    </row>
    <row r="1392" spans="1:19">
      <c r="A1392" s="2992" t="str">
        <f>Sheet1!F1373</f>
        <v>2-1619</v>
      </c>
      <c r="B1392" s="2992">
        <f>Sheet1!G1373</f>
        <v>189.85</v>
      </c>
      <c r="C1392" s="2996">
        <f t="shared" si="220"/>
        <v>0.99</v>
      </c>
      <c r="D1392" s="2994"/>
      <c r="E1392" s="2996">
        <f t="shared" si="221"/>
        <v>1</v>
      </c>
      <c r="F1392" s="2994"/>
      <c r="G1392" s="2996">
        <f t="shared" si="222"/>
        <v>1</v>
      </c>
      <c r="H1392" s="2994"/>
      <c r="I1392" s="2996">
        <f t="shared" si="223"/>
        <v>1</v>
      </c>
      <c r="J1392" s="2994"/>
      <c r="K1392" s="2996">
        <f t="shared" si="224"/>
        <v>1</v>
      </c>
      <c r="L1392" s="2994"/>
      <c r="M1392" s="2996">
        <f t="shared" si="225"/>
        <v>1</v>
      </c>
      <c r="N1392" s="2994"/>
      <c r="O1392" s="2996">
        <f t="shared" si="226"/>
        <v>1</v>
      </c>
      <c r="P1392" s="2994"/>
      <c r="Q1392" s="2996">
        <f t="shared" si="227"/>
        <v>1</v>
      </c>
      <c r="R1392" s="2997">
        <f t="shared" ca="1" si="228"/>
        <v>17087</v>
      </c>
      <c r="S1392" s="2962">
        <f t="shared" ca="1" si="229"/>
        <v>324</v>
      </c>
    </row>
    <row r="1393" spans="1:19">
      <c r="A1393" s="2992" t="str">
        <f>Sheet1!F1374</f>
        <v>2-1620</v>
      </c>
      <c r="B1393" s="2992">
        <f>Sheet1!G1374</f>
        <v>169.23</v>
      </c>
      <c r="C1393" s="2996">
        <f t="shared" si="220"/>
        <v>0.99</v>
      </c>
      <c r="D1393" s="2994"/>
      <c r="E1393" s="2996">
        <f t="shared" si="221"/>
        <v>1</v>
      </c>
      <c r="F1393" s="2994"/>
      <c r="G1393" s="2996">
        <f t="shared" si="222"/>
        <v>1</v>
      </c>
      <c r="H1393" s="2994"/>
      <c r="I1393" s="2996">
        <f t="shared" si="223"/>
        <v>1</v>
      </c>
      <c r="J1393" s="2994"/>
      <c r="K1393" s="2996">
        <f t="shared" si="224"/>
        <v>1</v>
      </c>
      <c r="L1393" s="2994"/>
      <c r="M1393" s="2996">
        <f t="shared" si="225"/>
        <v>1</v>
      </c>
      <c r="N1393" s="2994"/>
      <c r="O1393" s="2996">
        <f t="shared" si="226"/>
        <v>1</v>
      </c>
      <c r="P1393" s="2994"/>
      <c r="Q1393" s="2996">
        <f t="shared" si="227"/>
        <v>1</v>
      </c>
      <c r="R1393" s="2997">
        <f t="shared" ca="1" si="228"/>
        <v>17087</v>
      </c>
      <c r="S1393" s="2962">
        <f t="shared" ca="1" si="229"/>
        <v>289</v>
      </c>
    </row>
    <row r="1394" spans="1:19">
      <c r="A1394" s="2992" t="str">
        <f>Sheet1!F1375</f>
        <v>3-1601</v>
      </c>
      <c r="B1394" s="2992">
        <f>Sheet1!G1375</f>
        <v>55.7</v>
      </c>
      <c r="C1394" s="2996">
        <f t="shared" si="220"/>
        <v>1</v>
      </c>
      <c r="D1394" s="2994"/>
      <c r="E1394" s="2996">
        <f t="shared" si="221"/>
        <v>1</v>
      </c>
      <c r="F1394" s="2994"/>
      <c r="G1394" s="2996">
        <f t="shared" si="222"/>
        <v>1</v>
      </c>
      <c r="H1394" s="2994"/>
      <c r="I1394" s="2996">
        <f t="shared" si="223"/>
        <v>1</v>
      </c>
      <c r="J1394" s="2994"/>
      <c r="K1394" s="2996">
        <f t="shared" si="224"/>
        <v>1</v>
      </c>
      <c r="L1394" s="2994"/>
      <c r="M1394" s="2996">
        <f t="shared" si="225"/>
        <v>1</v>
      </c>
      <c r="N1394" s="2994"/>
      <c r="O1394" s="2996">
        <f t="shared" si="226"/>
        <v>1</v>
      </c>
      <c r="P1394" s="2994"/>
      <c r="Q1394" s="2996">
        <f t="shared" si="227"/>
        <v>1</v>
      </c>
      <c r="R1394" s="2997">
        <f t="shared" ca="1" si="228"/>
        <v>17260</v>
      </c>
      <c r="S1394" s="2962">
        <f t="shared" ca="1" si="229"/>
        <v>96</v>
      </c>
    </row>
    <row r="1395" spans="1:19">
      <c r="A1395" s="2992" t="str">
        <f>Sheet1!F1376</f>
        <v>3-1602</v>
      </c>
      <c r="B1395" s="2992">
        <f>Sheet1!G1376</f>
        <v>49.53</v>
      </c>
      <c r="C1395" s="2996">
        <f t="shared" si="220"/>
        <v>1</v>
      </c>
      <c r="D1395" s="2994"/>
      <c r="E1395" s="2996">
        <f t="shared" si="221"/>
        <v>1</v>
      </c>
      <c r="F1395" s="2994"/>
      <c r="G1395" s="2996">
        <f t="shared" si="222"/>
        <v>1</v>
      </c>
      <c r="H1395" s="2994"/>
      <c r="I1395" s="2996">
        <f t="shared" si="223"/>
        <v>1</v>
      </c>
      <c r="J1395" s="2994"/>
      <c r="K1395" s="2996">
        <f t="shared" si="224"/>
        <v>1</v>
      </c>
      <c r="L1395" s="2994"/>
      <c r="M1395" s="2996">
        <f t="shared" si="225"/>
        <v>1</v>
      </c>
      <c r="N1395" s="2994"/>
      <c r="O1395" s="2996">
        <f t="shared" si="226"/>
        <v>1</v>
      </c>
      <c r="P1395" s="2994"/>
      <c r="Q1395" s="2996">
        <f t="shared" si="227"/>
        <v>1</v>
      </c>
      <c r="R1395" s="2997">
        <f t="shared" ca="1" si="228"/>
        <v>17260</v>
      </c>
      <c r="S1395" s="2962">
        <f t="shared" ca="1" si="229"/>
        <v>85</v>
      </c>
    </row>
    <row r="1396" spans="1:19">
      <c r="A1396" s="2992" t="str">
        <f>Sheet1!F1377</f>
        <v>3-1603</v>
      </c>
      <c r="B1396" s="2992">
        <f>Sheet1!G1377</f>
        <v>50.63</v>
      </c>
      <c r="C1396" s="2996">
        <f t="shared" si="220"/>
        <v>1</v>
      </c>
      <c r="D1396" s="2994"/>
      <c r="E1396" s="2996">
        <f t="shared" si="221"/>
        <v>1</v>
      </c>
      <c r="F1396" s="2994"/>
      <c r="G1396" s="2996">
        <f t="shared" si="222"/>
        <v>1</v>
      </c>
      <c r="H1396" s="2994"/>
      <c r="I1396" s="2996">
        <f t="shared" si="223"/>
        <v>1</v>
      </c>
      <c r="J1396" s="2994"/>
      <c r="K1396" s="2996">
        <f t="shared" si="224"/>
        <v>1</v>
      </c>
      <c r="L1396" s="2994"/>
      <c r="M1396" s="2996">
        <f t="shared" si="225"/>
        <v>1</v>
      </c>
      <c r="N1396" s="2994"/>
      <c r="O1396" s="2996">
        <f t="shared" si="226"/>
        <v>1</v>
      </c>
      <c r="P1396" s="2994"/>
      <c r="Q1396" s="2996">
        <f t="shared" si="227"/>
        <v>1</v>
      </c>
      <c r="R1396" s="2997">
        <f t="shared" ca="1" si="228"/>
        <v>17260</v>
      </c>
      <c r="S1396" s="2962">
        <f t="shared" ca="1" si="229"/>
        <v>87</v>
      </c>
    </row>
    <row r="1397" spans="1:19">
      <c r="A1397" s="2992" t="str">
        <f>Sheet1!F1378</f>
        <v>3-1604</v>
      </c>
      <c r="B1397" s="2992">
        <f>Sheet1!G1378</f>
        <v>50.63</v>
      </c>
      <c r="C1397" s="2996">
        <f t="shared" si="220"/>
        <v>1</v>
      </c>
      <c r="D1397" s="2994"/>
      <c r="E1397" s="2996">
        <f t="shared" si="221"/>
        <v>1</v>
      </c>
      <c r="F1397" s="2994"/>
      <c r="G1397" s="2996">
        <f t="shared" si="222"/>
        <v>1</v>
      </c>
      <c r="H1397" s="2994"/>
      <c r="I1397" s="2996">
        <f t="shared" si="223"/>
        <v>1</v>
      </c>
      <c r="J1397" s="2994"/>
      <c r="K1397" s="2996">
        <f t="shared" si="224"/>
        <v>1</v>
      </c>
      <c r="L1397" s="2994"/>
      <c r="M1397" s="2996">
        <f t="shared" si="225"/>
        <v>1</v>
      </c>
      <c r="N1397" s="2994"/>
      <c r="O1397" s="2996">
        <f t="shared" si="226"/>
        <v>1</v>
      </c>
      <c r="P1397" s="2994"/>
      <c r="Q1397" s="2996">
        <f t="shared" si="227"/>
        <v>1</v>
      </c>
      <c r="R1397" s="2997">
        <f t="shared" ca="1" si="228"/>
        <v>17260</v>
      </c>
      <c r="S1397" s="2962">
        <f t="shared" ca="1" si="229"/>
        <v>87</v>
      </c>
    </row>
    <row r="1398" spans="1:19">
      <c r="A1398" s="2992" t="str">
        <f>Sheet1!F1379</f>
        <v>3-1605</v>
      </c>
      <c r="B1398" s="2992">
        <f>Sheet1!G1379</f>
        <v>50.63</v>
      </c>
      <c r="C1398" s="2996">
        <f t="shared" si="220"/>
        <v>1</v>
      </c>
      <c r="D1398" s="2994"/>
      <c r="E1398" s="2996">
        <f t="shared" si="221"/>
        <v>1</v>
      </c>
      <c r="F1398" s="2994"/>
      <c r="G1398" s="2996">
        <f t="shared" si="222"/>
        <v>1</v>
      </c>
      <c r="H1398" s="2994"/>
      <c r="I1398" s="2996">
        <f t="shared" si="223"/>
        <v>1</v>
      </c>
      <c r="J1398" s="2994"/>
      <c r="K1398" s="2996">
        <f t="shared" si="224"/>
        <v>1</v>
      </c>
      <c r="L1398" s="2994"/>
      <c r="M1398" s="2996">
        <f t="shared" si="225"/>
        <v>1</v>
      </c>
      <c r="N1398" s="2994"/>
      <c r="O1398" s="2996">
        <f t="shared" si="226"/>
        <v>1</v>
      </c>
      <c r="P1398" s="2994"/>
      <c r="Q1398" s="2996">
        <f t="shared" si="227"/>
        <v>1</v>
      </c>
      <c r="R1398" s="2997">
        <f t="shared" ca="1" si="228"/>
        <v>17260</v>
      </c>
      <c r="S1398" s="2962">
        <f t="shared" ca="1" si="229"/>
        <v>87</v>
      </c>
    </row>
    <row r="1399" spans="1:19">
      <c r="A1399" s="2992" t="str">
        <f>Sheet1!F1380</f>
        <v>3-1606</v>
      </c>
      <c r="B1399" s="2992">
        <f>Sheet1!G1380</f>
        <v>50.63</v>
      </c>
      <c r="C1399" s="2996">
        <f t="shared" si="220"/>
        <v>1</v>
      </c>
      <c r="D1399" s="2994"/>
      <c r="E1399" s="2996">
        <f t="shared" si="221"/>
        <v>1</v>
      </c>
      <c r="F1399" s="2994"/>
      <c r="G1399" s="2996">
        <f t="shared" si="222"/>
        <v>1</v>
      </c>
      <c r="H1399" s="2994"/>
      <c r="I1399" s="2996">
        <f t="shared" si="223"/>
        <v>1</v>
      </c>
      <c r="J1399" s="2994"/>
      <c r="K1399" s="2996">
        <f t="shared" si="224"/>
        <v>1</v>
      </c>
      <c r="L1399" s="2994"/>
      <c r="M1399" s="2996">
        <f t="shared" si="225"/>
        <v>1</v>
      </c>
      <c r="N1399" s="2994"/>
      <c r="O1399" s="2996">
        <f t="shared" si="226"/>
        <v>1</v>
      </c>
      <c r="P1399" s="2994"/>
      <c r="Q1399" s="2996">
        <f t="shared" si="227"/>
        <v>1</v>
      </c>
      <c r="R1399" s="2997">
        <f t="shared" ca="1" si="228"/>
        <v>17260</v>
      </c>
      <c r="S1399" s="2962">
        <f t="shared" ca="1" si="229"/>
        <v>87</v>
      </c>
    </row>
    <row r="1400" spans="1:19">
      <c r="A1400" s="2992" t="str">
        <f>Sheet1!F1381</f>
        <v>3-1607</v>
      </c>
      <c r="B1400" s="2992">
        <f>Sheet1!G1381</f>
        <v>50.63</v>
      </c>
      <c r="C1400" s="2996">
        <f t="shared" si="220"/>
        <v>1</v>
      </c>
      <c r="D1400" s="2994"/>
      <c r="E1400" s="2996">
        <f t="shared" si="221"/>
        <v>1</v>
      </c>
      <c r="F1400" s="2994"/>
      <c r="G1400" s="2996">
        <f t="shared" si="222"/>
        <v>1</v>
      </c>
      <c r="H1400" s="2994"/>
      <c r="I1400" s="2996">
        <f t="shared" si="223"/>
        <v>1</v>
      </c>
      <c r="J1400" s="2994"/>
      <c r="K1400" s="2996">
        <f t="shared" si="224"/>
        <v>1</v>
      </c>
      <c r="L1400" s="2994"/>
      <c r="M1400" s="2996">
        <f t="shared" si="225"/>
        <v>1</v>
      </c>
      <c r="N1400" s="2994"/>
      <c r="O1400" s="2996">
        <f t="shared" si="226"/>
        <v>1</v>
      </c>
      <c r="P1400" s="2994"/>
      <c r="Q1400" s="2996">
        <f t="shared" si="227"/>
        <v>1</v>
      </c>
      <c r="R1400" s="2997">
        <f t="shared" ca="1" si="228"/>
        <v>17260</v>
      </c>
      <c r="S1400" s="2962">
        <f t="shared" ca="1" si="229"/>
        <v>87</v>
      </c>
    </row>
    <row r="1401" spans="1:19">
      <c r="A1401" s="2992" t="str">
        <f>Sheet1!F1382</f>
        <v>3-1608</v>
      </c>
      <c r="B1401" s="2992">
        <f>Sheet1!G1382</f>
        <v>50.63</v>
      </c>
      <c r="C1401" s="2996">
        <f t="shared" si="220"/>
        <v>1</v>
      </c>
      <c r="D1401" s="2994"/>
      <c r="E1401" s="2996">
        <f t="shared" si="221"/>
        <v>1</v>
      </c>
      <c r="F1401" s="2994"/>
      <c r="G1401" s="2996">
        <f t="shared" si="222"/>
        <v>1</v>
      </c>
      <c r="H1401" s="2994"/>
      <c r="I1401" s="2996">
        <f t="shared" si="223"/>
        <v>1</v>
      </c>
      <c r="J1401" s="2994"/>
      <c r="K1401" s="2996">
        <f t="shared" si="224"/>
        <v>1</v>
      </c>
      <c r="L1401" s="2994"/>
      <c r="M1401" s="2996">
        <f t="shared" si="225"/>
        <v>1</v>
      </c>
      <c r="N1401" s="2994"/>
      <c r="O1401" s="2996">
        <f t="shared" si="226"/>
        <v>1</v>
      </c>
      <c r="P1401" s="2994"/>
      <c r="Q1401" s="2996">
        <f t="shared" si="227"/>
        <v>1</v>
      </c>
      <c r="R1401" s="2997">
        <f t="shared" ca="1" si="228"/>
        <v>17260</v>
      </c>
      <c r="S1401" s="2962">
        <f t="shared" ca="1" si="229"/>
        <v>87</v>
      </c>
    </row>
    <row r="1402" spans="1:19">
      <c r="A1402" s="2992" t="str">
        <f>Sheet1!F1383</f>
        <v>3-1609</v>
      </c>
      <c r="B1402" s="2992">
        <f>Sheet1!G1383</f>
        <v>50.63</v>
      </c>
      <c r="C1402" s="2996">
        <f t="shared" si="220"/>
        <v>1</v>
      </c>
      <c r="D1402" s="2994"/>
      <c r="E1402" s="2996">
        <f t="shared" si="221"/>
        <v>1</v>
      </c>
      <c r="F1402" s="2994"/>
      <c r="G1402" s="2996">
        <f t="shared" si="222"/>
        <v>1</v>
      </c>
      <c r="H1402" s="2994"/>
      <c r="I1402" s="2996">
        <f t="shared" si="223"/>
        <v>1</v>
      </c>
      <c r="J1402" s="2994"/>
      <c r="K1402" s="2996">
        <f t="shared" si="224"/>
        <v>1</v>
      </c>
      <c r="L1402" s="2994"/>
      <c r="M1402" s="2996">
        <f t="shared" si="225"/>
        <v>1</v>
      </c>
      <c r="N1402" s="2994"/>
      <c r="O1402" s="2996">
        <f t="shared" si="226"/>
        <v>1</v>
      </c>
      <c r="P1402" s="2994"/>
      <c r="Q1402" s="2996">
        <f t="shared" si="227"/>
        <v>1</v>
      </c>
      <c r="R1402" s="2997">
        <f t="shared" ca="1" si="228"/>
        <v>17260</v>
      </c>
      <c r="S1402" s="2962">
        <f t="shared" ca="1" si="229"/>
        <v>87</v>
      </c>
    </row>
    <row r="1403" spans="1:19">
      <c r="A1403" s="2992" t="str">
        <f>Sheet1!F1384</f>
        <v>3-1610</v>
      </c>
      <c r="B1403" s="2992">
        <f>Sheet1!G1384</f>
        <v>50.63</v>
      </c>
      <c r="C1403" s="2996">
        <f t="shared" si="220"/>
        <v>1</v>
      </c>
      <c r="D1403" s="2994"/>
      <c r="E1403" s="2996">
        <f t="shared" si="221"/>
        <v>1</v>
      </c>
      <c r="F1403" s="2994"/>
      <c r="G1403" s="2996">
        <f t="shared" si="222"/>
        <v>1</v>
      </c>
      <c r="H1403" s="2994"/>
      <c r="I1403" s="2996">
        <f t="shared" si="223"/>
        <v>1</v>
      </c>
      <c r="J1403" s="2994"/>
      <c r="K1403" s="2996">
        <f t="shared" si="224"/>
        <v>1</v>
      </c>
      <c r="L1403" s="2994"/>
      <c r="M1403" s="2996">
        <f t="shared" si="225"/>
        <v>1</v>
      </c>
      <c r="N1403" s="2994"/>
      <c r="O1403" s="2996">
        <f t="shared" si="226"/>
        <v>1</v>
      </c>
      <c r="P1403" s="2994"/>
      <c r="Q1403" s="2996">
        <f t="shared" si="227"/>
        <v>1</v>
      </c>
      <c r="R1403" s="2997">
        <f t="shared" ca="1" si="228"/>
        <v>17260</v>
      </c>
      <c r="S1403" s="2962">
        <f t="shared" ca="1" si="229"/>
        <v>87</v>
      </c>
    </row>
    <row r="1404" spans="1:19">
      <c r="A1404" s="2992" t="str">
        <f>Sheet1!F1385</f>
        <v>3-1611</v>
      </c>
      <c r="B1404" s="2992">
        <f>Sheet1!G1385</f>
        <v>50.63</v>
      </c>
      <c r="C1404" s="2996">
        <f t="shared" si="220"/>
        <v>1</v>
      </c>
      <c r="D1404" s="2994"/>
      <c r="E1404" s="2996">
        <f t="shared" si="221"/>
        <v>1</v>
      </c>
      <c r="F1404" s="2994"/>
      <c r="G1404" s="2996">
        <f t="shared" si="222"/>
        <v>1</v>
      </c>
      <c r="H1404" s="2994"/>
      <c r="I1404" s="2996">
        <f t="shared" si="223"/>
        <v>1</v>
      </c>
      <c r="J1404" s="2994"/>
      <c r="K1404" s="2996">
        <f t="shared" si="224"/>
        <v>1</v>
      </c>
      <c r="L1404" s="2994"/>
      <c r="M1404" s="2996">
        <f t="shared" si="225"/>
        <v>1</v>
      </c>
      <c r="N1404" s="2994"/>
      <c r="O1404" s="2996">
        <f t="shared" si="226"/>
        <v>1</v>
      </c>
      <c r="P1404" s="2994"/>
      <c r="Q1404" s="2996">
        <f t="shared" si="227"/>
        <v>1</v>
      </c>
      <c r="R1404" s="2997">
        <f t="shared" ca="1" si="228"/>
        <v>17260</v>
      </c>
      <c r="S1404" s="2962">
        <f t="shared" ca="1" si="229"/>
        <v>87</v>
      </c>
    </row>
    <row r="1405" spans="1:19">
      <c r="A1405" s="2992" t="str">
        <f>Sheet1!F1386</f>
        <v>3-1612</v>
      </c>
      <c r="B1405" s="2992">
        <f>Sheet1!G1386</f>
        <v>50.63</v>
      </c>
      <c r="C1405" s="2996">
        <f t="shared" si="220"/>
        <v>1</v>
      </c>
      <c r="D1405" s="2994"/>
      <c r="E1405" s="2996">
        <f t="shared" si="221"/>
        <v>1</v>
      </c>
      <c r="F1405" s="2994"/>
      <c r="G1405" s="2996">
        <f t="shared" si="222"/>
        <v>1</v>
      </c>
      <c r="H1405" s="2994"/>
      <c r="I1405" s="2996">
        <f t="shared" si="223"/>
        <v>1</v>
      </c>
      <c r="J1405" s="2994"/>
      <c r="K1405" s="2996">
        <f t="shared" si="224"/>
        <v>1</v>
      </c>
      <c r="L1405" s="2994"/>
      <c r="M1405" s="2996">
        <f t="shared" si="225"/>
        <v>1</v>
      </c>
      <c r="N1405" s="2994"/>
      <c r="O1405" s="2996">
        <f t="shared" si="226"/>
        <v>1</v>
      </c>
      <c r="P1405" s="2994"/>
      <c r="Q1405" s="2996">
        <f t="shared" si="227"/>
        <v>1</v>
      </c>
      <c r="R1405" s="2997">
        <f t="shared" ca="1" si="228"/>
        <v>17260</v>
      </c>
      <c r="S1405" s="2962">
        <f t="shared" ca="1" si="229"/>
        <v>87</v>
      </c>
    </row>
    <row r="1406" spans="1:19">
      <c r="A1406" s="2992" t="str">
        <f>Sheet1!F1387</f>
        <v>3-1613</v>
      </c>
      <c r="B1406" s="2992">
        <f>Sheet1!G1387</f>
        <v>49.61</v>
      </c>
      <c r="C1406" s="2996">
        <f t="shared" si="220"/>
        <v>1</v>
      </c>
      <c r="D1406" s="2994"/>
      <c r="E1406" s="2996">
        <f t="shared" si="221"/>
        <v>1</v>
      </c>
      <c r="F1406" s="2994"/>
      <c r="G1406" s="2996">
        <f t="shared" si="222"/>
        <v>1</v>
      </c>
      <c r="H1406" s="2994"/>
      <c r="I1406" s="2996">
        <f t="shared" si="223"/>
        <v>1</v>
      </c>
      <c r="J1406" s="2994"/>
      <c r="K1406" s="2996">
        <f t="shared" si="224"/>
        <v>1</v>
      </c>
      <c r="L1406" s="2994"/>
      <c r="M1406" s="2996">
        <f t="shared" si="225"/>
        <v>1</v>
      </c>
      <c r="N1406" s="2994"/>
      <c r="O1406" s="2996">
        <f t="shared" si="226"/>
        <v>1</v>
      </c>
      <c r="P1406" s="2994"/>
      <c r="Q1406" s="2996">
        <f t="shared" si="227"/>
        <v>1</v>
      </c>
      <c r="R1406" s="2997">
        <f t="shared" ca="1" si="228"/>
        <v>17260</v>
      </c>
      <c r="S1406" s="2962">
        <f t="shared" ca="1" si="229"/>
        <v>86</v>
      </c>
    </row>
    <row r="1407" spans="1:19">
      <c r="A1407" s="2992" t="str">
        <f>Sheet1!F1388</f>
        <v>3-1614</v>
      </c>
      <c r="B1407" s="2992">
        <f>Sheet1!G1388</f>
        <v>46.31</v>
      </c>
      <c r="C1407" s="2996">
        <f t="shared" si="220"/>
        <v>1</v>
      </c>
      <c r="D1407" s="2994"/>
      <c r="E1407" s="2996">
        <f t="shared" si="221"/>
        <v>1</v>
      </c>
      <c r="F1407" s="2994"/>
      <c r="G1407" s="2996">
        <f t="shared" si="222"/>
        <v>1</v>
      </c>
      <c r="H1407" s="2994"/>
      <c r="I1407" s="2996">
        <f t="shared" si="223"/>
        <v>1</v>
      </c>
      <c r="J1407" s="2994"/>
      <c r="K1407" s="2996">
        <f t="shared" si="224"/>
        <v>1</v>
      </c>
      <c r="L1407" s="2994"/>
      <c r="M1407" s="2996">
        <f t="shared" si="225"/>
        <v>1</v>
      </c>
      <c r="N1407" s="2994"/>
      <c r="O1407" s="2996">
        <f t="shared" si="226"/>
        <v>1</v>
      </c>
      <c r="P1407" s="2994"/>
      <c r="Q1407" s="2996">
        <f t="shared" si="227"/>
        <v>1</v>
      </c>
      <c r="R1407" s="2997">
        <f t="shared" ca="1" si="228"/>
        <v>17260</v>
      </c>
      <c r="S1407" s="2962">
        <f t="shared" ca="1" si="229"/>
        <v>80</v>
      </c>
    </row>
    <row r="1408" spans="1:19">
      <c r="A1408" s="2992" t="str">
        <f>Sheet1!F1389</f>
        <v>3-1615</v>
      </c>
      <c r="B1408" s="2992">
        <f>Sheet1!G1389</f>
        <v>50.63</v>
      </c>
      <c r="C1408" s="2996">
        <f t="shared" si="220"/>
        <v>1</v>
      </c>
      <c r="D1408" s="2994"/>
      <c r="E1408" s="2996">
        <f t="shared" si="221"/>
        <v>1</v>
      </c>
      <c r="F1408" s="2994"/>
      <c r="G1408" s="2996">
        <f t="shared" si="222"/>
        <v>1</v>
      </c>
      <c r="H1408" s="2994"/>
      <c r="I1408" s="2996">
        <f t="shared" si="223"/>
        <v>1</v>
      </c>
      <c r="J1408" s="2994"/>
      <c r="K1408" s="2996">
        <f t="shared" si="224"/>
        <v>1</v>
      </c>
      <c r="L1408" s="2994"/>
      <c r="M1408" s="2996">
        <f t="shared" si="225"/>
        <v>1</v>
      </c>
      <c r="N1408" s="2994"/>
      <c r="O1408" s="2996">
        <f t="shared" si="226"/>
        <v>1</v>
      </c>
      <c r="P1408" s="2994"/>
      <c r="Q1408" s="2996">
        <f t="shared" si="227"/>
        <v>1</v>
      </c>
      <c r="R1408" s="2997">
        <f t="shared" ca="1" si="228"/>
        <v>17260</v>
      </c>
      <c r="S1408" s="2962">
        <f t="shared" ca="1" si="229"/>
        <v>87</v>
      </c>
    </row>
    <row r="1409" spans="1:19">
      <c r="A1409" s="2992" t="str">
        <f>Sheet1!F1390</f>
        <v>3-1616</v>
      </c>
      <c r="B1409" s="2992">
        <f>Sheet1!G1390</f>
        <v>50.63</v>
      </c>
      <c r="C1409" s="2996">
        <f t="shared" si="220"/>
        <v>1</v>
      </c>
      <c r="D1409" s="2994"/>
      <c r="E1409" s="2996">
        <f t="shared" si="221"/>
        <v>1</v>
      </c>
      <c r="F1409" s="2994"/>
      <c r="G1409" s="2996">
        <f t="shared" si="222"/>
        <v>1</v>
      </c>
      <c r="H1409" s="2994"/>
      <c r="I1409" s="2996">
        <f t="shared" si="223"/>
        <v>1</v>
      </c>
      <c r="J1409" s="2994"/>
      <c r="K1409" s="2996">
        <f t="shared" si="224"/>
        <v>1</v>
      </c>
      <c r="L1409" s="2994"/>
      <c r="M1409" s="2996">
        <f t="shared" si="225"/>
        <v>1</v>
      </c>
      <c r="N1409" s="2994"/>
      <c r="O1409" s="2996">
        <f t="shared" si="226"/>
        <v>1</v>
      </c>
      <c r="P1409" s="2994"/>
      <c r="Q1409" s="2996">
        <f t="shared" si="227"/>
        <v>1</v>
      </c>
      <c r="R1409" s="2997">
        <f t="shared" ca="1" si="228"/>
        <v>17260</v>
      </c>
      <c r="S1409" s="2962">
        <f t="shared" ca="1" si="229"/>
        <v>87</v>
      </c>
    </row>
    <row r="1410" spans="1:19">
      <c r="A1410" s="2992" t="str">
        <f>Sheet1!F1391</f>
        <v>3-1617</v>
      </c>
      <c r="B1410" s="2992">
        <f>Sheet1!G1391</f>
        <v>62.54</v>
      </c>
      <c r="C1410" s="2996">
        <f t="shared" si="220"/>
        <v>1</v>
      </c>
      <c r="D1410" s="2994"/>
      <c r="E1410" s="2996">
        <f t="shared" si="221"/>
        <v>1</v>
      </c>
      <c r="F1410" s="2994"/>
      <c r="G1410" s="2996">
        <f t="shared" si="222"/>
        <v>1</v>
      </c>
      <c r="H1410" s="2994"/>
      <c r="I1410" s="2996">
        <f t="shared" si="223"/>
        <v>1</v>
      </c>
      <c r="J1410" s="2994"/>
      <c r="K1410" s="2996">
        <f t="shared" si="224"/>
        <v>1</v>
      </c>
      <c r="L1410" s="2994"/>
      <c r="M1410" s="2996">
        <f t="shared" si="225"/>
        <v>1</v>
      </c>
      <c r="N1410" s="2994"/>
      <c r="O1410" s="2996">
        <f t="shared" si="226"/>
        <v>1</v>
      </c>
      <c r="P1410" s="2994"/>
      <c r="Q1410" s="2996">
        <f t="shared" si="227"/>
        <v>1</v>
      </c>
      <c r="R1410" s="2997">
        <f t="shared" ca="1" si="228"/>
        <v>17260</v>
      </c>
      <c r="S1410" s="2962">
        <f t="shared" ca="1" si="229"/>
        <v>108</v>
      </c>
    </row>
    <row r="1411" spans="1:19">
      <c r="A1411" s="2992" t="str">
        <f>Sheet1!F1392</f>
        <v>3-1618</v>
      </c>
      <c r="B1411" s="2992">
        <f>Sheet1!G1392</f>
        <v>62.56</v>
      </c>
      <c r="C1411" s="2996">
        <f t="shared" si="220"/>
        <v>1</v>
      </c>
      <c r="D1411" s="2994"/>
      <c r="E1411" s="2996">
        <f t="shared" si="221"/>
        <v>1</v>
      </c>
      <c r="F1411" s="2994"/>
      <c r="G1411" s="2996">
        <f t="shared" si="222"/>
        <v>1</v>
      </c>
      <c r="H1411" s="2994"/>
      <c r="I1411" s="2996">
        <f t="shared" si="223"/>
        <v>1</v>
      </c>
      <c r="J1411" s="2994"/>
      <c r="K1411" s="2996">
        <f t="shared" si="224"/>
        <v>1</v>
      </c>
      <c r="L1411" s="2994"/>
      <c r="M1411" s="2996">
        <f t="shared" si="225"/>
        <v>1</v>
      </c>
      <c r="N1411" s="2994"/>
      <c r="O1411" s="2996">
        <f t="shared" si="226"/>
        <v>1</v>
      </c>
      <c r="P1411" s="2994"/>
      <c r="Q1411" s="2996">
        <f t="shared" si="227"/>
        <v>1</v>
      </c>
      <c r="R1411" s="2997">
        <f t="shared" ca="1" si="228"/>
        <v>17260</v>
      </c>
      <c r="S1411" s="2962">
        <f t="shared" ca="1" si="229"/>
        <v>108</v>
      </c>
    </row>
    <row r="1412" spans="1:19">
      <c r="A1412" s="2992" t="str">
        <f>Sheet1!F1393</f>
        <v>3-1619</v>
      </c>
      <c r="B1412" s="2992">
        <f>Sheet1!G1393</f>
        <v>62.56</v>
      </c>
      <c r="C1412" s="2996">
        <f t="shared" si="220"/>
        <v>1</v>
      </c>
      <c r="D1412" s="2994"/>
      <c r="E1412" s="2996">
        <f t="shared" si="221"/>
        <v>1</v>
      </c>
      <c r="F1412" s="2994"/>
      <c r="G1412" s="2996">
        <f t="shared" si="222"/>
        <v>1</v>
      </c>
      <c r="H1412" s="2994"/>
      <c r="I1412" s="2996">
        <f t="shared" si="223"/>
        <v>1</v>
      </c>
      <c r="J1412" s="2994"/>
      <c r="K1412" s="2996">
        <f t="shared" si="224"/>
        <v>1</v>
      </c>
      <c r="L1412" s="2994"/>
      <c r="M1412" s="2996">
        <f t="shared" si="225"/>
        <v>1</v>
      </c>
      <c r="N1412" s="2994"/>
      <c r="O1412" s="2996">
        <f t="shared" si="226"/>
        <v>1</v>
      </c>
      <c r="P1412" s="2994"/>
      <c r="Q1412" s="2996">
        <f t="shared" si="227"/>
        <v>1</v>
      </c>
      <c r="R1412" s="2997">
        <f t="shared" ca="1" si="228"/>
        <v>17260</v>
      </c>
      <c r="S1412" s="2962">
        <f t="shared" ca="1" si="229"/>
        <v>108</v>
      </c>
    </row>
    <row r="1413" spans="1:19">
      <c r="A1413" s="2992" t="str">
        <f>Sheet1!F1394</f>
        <v>3-1620</v>
      </c>
      <c r="B1413" s="2992">
        <f>Sheet1!G1394</f>
        <v>62.54</v>
      </c>
      <c r="C1413" s="2996">
        <f t="shared" si="220"/>
        <v>1</v>
      </c>
      <c r="D1413" s="2994"/>
      <c r="E1413" s="2996">
        <f t="shared" si="221"/>
        <v>1</v>
      </c>
      <c r="F1413" s="2994"/>
      <c r="G1413" s="2996">
        <f t="shared" si="222"/>
        <v>1</v>
      </c>
      <c r="H1413" s="2994"/>
      <c r="I1413" s="2996">
        <f t="shared" si="223"/>
        <v>1</v>
      </c>
      <c r="J1413" s="2994"/>
      <c r="K1413" s="2996">
        <f t="shared" si="224"/>
        <v>1</v>
      </c>
      <c r="L1413" s="2994"/>
      <c r="M1413" s="2996">
        <f t="shared" si="225"/>
        <v>1</v>
      </c>
      <c r="N1413" s="2994"/>
      <c r="O1413" s="2996">
        <f t="shared" si="226"/>
        <v>1</v>
      </c>
      <c r="P1413" s="2994"/>
      <c r="Q1413" s="2996">
        <f t="shared" si="227"/>
        <v>1</v>
      </c>
      <c r="R1413" s="2997">
        <f t="shared" ca="1" si="228"/>
        <v>17260</v>
      </c>
      <c r="S1413" s="2962">
        <f t="shared" ca="1" si="229"/>
        <v>108</v>
      </c>
    </row>
    <row r="1414" spans="1:19">
      <c r="A1414" s="2992" t="str">
        <f>Sheet1!F1395</f>
        <v>3-1621</v>
      </c>
      <c r="B1414" s="2992">
        <f>Sheet1!G1395</f>
        <v>50.63</v>
      </c>
      <c r="C1414" s="2996">
        <f t="shared" si="220"/>
        <v>1</v>
      </c>
      <c r="D1414" s="2994"/>
      <c r="E1414" s="2996">
        <f t="shared" si="221"/>
        <v>1</v>
      </c>
      <c r="F1414" s="2994"/>
      <c r="G1414" s="2996">
        <f t="shared" si="222"/>
        <v>1</v>
      </c>
      <c r="H1414" s="2994"/>
      <c r="I1414" s="2996">
        <f t="shared" si="223"/>
        <v>1</v>
      </c>
      <c r="J1414" s="2994"/>
      <c r="K1414" s="2996">
        <f t="shared" si="224"/>
        <v>1</v>
      </c>
      <c r="L1414" s="2994"/>
      <c r="M1414" s="2996">
        <f t="shared" si="225"/>
        <v>1</v>
      </c>
      <c r="N1414" s="2994"/>
      <c r="O1414" s="2996">
        <f t="shared" si="226"/>
        <v>1</v>
      </c>
      <c r="P1414" s="2994"/>
      <c r="Q1414" s="2996">
        <f t="shared" si="227"/>
        <v>1</v>
      </c>
      <c r="R1414" s="2997">
        <f t="shared" ca="1" si="228"/>
        <v>17260</v>
      </c>
      <c r="S1414" s="2962">
        <f t="shared" ca="1" si="229"/>
        <v>87</v>
      </c>
    </row>
    <row r="1415" spans="1:19">
      <c r="A1415" s="2992" t="str">
        <f>Sheet1!F1396</f>
        <v>3-1622</v>
      </c>
      <c r="B1415" s="2992">
        <f>Sheet1!G1396</f>
        <v>50.63</v>
      </c>
      <c r="C1415" s="2996">
        <f t="shared" si="220"/>
        <v>1</v>
      </c>
      <c r="D1415" s="2994"/>
      <c r="E1415" s="2996">
        <f t="shared" si="221"/>
        <v>1</v>
      </c>
      <c r="F1415" s="2994"/>
      <c r="G1415" s="2996">
        <f t="shared" si="222"/>
        <v>1</v>
      </c>
      <c r="H1415" s="2994"/>
      <c r="I1415" s="2996">
        <f t="shared" si="223"/>
        <v>1</v>
      </c>
      <c r="J1415" s="2994"/>
      <c r="K1415" s="2996">
        <f t="shared" si="224"/>
        <v>1</v>
      </c>
      <c r="L1415" s="2994"/>
      <c r="M1415" s="2996">
        <f t="shared" si="225"/>
        <v>1</v>
      </c>
      <c r="N1415" s="2994"/>
      <c r="O1415" s="2996">
        <f t="shared" si="226"/>
        <v>1</v>
      </c>
      <c r="P1415" s="2994"/>
      <c r="Q1415" s="2996">
        <f t="shared" si="227"/>
        <v>1</v>
      </c>
      <c r="R1415" s="2997">
        <f t="shared" ca="1" si="228"/>
        <v>17260</v>
      </c>
      <c r="S1415" s="2962">
        <f t="shared" ca="1" si="229"/>
        <v>87</v>
      </c>
    </row>
    <row r="1416" spans="1:19">
      <c r="A1416" s="2992" t="str">
        <f>Sheet1!F1397</f>
        <v>3-1623</v>
      </c>
      <c r="B1416" s="2992">
        <f>Sheet1!G1397</f>
        <v>50.63</v>
      </c>
      <c r="C1416" s="2996">
        <f t="shared" si="220"/>
        <v>1</v>
      </c>
      <c r="D1416" s="2994"/>
      <c r="E1416" s="2996">
        <f t="shared" si="221"/>
        <v>1</v>
      </c>
      <c r="F1416" s="2994"/>
      <c r="G1416" s="2996">
        <f t="shared" si="222"/>
        <v>1</v>
      </c>
      <c r="H1416" s="2994"/>
      <c r="I1416" s="2996">
        <f t="shared" si="223"/>
        <v>1</v>
      </c>
      <c r="J1416" s="2994"/>
      <c r="K1416" s="2996">
        <f t="shared" si="224"/>
        <v>1</v>
      </c>
      <c r="L1416" s="2994"/>
      <c r="M1416" s="2996">
        <f t="shared" si="225"/>
        <v>1</v>
      </c>
      <c r="N1416" s="2994"/>
      <c r="O1416" s="2996">
        <f t="shared" si="226"/>
        <v>1</v>
      </c>
      <c r="P1416" s="2994"/>
      <c r="Q1416" s="2996">
        <f t="shared" si="227"/>
        <v>1</v>
      </c>
      <c r="R1416" s="2997">
        <f t="shared" ca="1" si="228"/>
        <v>17260</v>
      </c>
      <c r="S1416" s="2962">
        <f t="shared" ca="1" si="229"/>
        <v>87</v>
      </c>
    </row>
    <row r="1417" spans="1:19">
      <c r="A1417" s="2992" t="str">
        <f>Sheet1!F1398</f>
        <v>3-1624</v>
      </c>
      <c r="B1417" s="2992">
        <f>Sheet1!G1398</f>
        <v>50.63</v>
      </c>
      <c r="C1417" s="2996">
        <f t="shared" si="220"/>
        <v>1</v>
      </c>
      <c r="D1417" s="2994"/>
      <c r="E1417" s="2996">
        <f t="shared" si="221"/>
        <v>1</v>
      </c>
      <c r="F1417" s="2994"/>
      <c r="G1417" s="2996">
        <f t="shared" si="222"/>
        <v>1</v>
      </c>
      <c r="H1417" s="2994"/>
      <c r="I1417" s="2996">
        <f t="shared" si="223"/>
        <v>1</v>
      </c>
      <c r="J1417" s="2994"/>
      <c r="K1417" s="2996">
        <f t="shared" si="224"/>
        <v>1</v>
      </c>
      <c r="L1417" s="2994"/>
      <c r="M1417" s="2996">
        <f t="shared" si="225"/>
        <v>1</v>
      </c>
      <c r="N1417" s="2994"/>
      <c r="O1417" s="2996">
        <f t="shared" si="226"/>
        <v>1</v>
      </c>
      <c r="P1417" s="2994"/>
      <c r="Q1417" s="2996">
        <f t="shared" si="227"/>
        <v>1</v>
      </c>
      <c r="R1417" s="2997">
        <f t="shared" ca="1" si="228"/>
        <v>17260</v>
      </c>
      <c r="S1417" s="2962">
        <f t="shared" ca="1" si="229"/>
        <v>87</v>
      </c>
    </row>
    <row r="1418" spans="1:19">
      <c r="A1418" s="2992" t="str">
        <f>Sheet1!F1399</f>
        <v>3-1625</v>
      </c>
      <c r="B1418" s="2992">
        <f>Sheet1!G1399</f>
        <v>50.63</v>
      </c>
      <c r="C1418" s="2996">
        <f t="shared" si="220"/>
        <v>1</v>
      </c>
      <c r="D1418" s="2994"/>
      <c r="E1418" s="2996">
        <f t="shared" si="221"/>
        <v>1</v>
      </c>
      <c r="F1418" s="2994"/>
      <c r="G1418" s="2996">
        <f t="shared" si="222"/>
        <v>1</v>
      </c>
      <c r="H1418" s="2994"/>
      <c r="I1418" s="2996">
        <f t="shared" si="223"/>
        <v>1</v>
      </c>
      <c r="J1418" s="2994"/>
      <c r="K1418" s="2996">
        <f t="shared" si="224"/>
        <v>1</v>
      </c>
      <c r="L1418" s="2994"/>
      <c r="M1418" s="2996">
        <f t="shared" si="225"/>
        <v>1</v>
      </c>
      <c r="N1418" s="2994"/>
      <c r="O1418" s="2996">
        <f t="shared" si="226"/>
        <v>1</v>
      </c>
      <c r="P1418" s="2994"/>
      <c r="Q1418" s="2996">
        <f t="shared" si="227"/>
        <v>1</v>
      </c>
      <c r="R1418" s="2997">
        <f t="shared" ca="1" si="228"/>
        <v>17260</v>
      </c>
      <c r="S1418" s="2962">
        <f t="shared" ca="1" si="229"/>
        <v>87</v>
      </c>
    </row>
    <row r="1419" spans="1:19">
      <c r="A1419" s="2992" t="str">
        <f>Sheet1!F1400</f>
        <v>3-1626</v>
      </c>
      <c r="B1419" s="2992">
        <f>Sheet1!G1400</f>
        <v>50.63</v>
      </c>
      <c r="C1419" s="2996">
        <f t="shared" si="220"/>
        <v>1</v>
      </c>
      <c r="D1419" s="2994"/>
      <c r="E1419" s="2996">
        <f t="shared" si="221"/>
        <v>1</v>
      </c>
      <c r="F1419" s="2994"/>
      <c r="G1419" s="2996">
        <f t="shared" si="222"/>
        <v>1</v>
      </c>
      <c r="H1419" s="2994"/>
      <c r="I1419" s="2996">
        <f t="shared" si="223"/>
        <v>1</v>
      </c>
      <c r="J1419" s="2994"/>
      <c r="K1419" s="2996">
        <f t="shared" si="224"/>
        <v>1</v>
      </c>
      <c r="L1419" s="2994"/>
      <c r="M1419" s="2996">
        <f t="shared" si="225"/>
        <v>1</v>
      </c>
      <c r="N1419" s="2994"/>
      <c r="O1419" s="2996">
        <f t="shared" si="226"/>
        <v>1</v>
      </c>
      <c r="P1419" s="2994"/>
      <c r="Q1419" s="2996">
        <f t="shared" si="227"/>
        <v>1</v>
      </c>
      <c r="R1419" s="2997">
        <f t="shared" ca="1" si="228"/>
        <v>17260</v>
      </c>
      <c r="S1419" s="2962">
        <f t="shared" ca="1" si="229"/>
        <v>87</v>
      </c>
    </row>
    <row r="1420" spans="1:19">
      <c r="A1420" s="2992" t="str">
        <f>Sheet1!F1401</f>
        <v>3-1627</v>
      </c>
      <c r="B1420" s="2992">
        <f>Sheet1!G1401</f>
        <v>50.63</v>
      </c>
      <c r="C1420" s="2996">
        <f t="shared" si="220"/>
        <v>1</v>
      </c>
      <c r="D1420" s="2994"/>
      <c r="E1420" s="2996">
        <f t="shared" si="221"/>
        <v>1</v>
      </c>
      <c r="F1420" s="2994"/>
      <c r="G1420" s="2996">
        <f t="shared" si="222"/>
        <v>1</v>
      </c>
      <c r="H1420" s="2994"/>
      <c r="I1420" s="2996">
        <f t="shared" si="223"/>
        <v>1</v>
      </c>
      <c r="J1420" s="2994"/>
      <c r="K1420" s="2996">
        <f t="shared" si="224"/>
        <v>1</v>
      </c>
      <c r="L1420" s="2994"/>
      <c r="M1420" s="2996">
        <f t="shared" si="225"/>
        <v>1</v>
      </c>
      <c r="N1420" s="2994"/>
      <c r="O1420" s="2996">
        <f t="shared" si="226"/>
        <v>1</v>
      </c>
      <c r="P1420" s="2994"/>
      <c r="Q1420" s="2996">
        <f t="shared" si="227"/>
        <v>1</v>
      </c>
      <c r="R1420" s="2997">
        <f t="shared" ca="1" si="228"/>
        <v>17260</v>
      </c>
      <c r="S1420" s="2962">
        <f t="shared" ca="1" si="229"/>
        <v>87</v>
      </c>
    </row>
    <row r="1421" spans="1:19">
      <c r="A1421" s="2992" t="str">
        <f>Sheet1!F1402</f>
        <v>3-1628</v>
      </c>
      <c r="B1421" s="2992">
        <f>Sheet1!G1402</f>
        <v>50.63</v>
      </c>
      <c r="C1421" s="2996">
        <f t="shared" ref="C1421:C1484" si="230">IF(B1421="",1,(LOOKUP(B1421,$3:$3,$4:$4)-LOOKUP($B$24,$3:$3,$4:$4)+100)/100)</f>
        <v>1</v>
      </c>
      <c r="D1421" s="2994"/>
      <c r="E1421" s="2996">
        <f t="shared" ref="E1421:E1484" si="231">(SUMIF($5:$5,D1421,$6:$6)-SUMIF($5:$5,$D$24,$6:$6)+100)/100</f>
        <v>1</v>
      </c>
      <c r="F1421" s="2994"/>
      <c r="G1421" s="2996">
        <f t="shared" ref="G1421:G1484" si="232">(SUMIF($7:$7,F1421,$8:$8)-SUMIF($7:$7,$F$24,$8:$8)+100)/100</f>
        <v>1</v>
      </c>
      <c r="H1421" s="2994"/>
      <c r="I1421" s="2996">
        <f t="shared" ref="I1421:I1484" si="233">(SUMIF($9:$9,H1421,$10:$10)-SUMIF($9:$9,$H$24,$10:$10)+100)/100</f>
        <v>1</v>
      </c>
      <c r="J1421" s="2994"/>
      <c r="K1421" s="2996">
        <f t="shared" ref="K1421:K1484" si="234">(SUMIF($11:$11,J1421,$12:$12)-SUMIF($11:$11,$J$24,$12:$12)+100)/100</f>
        <v>1</v>
      </c>
      <c r="L1421" s="2994"/>
      <c r="M1421" s="2996">
        <f t="shared" ref="M1421:M1484" si="235">(SUMIF($13:$13,L1421,$14:$14)-SUMIF($13:$13,$L$24,$14:$14)+100)/100</f>
        <v>1</v>
      </c>
      <c r="N1421" s="2994"/>
      <c r="O1421" s="2996">
        <f t="shared" ref="O1421:O1484" si="236">(SUMIF($15:$15,N1421,$16:$16)-SUMIF($15:$15,$N$24,$16:$16)+100)/100</f>
        <v>1</v>
      </c>
      <c r="P1421" s="2994"/>
      <c r="Q1421" s="2996">
        <f t="shared" ref="Q1421:Q1484" si="237">(SUMIF($17:$17,P1421,$18:$18)-SUMIF($17:$17,$P$24,$18:$18)+100)/100</f>
        <v>1</v>
      </c>
      <c r="R1421" s="2997">
        <f t="shared" ref="R1421:R1484" ca="1" si="238">IF(B1421="",0,ROUND($R$24*C1421*E1421*G1421*I1421*K1421*M1421*O1421*Q1421,0))</f>
        <v>17260</v>
      </c>
      <c r="S1421" s="2962">
        <f t="shared" ref="S1421:S1484" ca="1" si="239">ROUND(R1421*B1421/10000,0)</f>
        <v>87</v>
      </c>
    </row>
    <row r="1422" spans="1:19">
      <c r="A1422" s="2992" t="str">
        <f>Sheet1!F1403</f>
        <v>3-1629</v>
      </c>
      <c r="B1422" s="2992">
        <f>Sheet1!G1403</f>
        <v>50.63</v>
      </c>
      <c r="C1422" s="2996">
        <f t="shared" si="230"/>
        <v>1</v>
      </c>
      <c r="D1422" s="2994"/>
      <c r="E1422" s="2996">
        <f t="shared" si="231"/>
        <v>1</v>
      </c>
      <c r="F1422" s="2994"/>
      <c r="G1422" s="2996">
        <f t="shared" si="232"/>
        <v>1</v>
      </c>
      <c r="H1422" s="2994"/>
      <c r="I1422" s="2996">
        <f t="shared" si="233"/>
        <v>1</v>
      </c>
      <c r="J1422" s="2994"/>
      <c r="K1422" s="2996">
        <f t="shared" si="234"/>
        <v>1</v>
      </c>
      <c r="L1422" s="2994"/>
      <c r="M1422" s="2996">
        <f t="shared" si="235"/>
        <v>1</v>
      </c>
      <c r="N1422" s="2994"/>
      <c r="O1422" s="2996">
        <f t="shared" si="236"/>
        <v>1</v>
      </c>
      <c r="P1422" s="2994"/>
      <c r="Q1422" s="2996">
        <f t="shared" si="237"/>
        <v>1</v>
      </c>
      <c r="R1422" s="2997">
        <f t="shared" ca="1" si="238"/>
        <v>17260</v>
      </c>
      <c r="S1422" s="2962">
        <f t="shared" ca="1" si="239"/>
        <v>87</v>
      </c>
    </row>
    <row r="1423" spans="1:19">
      <c r="A1423" s="2992" t="str">
        <f>Sheet1!F1404</f>
        <v>3-1630</v>
      </c>
      <c r="B1423" s="2992">
        <f>Sheet1!G1404</f>
        <v>50.63</v>
      </c>
      <c r="C1423" s="2996">
        <f t="shared" si="230"/>
        <v>1</v>
      </c>
      <c r="D1423" s="2994"/>
      <c r="E1423" s="2996">
        <f t="shared" si="231"/>
        <v>1</v>
      </c>
      <c r="F1423" s="2994"/>
      <c r="G1423" s="2996">
        <f t="shared" si="232"/>
        <v>1</v>
      </c>
      <c r="H1423" s="2994"/>
      <c r="I1423" s="2996">
        <f t="shared" si="233"/>
        <v>1</v>
      </c>
      <c r="J1423" s="2994"/>
      <c r="K1423" s="2996">
        <f t="shared" si="234"/>
        <v>1</v>
      </c>
      <c r="L1423" s="2994"/>
      <c r="M1423" s="2996">
        <f t="shared" si="235"/>
        <v>1</v>
      </c>
      <c r="N1423" s="2994"/>
      <c r="O1423" s="2996">
        <f t="shared" si="236"/>
        <v>1</v>
      </c>
      <c r="P1423" s="2994"/>
      <c r="Q1423" s="2996">
        <f t="shared" si="237"/>
        <v>1</v>
      </c>
      <c r="R1423" s="2997">
        <f t="shared" ca="1" si="238"/>
        <v>17260</v>
      </c>
      <c r="S1423" s="2962">
        <f t="shared" ca="1" si="239"/>
        <v>87</v>
      </c>
    </row>
    <row r="1424" spans="1:19">
      <c r="A1424" s="2992" t="str">
        <f>Sheet1!F1405</f>
        <v>3-1631</v>
      </c>
      <c r="B1424" s="2992">
        <f>Sheet1!G1405</f>
        <v>50.63</v>
      </c>
      <c r="C1424" s="2996">
        <f t="shared" si="230"/>
        <v>1</v>
      </c>
      <c r="D1424" s="2994"/>
      <c r="E1424" s="2996">
        <f t="shared" si="231"/>
        <v>1</v>
      </c>
      <c r="F1424" s="2994"/>
      <c r="G1424" s="2996">
        <f t="shared" si="232"/>
        <v>1</v>
      </c>
      <c r="H1424" s="2994"/>
      <c r="I1424" s="2996">
        <f t="shared" si="233"/>
        <v>1</v>
      </c>
      <c r="J1424" s="2994"/>
      <c r="K1424" s="2996">
        <f t="shared" si="234"/>
        <v>1</v>
      </c>
      <c r="L1424" s="2994"/>
      <c r="M1424" s="2996">
        <f t="shared" si="235"/>
        <v>1</v>
      </c>
      <c r="N1424" s="2994"/>
      <c r="O1424" s="2996">
        <f t="shared" si="236"/>
        <v>1</v>
      </c>
      <c r="P1424" s="2994"/>
      <c r="Q1424" s="2996">
        <f t="shared" si="237"/>
        <v>1</v>
      </c>
      <c r="R1424" s="2997">
        <f t="shared" ca="1" si="238"/>
        <v>17260</v>
      </c>
      <c r="S1424" s="2962">
        <f t="shared" ca="1" si="239"/>
        <v>87</v>
      </c>
    </row>
    <row r="1425" spans="1:19">
      <c r="A1425" s="2992" t="str">
        <f>Sheet1!F1406</f>
        <v>3-1632</v>
      </c>
      <c r="B1425" s="2992">
        <f>Sheet1!G1406</f>
        <v>50.63</v>
      </c>
      <c r="C1425" s="2996">
        <f t="shared" si="230"/>
        <v>1</v>
      </c>
      <c r="D1425" s="2994"/>
      <c r="E1425" s="2996">
        <f t="shared" si="231"/>
        <v>1</v>
      </c>
      <c r="F1425" s="2994"/>
      <c r="G1425" s="2996">
        <f t="shared" si="232"/>
        <v>1</v>
      </c>
      <c r="H1425" s="2994"/>
      <c r="I1425" s="2996">
        <f t="shared" si="233"/>
        <v>1</v>
      </c>
      <c r="J1425" s="2994"/>
      <c r="K1425" s="2996">
        <f t="shared" si="234"/>
        <v>1</v>
      </c>
      <c r="L1425" s="2994"/>
      <c r="M1425" s="2996">
        <f t="shared" si="235"/>
        <v>1</v>
      </c>
      <c r="N1425" s="2994"/>
      <c r="O1425" s="2996">
        <f t="shared" si="236"/>
        <v>1</v>
      </c>
      <c r="P1425" s="2994"/>
      <c r="Q1425" s="2996">
        <f t="shared" si="237"/>
        <v>1</v>
      </c>
      <c r="R1425" s="2997">
        <f t="shared" ca="1" si="238"/>
        <v>17260</v>
      </c>
      <c r="S1425" s="2962">
        <f t="shared" ca="1" si="239"/>
        <v>87</v>
      </c>
    </row>
    <row r="1426" spans="1:19">
      <c r="A1426" s="2992" t="str">
        <f>Sheet1!F1407</f>
        <v>3-1633</v>
      </c>
      <c r="B1426" s="2992">
        <f>Sheet1!G1407</f>
        <v>50.38</v>
      </c>
      <c r="C1426" s="2996">
        <f t="shared" si="230"/>
        <v>1</v>
      </c>
      <c r="D1426" s="2994"/>
      <c r="E1426" s="2996">
        <f t="shared" si="231"/>
        <v>1</v>
      </c>
      <c r="F1426" s="2994"/>
      <c r="G1426" s="2996">
        <f t="shared" si="232"/>
        <v>1</v>
      </c>
      <c r="H1426" s="2994"/>
      <c r="I1426" s="2996">
        <f t="shared" si="233"/>
        <v>1</v>
      </c>
      <c r="J1426" s="2994"/>
      <c r="K1426" s="2996">
        <f t="shared" si="234"/>
        <v>1</v>
      </c>
      <c r="L1426" s="2994"/>
      <c r="M1426" s="2996">
        <f t="shared" si="235"/>
        <v>1</v>
      </c>
      <c r="N1426" s="2994"/>
      <c r="O1426" s="2996">
        <f t="shared" si="236"/>
        <v>1</v>
      </c>
      <c r="P1426" s="2994"/>
      <c r="Q1426" s="2996">
        <f t="shared" si="237"/>
        <v>1</v>
      </c>
      <c r="R1426" s="2997">
        <f t="shared" ca="1" si="238"/>
        <v>17260</v>
      </c>
      <c r="S1426" s="2962">
        <f t="shared" ca="1" si="239"/>
        <v>87</v>
      </c>
    </row>
    <row r="1427" spans="1:19">
      <c r="A1427" s="2992" t="str">
        <f>Sheet1!F1408</f>
        <v>3-1634</v>
      </c>
      <c r="B1427" s="2992">
        <f>Sheet1!G1408</f>
        <v>51.12</v>
      </c>
      <c r="C1427" s="2996">
        <f t="shared" si="230"/>
        <v>1</v>
      </c>
      <c r="D1427" s="2994"/>
      <c r="E1427" s="2996">
        <f t="shared" si="231"/>
        <v>1</v>
      </c>
      <c r="F1427" s="2994"/>
      <c r="G1427" s="2996">
        <f t="shared" si="232"/>
        <v>1</v>
      </c>
      <c r="H1427" s="2994"/>
      <c r="I1427" s="2996">
        <f t="shared" si="233"/>
        <v>1</v>
      </c>
      <c r="J1427" s="2994"/>
      <c r="K1427" s="2996">
        <f t="shared" si="234"/>
        <v>1</v>
      </c>
      <c r="L1427" s="2994"/>
      <c r="M1427" s="2996">
        <f t="shared" si="235"/>
        <v>1</v>
      </c>
      <c r="N1427" s="2994"/>
      <c r="O1427" s="2996">
        <f t="shared" si="236"/>
        <v>1</v>
      </c>
      <c r="P1427" s="2994"/>
      <c r="Q1427" s="2996">
        <f t="shared" si="237"/>
        <v>1</v>
      </c>
      <c r="R1427" s="2997">
        <f t="shared" ca="1" si="238"/>
        <v>17260</v>
      </c>
      <c r="S1427" s="2962">
        <f t="shared" ca="1" si="239"/>
        <v>88</v>
      </c>
    </row>
    <row r="1428" spans="1:19">
      <c r="A1428" s="2992" t="str">
        <f>Sheet1!F1409</f>
        <v>3-1635</v>
      </c>
      <c r="B1428" s="2992">
        <f>Sheet1!G1409</f>
        <v>68.760000000000005</v>
      </c>
      <c r="C1428" s="2996">
        <f t="shared" si="230"/>
        <v>1</v>
      </c>
      <c r="D1428" s="2994"/>
      <c r="E1428" s="2996">
        <f t="shared" si="231"/>
        <v>1</v>
      </c>
      <c r="F1428" s="2994"/>
      <c r="G1428" s="2996">
        <f t="shared" si="232"/>
        <v>1</v>
      </c>
      <c r="H1428" s="2994"/>
      <c r="I1428" s="2996">
        <f t="shared" si="233"/>
        <v>1</v>
      </c>
      <c r="J1428" s="2994"/>
      <c r="K1428" s="2996">
        <f t="shared" si="234"/>
        <v>1</v>
      </c>
      <c r="L1428" s="2994"/>
      <c r="M1428" s="2996">
        <f t="shared" si="235"/>
        <v>1</v>
      </c>
      <c r="N1428" s="2994"/>
      <c r="O1428" s="2996">
        <f t="shared" si="236"/>
        <v>1</v>
      </c>
      <c r="P1428" s="2994"/>
      <c r="Q1428" s="2996">
        <f t="shared" si="237"/>
        <v>1</v>
      </c>
      <c r="R1428" s="2997">
        <f t="shared" ca="1" si="238"/>
        <v>17260</v>
      </c>
      <c r="S1428" s="2962">
        <f t="shared" ca="1" si="239"/>
        <v>119</v>
      </c>
    </row>
    <row r="1429" spans="1:19">
      <c r="A1429" s="2992" t="str">
        <f>Sheet1!F1410</f>
        <v>3-1636</v>
      </c>
      <c r="B1429" s="2992">
        <f>Sheet1!G1410</f>
        <v>69.319999999999993</v>
      </c>
      <c r="C1429" s="2996">
        <f t="shared" si="230"/>
        <v>1</v>
      </c>
      <c r="D1429" s="2994"/>
      <c r="E1429" s="2996">
        <f t="shared" si="231"/>
        <v>1</v>
      </c>
      <c r="F1429" s="2994"/>
      <c r="G1429" s="2996">
        <f t="shared" si="232"/>
        <v>1</v>
      </c>
      <c r="H1429" s="2994"/>
      <c r="I1429" s="2996">
        <f t="shared" si="233"/>
        <v>1</v>
      </c>
      <c r="J1429" s="2994"/>
      <c r="K1429" s="2996">
        <f t="shared" si="234"/>
        <v>1</v>
      </c>
      <c r="L1429" s="2994"/>
      <c r="M1429" s="2996">
        <f t="shared" si="235"/>
        <v>1</v>
      </c>
      <c r="N1429" s="2994"/>
      <c r="O1429" s="2996">
        <f t="shared" si="236"/>
        <v>1</v>
      </c>
      <c r="P1429" s="2994"/>
      <c r="Q1429" s="2996">
        <f t="shared" si="237"/>
        <v>1</v>
      </c>
      <c r="R1429" s="2997">
        <f t="shared" ca="1" si="238"/>
        <v>17260</v>
      </c>
      <c r="S1429" s="2962">
        <f t="shared" ca="1" si="239"/>
        <v>120</v>
      </c>
    </row>
    <row r="1430" spans="1:19">
      <c r="A1430" s="2992" t="str">
        <f>Sheet1!F1411</f>
        <v>3-1637</v>
      </c>
      <c r="B1430" s="2992">
        <f>Sheet1!G1411</f>
        <v>61.41</v>
      </c>
      <c r="C1430" s="2996">
        <f t="shared" si="230"/>
        <v>1</v>
      </c>
      <c r="D1430" s="2994"/>
      <c r="E1430" s="2996">
        <f t="shared" si="231"/>
        <v>1</v>
      </c>
      <c r="F1430" s="2994"/>
      <c r="G1430" s="2996">
        <f t="shared" si="232"/>
        <v>1</v>
      </c>
      <c r="H1430" s="2994"/>
      <c r="I1430" s="2996">
        <f t="shared" si="233"/>
        <v>1</v>
      </c>
      <c r="J1430" s="2994"/>
      <c r="K1430" s="2996">
        <f t="shared" si="234"/>
        <v>1</v>
      </c>
      <c r="L1430" s="2994"/>
      <c r="M1430" s="2996">
        <f t="shared" si="235"/>
        <v>1</v>
      </c>
      <c r="N1430" s="2994"/>
      <c r="O1430" s="2996">
        <f t="shared" si="236"/>
        <v>1</v>
      </c>
      <c r="P1430" s="2994"/>
      <c r="Q1430" s="2996">
        <f t="shared" si="237"/>
        <v>1</v>
      </c>
      <c r="R1430" s="2997">
        <f t="shared" ca="1" si="238"/>
        <v>17260</v>
      </c>
      <c r="S1430" s="2962">
        <f t="shared" ca="1" si="239"/>
        <v>106</v>
      </c>
    </row>
    <row r="1431" spans="1:19">
      <c r="A1431" s="2992" t="str">
        <f>Sheet1!F1412</f>
        <v>3-1638</v>
      </c>
      <c r="B1431" s="2992">
        <f>Sheet1!G1412</f>
        <v>61.41</v>
      </c>
      <c r="C1431" s="2996">
        <f t="shared" si="230"/>
        <v>1</v>
      </c>
      <c r="D1431" s="2994"/>
      <c r="E1431" s="2996">
        <f t="shared" si="231"/>
        <v>1</v>
      </c>
      <c r="F1431" s="2994"/>
      <c r="G1431" s="2996">
        <f t="shared" si="232"/>
        <v>1</v>
      </c>
      <c r="H1431" s="2994"/>
      <c r="I1431" s="2996">
        <f t="shared" si="233"/>
        <v>1</v>
      </c>
      <c r="J1431" s="2994"/>
      <c r="K1431" s="2996">
        <f t="shared" si="234"/>
        <v>1</v>
      </c>
      <c r="L1431" s="2994"/>
      <c r="M1431" s="2996">
        <f t="shared" si="235"/>
        <v>1</v>
      </c>
      <c r="N1431" s="2994"/>
      <c r="O1431" s="2996">
        <f t="shared" si="236"/>
        <v>1</v>
      </c>
      <c r="P1431" s="2994"/>
      <c r="Q1431" s="2996">
        <f t="shared" si="237"/>
        <v>1</v>
      </c>
      <c r="R1431" s="2997">
        <f t="shared" ca="1" si="238"/>
        <v>17260</v>
      </c>
      <c r="S1431" s="2962">
        <f t="shared" ca="1" si="239"/>
        <v>106</v>
      </c>
    </row>
    <row r="1432" spans="1:19">
      <c r="A1432" s="2992" t="str">
        <f>Sheet1!F1413</f>
        <v>3-1639</v>
      </c>
      <c r="B1432" s="2992">
        <f>Sheet1!G1413</f>
        <v>61.41</v>
      </c>
      <c r="C1432" s="2996">
        <f t="shared" si="230"/>
        <v>1</v>
      </c>
      <c r="D1432" s="2994"/>
      <c r="E1432" s="2996">
        <f t="shared" si="231"/>
        <v>1</v>
      </c>
      <c r="F1432" s="2994"/>
      <c r="G1432" s="2996">
        <f t="shared" si="232"/>
        <v>1</v>
      </c>
      <c r="H1432" s="2994"/>
      <c r="I1432" s="2996">
        <f t="shared" si="233"/>
        <v>1</v>
      </c>
      <c r="J1432" s="2994"/>
      <c r="K1432" s="2996">
        <f t="shared" si="234"/>
        <v>1</v>
      </c>
      <c r="L1432" s="2994"/>
      <c r="M1432" s="2996">
        <f t="shared" si="235"/>
        <v>1</v>
      </c>
      <c r="N1432" s="2994"/>
      <c r="O1432" s="2996">
        <f t="shared" si="236"/>
        <v>1</v>
      </c>
      <c r="P1432" s="2994"/>
      <c r="Q1432" s="2996">
        <f t="shared" si="237"/>
        <v>1</v>
      </c>
      <c r="R1432" s="2997">
        <f t="shared" ca="1" si="238"/>
        <v>17260</v>
      </c>
      <c r="S1432" s="2962">
        <f t="shared" ca="1" si="239"/>
        <v>106</v>
      </c>
    </row>
    <row r="1433" spans="1:19">
      <c r="A1433" s="2992" t="str">
        <f>Sheet1!F1414</f>
        <v>3-1640</v>
      </c>
      <c r="B1433" s="2992">
        <f>Sheet1!G1414</f>
        <v>61.41</v>
      </c>
      <c r="C1433" s="2996">
        <f t="shared" si="230"/>
        <v>1</v>
      </c>
      <c r="D1433" s="2994"/>
      <c r="E1433" s="2996">
        <f t="shared" si="231"/>
        <v>1</v>
      </c>
      <c r="F1433" s="2994"/>
      <c r="G1433" s="2996">
        <f t="shared" si="232"/>
        <v>1</v>
      </c>
      <c r="H1433" s="2994"/>
      <c r="I1433" s="2996">
        <f t="shared" si="233"/>
        <v>1</v>
      </c>
      <c r="J1433" s="2994"/>
      <c r="K1433" s="2996">
        <f t="shared" si="234"/>
        <v>1</v>
      </c>
      <c r="L1433" s="2994"/>
      <c r="M1433" s="2996">
        <f t="shared" si="235"/>
        <v>1</v>
      </c>
      <c r="N1433" s="2994"/>
      <c r="O1433" s="2996">
        <f t="shared" si="236"/>
        <v>1</v>
      </c>
      <c r="P1433" s="2994"/>
      <c r="Q1433" s="2996">
        <f t="shared" si="237"/>
        <v>1</v>
      </c>
      <c r="R1433" s="2997">
        <f t="shared" ca="1" si="238"/>
        <v>17260</v>
      </c>
      <c r="S1433" s="2962">
        <f t="shared" ca="1" si="239"/>
        <v>106</v>
      </c>
    </row>
    <row r="1434" spans="1:19">
      <c r="A1434" s="2992" t="str">
        <f>Sheet1!F1415</f>
        <v>3-1641</v>
      </c>
      <c r="B1434" s="2992">
        <f>Sheet1!G1415</f>
        <v>61.41</v>
      </c>
      <c r="C1434" s="2996">
        <f t="shared" si="230"/>
        <v>1</v>
      </c>
      <c r="D1434" s="2994"/>
      <c r="E1434" s="2996">
        <f t="shared" si="231"/>
        <v>1</v>
      </c>
      <c r="F1434" s="2994"/>
      <c r="G1434" s="2996">
        <f t="shared" si="232"/>
        <v>1</v>
      </c>
      <c r="H1434" s="2994"/>
      <c r="I1434" s="2996">
        <f t="shared" si="233"/>
        <v>1</v>
      </c>
      <c r="J1434" s="2994"/>
      <c r="K1434" s="2996">
        <f t="shared" si="234"/>
        <v>1</v>
      </c>
      <c r="L1434" s="2994"/>
      <c r="M1434" s="2996">
        <f t="shared" si="235"/>
        <v>1</v>
      </c>
      <c r="N1434" s="2994"/>
      <c r="O1434" s="2996">
        <f t="shared" si="236"/>
        <v>1</v>
      </c>
      <c r="P1434" s="2994"/>
      <c r="Q1434" s="2996">
        <f t="shared" si="237"/>
        <v>1</v>
      </c>
      <c r="R1434" s="2997">
        <f t="shared" ca="1" si="238"/>
        <v>17260</v>
      </c>
      <c r="S1434" s="2962">
        <f t="shared" ca="1" si="239"/>
        <v>106</v>
      </c>
    </row>
    <row r="1435" spans="1:19">
      <c r="A1435" s="2992" t="str">
        <f>Sheet1!F1416</f>
        <v>3-1642</v>
      </c>
      <c r="B1435" s="2992">
        <f>Sheet1!G1416</f>
        <v>72.87</v>
      </c>
      <c r="C1435" s="2996">
        <f t="shared" si="230"/>
        <v>1</v>
      </c>
      <c r="D1435" s="2994"/>
      <c r="E1435" s="2996">
        <f t="shared" si="231"/>
        <v>1</v>
      </c>
      <c r="F1435" s="2994"/>
      <c r="G1435" s="2996">
        <f t="shared" si="232"/>
        <v>1</v>
      </c>
      <c r="H1435" s="2994"/>
      <c r="I1435" s="2996">
        <f t="shared" si="233"/>
        <v>1</v>
      </c>
      <c r="J1435" s="2994"/>
      <c r="K1435" s="2996">
        <f t="shared" si="234"/>
        <v>1</v>
      </c>
      <c r="L1435" s="2994"/>
      <c r="M1435" s="2996">
        <f t="shared" si="235"/>
        <v>1</v>
      </c>
      <c r="N1435" s="2994"/>
      <c r="O1435" s="2996">
        <f t="shared" si="236"/>
        <v>1</v>
      </c>
      <c r="P1435" s="2994"/>
      <c r="Q1435" s="2996">
        <f t="shared" si="237"/>
        <v>1</v>
      </c>
      <c r="R1435" s="2997">
        <f t="shared" ca="1" si="238"/>
        <v>17260</v>
      </c>
      <c r="S1435" s="2962">
        <f t="shared" ca="1" si="239"/>
        <v>126</v>
      </c>
    </row>
    <row r="1436" spans="1:19">
      <c r="A1436" s="2992" t="str">
        <f>Sheet1!F1417</f>
        <v>3-1643</v>
      </c>
      <c r="B1436" s="2992">
        <f>Sheet1!G1417</f>
        <v>81.069999999999993</v>
      </c>
      <c r="C1436" s="2996">
        <f t="shared" si="230"/>
        <v>1</v>
      </c>
      <c r="D1436" s="2994"/>
      <c r="E1436" s="2996">
        <f t="shared" si="231"/>
        <v>1</v>
      </c>
      <c r="F1436" s="2994"/>
      <c r="G1436" s="2996">
        <f t="shared" si="232"/>
        <v>1</v>
      </c>
      <c r="H1436" s="2994"/>
      <c r="I1436" s="2996">
        <f t="shared" si="233"/>
        <v>1</v>
      </c>
      <c r="J1436" s="2994"/>
      <c r="K1436" s="2996">
        <f t="shared" si="234"/>
        <v>1</v>
      </c>
      <c r="L1436" s="2994"/>
      <c r="M1436" s="2996">
        <f t="shared" si="235"/>
        <v>1</v>
      </c>
      <c r="N1436" s="2994"/>
      <c r="O1436" s="2996">
        <f t="shared" si="236"/>
        <v>1</v>
      </c>
      <c r="P1436" s="2994"/>
      <c r="Q1436" s="2996">
        <f t="shared" si="237"/>
        <v>1</v>
      </c>
      <c r="R1436" s="2997">
        <f t="shared" ca="1" si="238"/>
        <v>17260</v>
      </c>
      <c r="S1436" s="2962">
        <f t="shared" ca="1" si="239"/>
        <v>140</v>
      </c>
    </row>
    <row r="1437" spans="1:19">
      <c r="A1437" s="2992" t="str">
        <f>Sheet1!F1418</f>
        <v>3-1644</v>
      </c>
      <c r="B1437" s="2992">
        <f>Sheet1!G1418</f>
        <v>61.41</v>
      </c>
      <c r="C1437" s="2996">
        <f t="shared" si="230"/>
        <v>1</v>
      </c>
      <c r="D1437" s="2994"/>
      <c r="E1437" s="2996">
        <f t="shared" si="231"/>
        <v>1</v>
      </c>
      <c r="F1437" s="2994"/>
      <c r="G1437" s="2996">
        <f t="shared" si="232"/>
        <v>1</v>
      </c>
      <c r="H1437" s="2994"/>
      <c r="I1437" s="2996">
        <f t="shared" si="233"/>
        <v>1</v>
      </c>
      <c r="J1437" s="2994"/>
      <c r="K1437" s="2996">
        <f t="shared" si="234"/>
        <v>1</v>
      </c>
      <c r="L1437" s="2994"/>
      <c r="M1437" s="2996">
        <f t="shared" si="235"/>
        <v>1</v>
      </c>
      <c r="N1437" s="2994"/>
      <c r="O1437" s="2996">
        <f t="shared" si="236"/>
        <v>1</v>
      </c>
      <c r="P1437" s="2994"/>
      <c r="Q1437" s="2996">
        <f t="shared" si="237"/>
        <v>1</v>
      </c>
      <c r="R1437" s="2997">
        <f t="shared" ca="1" si="238"/>
        <v>17260</v>
      </c>
      <c r="S1437" s="2962">
        <f t="shared" ca="1" si="239"/>
        <v>106</v>
      </c>
    </row>
    <row r="1438" spans="1:19">
      <c r="A1438" s="2992" t="str">
        <f>Sheet1!F1419</f>
        <v>3-1645</v>
      </c>
      <c r="B1438" s="2992">
        <f>Sheet1!G1419</f>
        <v>54.6</v>
      </c>
      <c r="C1438" s="2996">
        <f t="shared" si="230"/>
        <v>1</v>
      </c>
      <c r="D1438" s="2994"/>
      <c r="E1438" s="2996">
        <f t="shared" si="231"/>
        <v>1</v>
      </c>
      <c r="F1438" s="2994"/>
      <c r="G1438" s="2996">
        <f t="shared" si="232"/>
        <v>1</v>
      </c>
      <c r="H1438" s="2994"/>
      <c r="I1438" s="2996">
        <f t="shared" si="233"/>
        <v>1</v>
      </c>
      <c r="J1438" s="2994"/>
      <c r="K1438" s="2996">
        <f t="shared" si="234"/>
        <v>1</v>
      </c>
      <c r="L1438" s="2994"/>
      <c r="M1438" s="2996">
        <f t="shared" si="235"/>
        <v>1</v>
      </c>
      <c r="N1438" s="2994"/>
      <c r="O1438" s="2996">
        <f t="shared" si="236"/>
        <v>1</v>
      </c>
      <c r="P1438" s="2994"/>
      <c r="Q1438" s="2996">
        <f t="shared" si="237"/>
        <v>1</v>
      </c>
      <c r="R1438" s="2997">
        <f t="shared" ca="1" si="238"/>
        <v>17260</v>
      </c>
      <c r="S1438" s="2962">
        <f t="shared" ca="1" si="239"/>
        <v>94</v>
      </c>
    </row>
    <row r="1439" spans="1:19">
      <c r="A1439" s="2992" t="str">
        <f>Sheet1!F1420</f>
        <v>3-1646</v>
      </c>
      <c r="B1439" s="2992">
        <f>Sheet1!G1420</f>
        <v>71.23</v>
      </c>
      <c r="C1439" s="2996">
        <f t="shared" si="230"/>
        <v>1</v>
      </c>
      <c r="D1439" s="2994"/>
      <c r="E1439" s="2996">
        <f t="shared" si="231"/>
        <v>1</v>
      </c>
      <c r="F1439" s="2994"/>
      <c r="G1439" s="2996">
        <f t="shared" si="232"/>
        <v>1</v>
      </c>
      <c r="H1439" s="2994"/>
      <c r="I1439" s="2996">
        <f t="shared" si="233"/>
        <v>1</v>
      </c>
      <c r="J1439" s="2994"/>
      <c r="K1439" s="2996">
        <f t="shared" si="234"/>
        <v>1</v>
      </c>
      <c r="L1439" s="2994"/>
      <c r="M1439" s="2996">
        <f t="shared" si="235"/>
        <v>1</v>
      </c>
      <c r="N1439" s="2994"/>
      <c r="O1439" s="2996">
        <f t="shared" si="236"/>
        <v>1</v>
      </c>
      <c r="P1439" s="2994"/>
      <c r="Q1439" s="2996">
        <f t="shared" si="237"/>
        <v>1</v>
      </c>
      <c r="R1439" s="2997">
        <f t="shared" ca="1" si="238"/>
        <v>17260</v>
      </c>
      <c r="S1439" s="2962">
        <f t="shared" ca="1" si="239"/>
        <v>123</v>
      </c>
    </row>
    <row r="1440" spans="1:19">
      <c r="A1440" s="2992" t="str">
        <f>Sheet1!F1421</f>
        <v>3-1647</v>
      </c>
      <c r="B1440" s="2992">
        <f>Sheet1!G1421</f>
        <v>61.41</v>
      </c>
      <c r="C1440" s="2996">
        <f t="shared" si="230"/>
        <v>1</v>
      </c>
      <c r="D1440" s="2994"/>
      <c r="E1440" s="2996">
        <f t="shared" si="231"/>
        <v>1</v>
      </c>
      <c r="F1440" s="2994"/>
      <c r="G1440" s="2996">
        <f t="shared" si="232"/>
        <v>1</v>
      </c>
      <c r="H1440" s="2994"/>
      <c r="I1440" s="2996">
        <f t="shared" si="233"/>
        <v>1</v>
      </c>
      <c r="J1440" s="2994"/>
      <c r="K1440" s="2996">
        <f t="shared" si="234"/>
        <v>1</v>
      </c>
      <c r="L1440" s="2994"/>
      <c r="M1440" s="2996">
        <f t="shared" si="235"/>
        <v>1</v>
      </c>
      <c r="N1440" s="2994"/>
      <c r="O1440" s="2996">
        <f t="shared" si="236"/>
        <v>1</v>
      </c>
      <c r="P1440" s="2994"/>
      <c r="Q1440" s="2996">
        <f t="shared" si="237"/>
        <v>1</v>
      </c>
      <c r="R1440" s="2997">
        <f t="shared" ca="1" si="238"/>
        <v>17260</v>
      </c>
      <c r="S1440" s="2962">
        <f t="shared" ca="1" si="239"/>
        <v>106</v>
      </c>
    </row>
    <row r="1441" spans="1:19">
      <c r="A1441" s="2992" t="str">
        <f>Sheet1!F1422</f>
        <v>3-1648</v>
      </c>
      <c r="B1441" s="2992">
        <f>Sheet1!G1422</f>
        <v>61.41</v>
      </c>
      <c r="C1441" s="2996">
        <f t="shared" si="230"/>
        <v>1</v>
      </c>
      <c r="D1441" s="2994"/>
      <c r="E1441" s="2996">
        <f t="shared" si="231"/>
        <v>1</v>
      </c>
      <c r="F1441" s="2994"/>
      <c r="G1441" s="2996">
        <f t="shared" si="232"/>
        <v>1</v>
      </c>
      <c r="H1441" s="2994"/>
      <c r="I1441" s="2996">
        <f t="shared" si="233"/>
        <v>1</v>
      </c>
      <c r="J1441" s="2994"/>
      <c r="K1441" s="2996">
        <f t="shared" si="234"/>
        <v>1</v>
      </c>
      <c r="L1441" s="2994"/>
      <c r="M1441" s="2996">
        <f t="shared" si="235"/>
        <v>1</v>
      </c>
      <c r="N1441" s="2994"/>
      <c r="O1441" s="2996">
        <f t="shared" si="236"/>
        <v>1</v>
      </c>
      <c r="P1441" s="2994"/>
      <c r="Q1441" s="2996">
        <f t="shared" si="237"/>
        <v>1</v>
      </c>
      <c r="R1441" s="2997">
        <f t="shared" ca="1" si="238"/>
        <v>17260</v>
      </c>
      <c r="S1441" s="2962">
        <f t="shared" ca="1" si="239"/>
        <v>106</v>
      </c>
    </row>
    <row r="1442" spans="1:19">
      <c r="A1442" s="2992" t="str">
        <f>Sheet1!F1423</f>
        <v>3-1649</v>
      </c>
      <c r="B1442" s="2992">
        <f>Sheet1!G1423</f>
        <v>61.41</v>
      </c>
      <c r="C1442" s="2996">
        <f t="shared" si="230"/>
        <v>1</v>
      </c>
      <c r="D1442" s="2994"/>
      <c r="E1442" s="2996">
        <f t="shared" si="231"/>
        <v>1</v>
      </c>
      <c r="F1442" s="2994"/>
      <c r="G1442" s="2996">
        <f t="shared" si="232"/>
        <v>1</v>
      </c>
      <c r="H1442" s="2994"/>
      <c r="I1442" s="2996">
        <f t="shared" si="233"/>
        <v>1</v>
      </c>
      <c r="J1442" s="2994"/>
      <c r="K1442" s="2996">
        <f t="shared" si="234"/>
        <v>1</v>
      </c>
      <c r="L1442" s="2994"/>
      <c r="M1442" s="2996">
        <f t="shared" si="235"/>
        <v>1</v>
      </c>
      <c r="N1442" s="2994"/>
      <c r="O1442" s="2996">
        <f t="shared" si="236"/>
        <v>1</v>
      </c>
      <c r="P1442" s="2994"/>
      <c r="Q1442" s="2996">
        <f t="shared" si="237"/>
        <v>1</v>
      </c>
      <c r="R1442" s="2997">
        <f t="shared" ca="1" si="238"/>
        <v>17260</v>
      </c>
      <c r="S1442" s="2962">
        <f t="shared" ca="1" si="239"/>
        <v>106</v>
      </c>
    </row>
    <row r="1443" spans="1:19">
      <c r="A1443" s="2992" t="str">
        <f>Sheet1!F1424</f>
        <v>3-1650</v>
      </c>
      <c r="B1443" s="2992">
        <f>Sheet1!G1424</f>
        <v>61.88</v>
      </c>
      <c r="C1443" s="2996">
        <f t="shared" si="230"/>
        <v>1</v>
      </c>
      <c r="D1443" s="2994"/>
      <c r="E1443" s="2996">
        <f t="shared" si="231"/>
        <v>1</v>
      </c>
      <c r="F1443" s="2994"/>
      <c r="G1443" s="2996">
        <f t="shared" si="232"/>
        <v>1</v>
      </c>
      <c r="H1443" s="2994"/>
      <c r="I1443" s="2996">
        <f t="shared" si="233"/>
        <v>1</v>
      </c>
      <c r="J1443" s="2994"/>
      <c r="K1443" s="2996">
        <f t="shared" si="234"/>
        <v>1</v>
      </c>
      <c r="L1443" s="2994"/>
      <c r="M1443" s="2996">
        <f t="shared" si="235"/>
        <v>1</v>
      </c>
      <c r="N1443" s="2994"/>
      <c r="O1443" s="2996">
        <f t="shared" si="236"/>
        <v>1</v>
      </c>
      <c r="P1443" s="2994"/>
      <c r="Q1443" s="2996">
        <f t="shared" si="237"/>
        <v>1</v>
      </c>
      <c r="R1443" s="2997">
        <f t="shared" ca="1" si="238"/>
        <v>17260</v>
      </c>
      <c r="S1443" s="2962">
        <f t="shared" ca="1" si="239"/>
        <v>107</v>
      </c>
    </row>
    <row r="1444" spans="1:19">
      <c r="A1444" s="2992" t="str">
        <f>Sheet1!F1425</f>
        <v>3-1651</v>
      </c>
      <c r="B1444" s="2992">
        <f>Sheet1!G1425</f>
        <v>58.8</v>
      </c>
      <c r="C1444" s="2996">
        <f t="shared" si="230"/>
        <v>1</v>
      </c>
      <c r="D1444" s="2994"/>
      <c r="E1444" s="2996">
        <f t="shared" si="231"/>
        <v>1</v>
      </c>
      <c r="F1444" s="2994"/>
      <c r="G1444" s="2996">
        <f t="shared" si="232"/>
        <v>1</v>
      </c>
      <c r="H1444" s="2994"/>
      <c r="I1444" s="2996">
        <f t="shared" si="233"/>
        <v>1</v>
      </c>
      <c r="J1444" s="2994"/>
      <c r="K1444" s="2996">
        <f t="shared" si="234"/>
        <v>1</v>
      </c>
      <c r="L1444" s="2994"/>
      <c r="M1444" s="2996">
        <f t="shared" si="235"/>
        <v>1</v>
      </c>
      <c r="N1444" s="2994"/>
      <c r="O1444" s="2996">
        <f t="shared" si="236"/>
        <v>1</v>
      </c>
      <c r="P1444" s="2994"/>
      <c r="Q1444" s="2996">
        <f t="shared" si="237"/>
        <v>1</v>
      </c>
      <c r="R1444" s="2997">
        <f t="shared" ca="1" si="238"/>
        <v>17260</v>
      </c>
      <c r="S1444" s="2962">
        <f t="shared" ca="1" si="239"/>
        <v>101</v>
      </c>
    </row>
    <row r="1445" spans="1:19">
      <c r="A1445" s="2992" t="str">
        <f>Sheet1!F1426</f>
        <v>3-1652</v>
      </c>
      <c r="B1445" s="2992">
        <f>Sheet1!G1426</f>
        <v>60.21</v>
      </c>
      <c r="C1445" s="2996">
        <f t="shared" si="230"/>
        <v>1</v>
      </c>
      <c r="D1445" s="2994"/>
      <c r="E1445" s="2996">
        <f t="shared" si="231"/>
        <v>1</v>
      </c>
      <c r="F1445" s="2994"/>
      <c r="G1445" s="2996">
        <f t="shared" si="232"/>
        <v>1</v>
      </c>
      <c r="H1445" s="2994"/>
      <c r="I1445" s="2996">
        <f t="shared" si="233"/>
        <v>1</v>
      </c>
      <c r="J1445" s="2994"/>
      <c r="K1445" s="2996">
        <f t="shared" si="234"/>
        <v>1</v>
      </c>
      <c r="L1445" s="2994"/>
      <c r="M1445" s="2996">
        <f t="shared" si="235"/>
        <v>1</v>
      </c>
      <c r="N1445" s="2994"/>
      <c r="O1445" s="2996">
        <f t="shared" si="236"/>
        <v>1</v>
      </c>
      <c r="P1445" s="2994"/>
      <c r="Q1445" s="2996">
        <f t="shared" si="237"/>
        <v>1</v>
      </c>
      <c r="R1445" s="2997">
        <f t="shared" ca="1" si="238"/>
        <v>17260</v>
      </c>
      <c r="S1445" s="2962">
        <f t="shared" ca="1" si="239"/>
        <v>104</v>
      </c>
    </row>
    <row r="1446" spans="1:19">
      <c r="A1446" s="2992" t="str">
        <f>Sheet1!F1427</f>
        <v>4-1601</v>
      </c>
      <c r="B1446" s="2992">
        <f>Sheet1!G1427</f>
        <v>65.760000000000005</v>
      </c>
      <c r="C1446" s="2996">
        <f t="shared" si="230"/>
        <v>1</v>
      </c>
      <c r="D1446" s="2994"/>
      <c r="E1446" s="2996">
        <f t="shared" si="231"/>
        <v>1</v>
      </c>
      <c r="F1446" s="2994"/>
      <c r="G1446" s="2996">
        <f t="shared" si="232"/>
        <v>1</v>
      </c>
      <c r="H1446" s="2994"/>
      <c r="I1446" s="2996">
        <f t="shared" si="233"/>
        <v>1</v>
      </c>
      <c r="J1446" s="2994"/>
      <c r="K1446" s="2996">
        <f t="shared" si="234"/>
        <v>1</v>
      </c>
      <c r="L1446" s="2994"/>
      <c r="M1446" s="2996">
        <f t="shared" si="235"/>
        <v>1</v>
      </c>
      <c r="N1446" s="2994"/>
      <c r="O1446" s="2996">
        <f t="shared" si="236"/>
        <v>1</v>
      </c>
      <c r="P1446" s="2994"/>
      <c r="Q1446" s="2996">
        <f t="shared" si="237"/>
        <v>1</v>
      </c>
      <c r="R1446" s="2997">
        <f t="shared" ca="1" si="238"/>
        <v>17260</v>
      </c>
      <c r="S1446" s="2962">
        <f t="shared" ca="1" si="239"/>
        <v>114</v>
      </c>
    </row>
    <row r="1447" spans="1:19">
      <c r="A1447" s="2992" t="str">
        <f>Sheet1!F1428</f>
        <v>4-1602</v>
      </c>
      <c r="B1447" s="2992">
        <f>Sheet1!G1428</f>
        <v>59.41</v>
      </c>
      <c r="C1447" s="2996">
        <f t="shared" si="230"/>
        <v>1</v>
      </c>
      <c r="D1447" s="2994"/>
      <c r="E1447" s="2996">
        <f t="shared" si="231"/>
        <v>1</v>
      </c>
      <c r="F1447" s="2994"/>
      <c r="G1447" s="2996">
        <f t="shared" si="232"/>
        <v>1</v>
      </c>
      <c r="H1447" s="2994"/>
      <c r="I1447" s="2996">
        <f t="shared" si="233"/>
        <v>1</v>
      </c>
      <c r="J1447" s="2994"/>
      <c r="K1447" s="2996">
        <f t="shared" si="234"/>
        <v>1</v>
      </c>
      <c r="L1447" s="2994"/>
      <c r="M1447" s="2996">
        <f t="shared" si="235"/>
        <v>1</v>
      </c>
      <c r="N1447" s="2994"/>
      <c r="O1447" s="2996">
        <f t="shared" si="236"/>
        <v>1</v>
      </c>
      <c r="P1447" s="2994"/>
      <c r="Q1447" s="2996">
        <f t="shared" si="237"/>
        <v>1</v>
      </c>
      <c r="R1447" s="2997">
        <f t="shared" ca="1" si="238"/>
        <v>17260</v>
      </c>
      <c r="S1447" s="2962">
        <f t="shared" ca="1" si="239"/>
        <v>103</v>
      </c>
    </row>
    <row r="1448" spans="1:19">
      <c r="A1448" s="2992" t="str">
        <f>Sheet1!F1429</f>
        <v>4-1603</v>
      </c>
      <c r="B1448" s="2992">
        <f>Sheet1!G1429</f>
        <v>60.69</v>
      </c>
      <c r="C1448" s="2996">
        <f t="shared" si="230"/>
        <v>1</v>
      </c>
      <c r="D1448" s="2994"/>
      <c r="E1448" s="2996">
        <f t="shared" si="231"/>
        <v>1</v>
      </c>
      <c r="F1448" s="2994"/>
      <c r="G1448" s="2996">
        <f t="shared" si="232"/>
        <v>1</v>
      </c>
      <c r="H1448" s="2994"/>
      <c r="I1448" s="2996">
        <f t="shared" si="233"/>
        <v>1</v>
      </c>
      <c r="J1448" s="2994"/>
      <c r="K1448" s="2996">
        <f t="shared" si="234"/>
        <v>1</v>
      </c>
      <c r="L1448" s="2994"/>
      <c r="M1448" s="2996">
        <f t="shared" si="235"/>
        <v>1</v>
      </c>
      <c r="N1448" s="2994"/>
      <c r="O1448" s="2996">
        <f t="shared" si="236"/>
        <v>1</v>
      </c>
      <c r="P1448" s="2994"/>
      <c r="Q1448" s="2996">
        <f t="shared" si="237"/>
        <v>1</v>
      </c>
      <c r="R1448" s="2997">
        <f t="shared" ca="1" si="238"/>
        <v>17260</v>
      </c>
      <c r="S1448" s="2962">
        <f t="shared" ca="1" si="239"/>
        <v>105</v>
      </c>
    </row>
    <row r="1449" spans="1:19">
      <c r="A1449" s="2992" t="str">
        <f>Sheet1!F1430</f>
        <v>4-1604</v>
      </c>
      <c r="B1449" s="2992">
        <f>Sheet1!G1430</f>
        <v>60.69</v>
      </c>
      <c r="C1449" s="2996">
        <f t="shared" si="230"/>
        <v>1</v>
      </c>
      <c r="D1449" s="2994"/>
      <c r="E1449" s="2996">
        <f t="shared" si="231"/>
        <v>1</v>
      </c>
      <c r="F1449" s="2994"/>
      <c r="G1449" s="2996">
        <f t="shared" si="232"/>
        <v>1</v>
      </c>
      <c r="H1449" s="2994"/>
      <c r="I1449" s="2996">
        <f t="shared" si="233"/>
        <v>1</v>
      </c>
      <c r="J1449" s="2994"/>
      <c r="K1449" s="2996">
        <f t="shared" si="234"/>
        <v>1</v>
      </c>
      <c r="L1449" s="2994"/>
      <c r="M1449" s="2996">
        <f t="shared" si="235"/>
        <v>1</v>
      </c>
      <c r="N1449" s="2994"/>
      <c r="O1449" s="2996">
        <f t="shared" si="236"/>
        <v>1</v>
      </c>
      <c r="P1449" s="2994"/>
      <c r="Q1449" s="2996">
        <f t="shared" si="237"/>
        <v>1</v>
      </c>
      <c r="R1449" s="2997">
        <f t="shared" ca="1" si="238"/>
        <v>17260</v>
      </c>
      <c r="S1449" s="2962">
        <f t="shared" ca="1" si="239"/>
        <v>105</v>
      </c>
    </row>
    <row r="1450" spans="1:19">
      <c r="A1450" s="2992" t="str">
        <f>Sheet1!F1431</f>
        <v>4-1605</v>
      </c>
      <c r="B1450" s="2992">
        <f>Sheet1!G1431</f>
        <v>60.69</v>
      </c>
      <c r="C1450" s="2996">
        <f t="shared" si="230"/>
        <v>1</v>
      </c>
      <c r="D1450" s="2994"/>
      <c r="E1450" s="2996">
        <f t="shared" si="231"/>
        <v>1</v>
      </c>
      <c r="F1450" s="2994"/>
      <c r="G1450" s="2996">
        <f t="shared" si="232"/>
        <v>1</v>
      </c>
      <c r="H1450" s="2994"/>
      <c r="I1450" s="2996">
        <f t="shared" si="233"/>
        <v>1</v>
      </c>
      <c r="J1450" s="2994"/>
      <c r="K1450" s="2996">
        <f t="shared" si="234"/>
        <v>1</v>
      </c>
      <c r="L1450" s="2994"/>
      <c r="M1450" s="2996">
        <f t="shared" si="235"/>
        <v>1</v>
      </c>
      <c r="N1450" s="2994"/>
      <c r="O1450" s="2996">
        <f t="shared" si="236"/>
        <v>1</v>
      </c>
      <c r="P1450" s="2994"/>
      <c r="Q1450" s="2996">
        <f t="shared" si="237"/>
        <v>1</v>
      </c>
      <c r="R1450" s="2997">
        <f t="shared" ca="1" si="238"/>
        <v>17260</v>
      </c>
      <c r="S1450" s="2962">
        <f t="shared" ca="1" si="239"/>
        <v>105</v>
      </c>
    </row>
    <row r="1451" spans="1:19">
      <c r="A1451" s="2992" t="str">
        <f>Sheet1!F1432</f>
        <v>4-1606</v>
      </c>
      <c r="B1451" s="2992">
        <f>Sheet1!G1432</f>
        <v>60.69</v>
      </c>
      <c r="C1451" s="2996">
        <f t="shared" si="230"/>
        <v>1</v>
      </c>
      <c r="D1451" s="2994"/>
      <c r="E1451" s="2996">
        <f t="shared" si="231"/>
        <v>1</v>
      </c>
      <c r="F1451" s="2994"/>
      <c r="G1451" s="2996">
        <f t="shared" si="232"/>
        <v>1</v>
      </c>
      <c r="H1451" s="2994"/>
      <c r="I1451" s="2996">
        <f t="shared" si="233"/>
        <v>1</v>
      </c>
      <c r="J1451" s="2994"/>
      <c r="K1451" s="2996">
        <f t="shared" si="234"/>
        <v>1</v>
      </c>
      <c r="L1451" s="2994"/>
      <c r="M1451" s="2996">
        <f t="shared" si="235"/>
        <v>1</v>
      </c>
      <c r="N1451" s="2994"/>
      <c r="O1451" s="2996">
        <f t="shared" si="236"/>
        <v>1</v>
      </c>
      <c r="P1451" s="2994"/>
      <c r="Q1451" s="2996">
        <f t="shared" si="237"/>
        <v>1</v>
      </c>
      <c r="R1451" s="2997">
        <f t="shared" ca="1" si="238"/>
        <v>17260</v>
      </c>
      <c r="S1451" s="2962">
        <f t="shared" ca="1" si="239"/>
        <v>105</v>
      </c>
    </row>
    <row r="1452" spans="1:19">
      <c r="A1452" s="2992" t="str">
        <f>Sheet1!F1433</f>
        <v>4-1607</v>
      </c>
      <c r="B1452" s="2992">
        <f>Sheet1!G1433</f>
        <v>60.69</v>
      </c>
      <c r="C1452" s="2996">
        <f t="shared" si="230"/>
        <v>1</v>
      </c>
      <c r="D1452" s="2994"/>
      <c r="E1452" s="2996">
        <f t="shared" si="231"/>
        <v>1</v>
      </c>
      <c r="F1452" s="2994"/>
      <c r="G1452" s="2996">
        <f t="shared" si="232"/>
        <v>1</v>
      </c>
      <c r="H1452" s="2994"/>
      <c r="I1452" s="2996">
        <f t="shared" si="233"/>
        <v>1</v>
      </c>
      <c r="J1452" s="2994"/>
      <c r="K1452" s="2996">
        <f t="shared" si="234"/>
        <v>1</v>
      </c>
      <c r="L1452" s="2994"/>
      <c r="M1452" s="2996">
        <f t="shared" si="235"/>
        <v>1</v>
      </c>
      <c r="N1452" s="2994"/>
      <c r="O1452" s="2996">
        <f t="shared" si="236"/>
        <v>1</v>
      </c>
      <c r="P1452" s="2994"/>
      <c r="Q1452" s="2996">
        <f t="shared" si="237"/>
        <v>1</v>
      </c>
      <c r="R1452" s="2997">
        <f t="shared" ca="1" si="238"/>
        <v>17260</v>
      </c>
      <c r="S1452" s="2962">
        <f t="shared" ca="1" si="239"/>
        <v>105</v>
      </c>
    </row>
    <row r="1453" spans="1:19">
      <c r="A1453" s="2992" t="str">
        <f>Sheet1!F1434</f>
        <v>4-1608</v>
      </c>
      <c r="B1453" s="2992">
        <f>Sheet1!G1434</f>
        <v>60.69</v>
      </c>
      <c r="C1453" s="2996">
        <f t="shared" si="230"/>
        <v>1</v>
      </c>
      <c r="D1453" s="2994"/>
      <c r="E1453" s="2996">
        <f t="shared" si="231"/>
        <v>1</v>
      </c>
      <c r="F1453" s="2994"/>
      <c r="G1453" s="2996">
        <f t="shared" si="232"/>
        <v>1</v>
      </c>
      <c r="H1453" s="2994"/>
      <c r="I1453" s="2996">
        <f t="shared" si="233"/>
        <v>1</v>
      </c>
      <c r="J1453" s="2994"/>
      <c r="K1453" s="2996">
        <f t="shared" si="234"/>
        <v>1</v>
      </c>
      <c r="L1453" s="2994"/>
      <c r="M1453" s="2996">
        <f t="shared" si="235"/>
        <v>1</v>
      </c>
      <c r="N1453" s="2994"/>
      <c r="O1453" s="2996">
        <f t="shared" si="236"/>
        <v>1</v>
      </c>
      <c r="P1453" s="2994"/>
      <c r="Q1453" s="2996">
        <f t="shared" si="237"/>
        <v>1</v>
      </c>
      <c r="R1453" s="2997">
        <f t="shared" ca="1" si="238"/>
        <v>17260</v>
      </c>
      <c r="S1453" s="2962">
        <f t="shared" ca="1" si="239"/>
        <v>105</v>
      </c>
    </row>
    <row r="1454" spans="1:19">
      <c r="A1454" s="2992" t="str">
        <f>Sheet1!F1435</f>
        <v>4-1609</v>
      </c>
      <c r="B1454" s="2992">
        <f>Sheet1!G1435</f>
        <v>60.69</v>
      </c>
      <c r="C1454" s="2996">
        <f t="shared" si="230"/>
        <v>1</v>
      </c>
      <c r="D1454" s="2994"/>
      <c r="E1454" s="2996">
        <f t="shared" si="231"/>
        <v>1</v>
      </c>
      <c r="F1454" s="2994"/>
      <c r="G1454" s="2996">
        <f t="shared" si="232"/>
        <v>1</v>
      </c>
      <c r="H1454" s="2994"/>
      <c r="I1454" s="2996">
        <f t="shared" si="233"/>
        <v>1</v>
      </c>
      <c r="J1454" s="2994"/>
      <c r="K1454" s="2996">
        <f t="shared" si="234"/>
        <v>1</v>
      </c>
      <c r="L1454" s="2994"/>
      <c r="M1454" s="2996">
        <f t="shared" si="235"/>
        <v>1</v>
      </c>
      <c r="N1454" s="2994"/>
      <c r="O1454" s="2996">
        <f t="shared" si="236"/>
        <v>1</v>
      </c>
      <c r="P1454" s="2994"/>
      <c r="Q1454" s="2996">
        <f t="shared" si="237"/>
        <v>1</v>
      </c>
      <c r="R1454" s="2997">
        <f t="shared" ca="1" si="238"/>
        <v>17260</v>
      </c>
      <c r="S1454" s="2962">
        <f t="shared" ca="1" si="239"/>
        <v>105</v>
      </c>
    </row>
    <row r="1455" spans="1:19">
      <c r="A1455" s="2992" t="str">
        <f>Sheet1!F1436</f>
        <v>4-1610</v>
      </c>
      <c r="B1455" s="2992">
        <f>Sheet1!G1436</f>
        <v>60.69</v>
      </c>
      <c r="C1455" s="2996">
        <f t="shared" si="230"/>
        <v>1</v>
      </c>
      <c r="D1455" s="2994"/>
      <c r="E1455" s="2996">
        <f t="shared" si="231"/>
        <v>1</v>
      </c>
      <c r="F1455" s="2994"/>
      <c r="G1455" s="2996">
        <f t="shared" si="232"/>
        <v>1</v>
      </c>
      <c r="H1455" s="2994"/>
      <c r="I1455" s="2996">
        <f t="shared" si="233"/>
        <v>1</v>
      </c>
      <c r="J1455" s="2994"/>
      <c r="K1455" s="2996">
        <f t="shared" si="234"/>
        <v>1</v>
      </c>
      <c r="L1455" s="2994"/>
      <c r="M1455" s="2996">
        <f t="shared" si="235"/>
        <v>1</v>
      </c>
      <c r="N1455" s="2994"/>
      <c r="O1455" s="2996">
        <f t="shared" si="236"/>
        <v>1</v>
      </c>
      <c r="P1455" s="2994"/>
      <c r="Q1455" s="2996">
        <f t="shared" si="237"/>
        <v>1</v>
      </c>
      <c r="R1455" s="2997">
        <f t="shared" ca="1" si="238"/>
        <v>17260</v>
      </c>
      <c r="S1455" s="2962">
        <f t="shared" ca="1" si="239"/>
        <v>105</v>
      </c>
    </row>
    <row r="1456" spans="1:19">
      <c r="A1456" s="2992" t="str">
        <f>Sheet1!F1437</f>
        <v>4-1611</v>
      </c>
      <c r="B1456" s="2992">
        <f>Sheet1!G1437</f>
        <v>60.69</v>
      </c>
      <c r="C1456" s="2996">
        <f t="shared" si="230"/>
        <v>1</v>
      </c>
      <c r="D1456" s="2994"/>
      <c r="E1456" s="2996">
        <f t="shared" si="231"/>
        <v>1</v>
      </c>
      <c r="F1456" s="2994"/>
      <c r="G1456" s="2996">
        <f t="shared" si="232"/>
        <v>1</v>
      </c>
      <c r="H1456" s="2994"/>
      <c r="I1456" s="2996">
        <f t="shared" si="233"/>
        <v>1</v>
      </c>
      <c r="J1456" s="2994"/>
      <c r="K1456" s="2996">
        <f t="shared" si="234"/>
        <v>1</v>
      </c>
      <c r="L1456" s="2994"/>
      <c r="M1456" s="2996">
        <f t="shared" si="235"/>
        <v>1</v>
      </c>
      <c r="N1456" s="2994"/>
      <c r="O1456" s="2996">
        <f t="shared" si="236"/>
        <v>1</v>
      </c>
      <c r="P1456" s="2994"/>
      <c r="Q1456" s="2996">
        <f t="shared" si="237"/>
        <v>1</v>
      </c>
      <c r="R1456" s="2997">
        <f t="shared" ca="1" si="238"/>
        <v>17260</v>
      </c>
      <c r="S1456" s="2962">
        <f t="shared" ca="1" si="239"/>
        <v>105</v>
      </c>
    </row>
    <row r="1457" spans="1:19">
      <c r="A1457" s="2992" t="str">
        <f>Sheet1!F1438</f>
        <v>4-1612</v>
      </c>
      <c r="B1457" s="2992">
        <f>Sheet1!G1438</f>
        <v>54.3</v>
      </c>
      <c r="C1457" s="2996">
        <f t="shared" si="230"/>
        <v>1</v>
      </c>
      <c r="D1457" s="2994"/>
      <c r="E1457" s="2996">
        <f t="shared" si="231"/>
        <v>1</v>
      </c>
      <c r="F1457" s="2994"/>
      <c r="G1457" s="2996">
        <f t="shared" si="232"/>
        <v>1</v>
      </c>
      <c r="H1457" s="2994"/>
      <c r="I1457" s="2996">
        <f t="shared" si="233"/>
        <v>1</v>
      </c>
      <c r="J1457" s="2994"/>
      <c r="K1457" s="2996">
        <f t="shared" si="234"/>
        <v>1</v>
      </c>
      <c r="L1457" s="2994"/>
      <c r="M1457" s="2996">
        <f t="shared" si="235"/>
        <v>1</v>
      </c>
      <c r="N1457" s="2994"/>
      <c r="O1457" s="2996">
        <f t="shared" si="236"/>
        <v>1</v>
      </c>
      <c r="P1457" s="2994"/>
      <c r="Q1457" s="2996">
        <f t="shared" si="237"/>
        <v>1</v>
      </c>
      <c r="R1457" s="2997">
        <f t="shared" ca="1" si="238"/>
        <v>17260</v>
      </c>
      <c r="S1457" s="2962">
        <f t="shared" ca="1" si="239"/>
        <v>94</v>
      </c>
    </row>
    <row r="1458" spans="1:19">
      <c r="A1458" s="2992" t="str">
        <f>Sheet1!F1439</f>
        <v>4-1613</v>
      </c>
      <c r="B1458" s="2992">
        <f>Sheet1!G1439</f>
        <v>60.68</v>
      </c>
      <c r="C1458" s="2996">
        <f t="shared" si="230"/>
        <v>1</v>
      </c>
      <c r="D1458" s="2994"/>
      <c r="E1458" s="2996">
        <f t="shared" si="231"/>
        <v>1</v>
      </c>
      <c r="F1458" s="2994"/>
      <c r="G1458" s="2996">
        <f t="shared" si="232"/>
        <v>1</v>
      </c>
      <c r="H1458" s="2994"/>
      <c r="I1458" s="2996">
        <f t="shared" si="233"/>
        <v>1</v>
      </c>
      <c r="J1458" s="2994"/>
      <c r="K1458" s="2996">
        <f t="shared" si="234"/>
        <v>1</v>
      </c>
      <c r="L1458" s="2994"/>
      <c r="M1458" s="2996">
        <f t="shared" si="235"/>
        <v>1</v>
      </c>
      <c r="N1458" s="2994"/>
      <c r="O1458" s="2996">
        <f t="shared" si="236"/>
        <v>1</v>
      </c>
      <c r="P1458" s="2994"/>
      <c r="Q1458" s="2996">
        <f t="shared" si="237"/>
        <v>1</v>
      </c>
      <c r="R1458" s="2997">
        <f t="shared" ca="1" si="238"/>
        <v>17260</v>
      </c>
      <c r="S1458" s="2962">
        <f t="shared" ca="1" si="239"/>
        <v>105</v>
      </c>
    </row>
    <row r="1459" spans="1:19">
      <c r="A1459" s="2992" t="str">
        <f>Sheet1!F1440</f>
        <v>4-1614</v>
      </c>
      <c r="B1459" s="2992">
        <f>Sheet1!G1440</f>
        <v>80.459999999999994</v>
      </c>
      <c r="C1459" s="2996">
        <f t="shared" si="230"/>
        <v>1</v>
      </c>
      <c r="D1459" s="2994"/>
      <c r="E1459" s="2996">
        <f t="shared" si="231"/>
        <v>1</v>
      </c>
      <c r="F1459" s="2994"/>
      <c r="G1459" s="2996">
        <f t="shared" si="232"/>
        <v>1</v>
      </c>
      <c r="H1459" s="2994"/>
      <c r="I1459" s="2996">
        <f t="shared" si="233"/>
        <v>1</v>
      </c>
      <c r="J1459" s="2994"/>
      <c r="K1459" s="2996">
        <f t="shared" si="234"/>
        <v>1</v>
      </c>
      <c r="L1459" s="2994"/>
      <c r="M1459" s="2996">
        <f t="shared" si="235"/>
        <v>1</v>
      </c>
      <c r="N1459" s="2994"/>
      <c r="O1459" s="2996">
        <f t="shared" si="236"/>
        <v>1</v>
      </c>
      <c r="P1459" s="2994"/>
      <c r="Q1459" s="2996">
        <f t="shared" si="237"/>
        <v>1</v>
      </c>
      <c r="R1459" s="2997">
        <f t="shared" ca="1" si="238"/>
        <v>17260</v>
      </c>
      <c r="S1459" s="2962">
        <f t="shared" ca="1" si="239"/>
        <v>139</v>
      </c>
    </row>
    <row r="1460" spans="1:19">
      <c r="A1460" s="2992" t="str">
        <f>Sheet1!F1441</f>
        <v>4-1615</v>
      </c>
      <c r="B1460" s="2992">
        <f>Sheet1!G1441</f>
        <v>80.45</v>
      </c>
      <c r="C1460" s="2996">
        <f t="shared" si="230"/>
        <v>1</v>
      </c>
      <c r="D1460" s="2994"/>
      <c r="E1460" s="2996">
        <f t="shared" si="231"/>
        <v>1</v>
      </c>
      <c r="F1460" s="2994"/>
      <c r="G1460" s="2996">
        <f t="shared" si="232"/>
        <v>1</v>
      </c>
      <c r="H1460" s="2994"/>
      <c r="I1460" s="2996">
        <f t="shared" si="233"/>
        <v>1</v>
      </c>
      <c r="J1460" s="2994"/>
      <c r="K1460" s="2996">
        <f t="shared" si="234"/>
        <v>1</v>
      </c>
      <c r="L1460" s="2994"/>
      <c r="M1460" s="2996">
        <f t="shared" si="235"/>
        <v>1</v>
      </c>
      <c r="N1460" s="2994"/>
      <c r="O1460" s="2996">
        <f t="shared" si="236"/>
        <v>1</v>
      </c>
      <c r="P1460" s="2994"/>
      <c r="Q1460" s="2996">
        <f t="shared" si="237"/>
        <v>1</v>
      </c>
      <c r="R1460" s="2997">
        <f t="shared" ca="1" si="238"/>
        <v>17260</v>
      </c>
      <c r="S1460" s="2962">
        <f t="shared" ca="1" si="239"/>
        <v>139</v>
      </c>
    </row>
    <row r="1461" spans="1:19">
      <c r="A1461" s="2992" t="str">
        <f>Sheet1!F1442</f>
        <v>4-1616</v>
      </c>
      <c r="B1461" s="2992">
        <f>Sheet1!G1442</f>
        <v>60.69</v>
      </c>
      <c r="C1461" s="2996">
        <f t="shared" si="230"/>
        <v>1</v>
      </c>
      <c r="D1461" s="2994"/>
      <c r="E1461" s="2996">
        <f t="shared" si="231"/>
        <v>1</v>
      </c>
      <c r="F1461" s="2994"/>
      <c r="G1461" s="2996">
        <f t="shared" si="232"/>
        <v>1</v>
      </c>
      <c r="H1461" s="2994"/>
      <c r="I1461" s="2996">
        <f t="shared" si="233"/>
        <v>1</v>
      </c>
      <c r="J1461" s="2994"/>
      <c r="K1461" s="2996">
        <f t="shared" si="234"/>
        <v>1</v>
      </c>
      <c r="L1461" s="2994"/>
      <c r="M1461" s="2996">
        <f t="shared" si="235"/>
        <v>1</v>
      </c>
      <c r="N1461" s="2994"/>
      <c r="O1461" s="2996">
        <f t="shared" si="236"/>
        <v>1</v>
      </c>
      <c r="P1461" s="2994"/>
      <c r="Q1461" s="2996">
        <f t="shared" si="237"/>
        <v>1</v>
      </c>
      <c r="R1461" s="2997">
        <f t="shared" ca="1" si="238"/>
        <v>17260</v>
      </c>
      <c r="S1461" s="2962">
        <f t="shared" ca="1" si="239"/>
        <v>105</v>
      </c>
    </row>
    <row r="1462" spans="1:19">
      <c r="A1462" s="2992" t="str">
        <f>Sheet1!F1443</f>
        <v>4-1617</v>
      </c>
      <c r="B1462" s="2992">
        <f>Sheet1!G1443</f>
        <v>60.69</v>
      </c>
      <c r="C1462" s="2996">
        <f t="shared" si="230"/>
        <v>1</v>
      </c>
      <c r="D1462" s="2994"/>
      <c r="E1462" s="2996">
        <f t="shared" si="231"/>
        <v>1</v>
      </c>
      <c r="F1462" s="2994"/>
      <c r="G1462" s="2996">
        <f t="shared" si="232"/>
        <v>1</v>
      </c>
      <c r="H1462" s="2994"/>
      <c r="I1462" s="2996">
        <f t="shared" si="233"/>
        <v>1</v>
      </c>
      <c r="J1462" s="2994"/>
      <c r="K1462" s="2996">
        <f t="shared" si="234"/>
        <v>1</v>
      </c>
      <c r="L1462" s="2994"/>
      <c r="M1462" s="2996">
        <f t="shared" si="235"/>
        <v>1</v>
      </c>
      <c r="N1462" s="2994"/>
      <c r="O1462" s="2996">
        <f t="shared" si="236"/>
        <v>1</v>
      </c>
      <c r="P1462" s="2994"/>
      <c r="Q1462" s="2996">
        <f t="shared" si="237"/>
        <v>1</v>
      </c>
      <c r="R1462" s="2997">
        <f t="shared" ca="1" si="238"/>
        <v>17260</v>
      </c>
      <c r="S1462" s="2962">
        <f t="shared" ca="1" si="239"/>
        <v>105</v>
      </c>
    </row>
    <row r="1463" spans="1:19">
      <c r="A1463" s="2992" t="str">
        <f>Sheet1!F1444</f>
        <v>4-1618</v>
      </c>
      <c r="B1463" s="2992">
        <f>Sheet1!G1444</f>
        <v>60.68</v>
      </c>
      <c r="C1463" s="2996">
        <f t="shared" si="230"/>
        <v>1</v>
      </c>
      <c r="D1463" s="2994"/>
      <c r="E1463" s="2996">
        <f t="shared" si="231"/>
        <v>1</v>
      </c>
      <c r="F1463" s="2994"/>
      <c r="G1463" s="2996">
        <f t="shared" si="232"/>
        <v>1</v>
      </c>
      <c r="H1463" s="2994"/>
      <c r="I1463" s="2996">
        <f t="shared" si="233"/>
        <v>1</v>
      </c>
      <c r="J1463" s="2994"/>
      <c r="K1463" s="2996">
        <f t="shared" si="234"/>
        <v>1</v>
      </c>
      <c r="L1463" s="2994"/>
      <c r="M1463" s="2996">
        <f t="shared" si="235"/>
        <v>1</v>
      </c>
      <c r="N1463" s="2994"/>
      <c r="O1463" s="2996">
        <f t="shared" si="236"/>
        <v>1</v>
      </c>
      <c r="P1463" s="2994"/>
      <c r="Q1463" s="2996">
        <f t="shared" si="237"/>
        <v>1</v>
      </c>
      <c r="R1463" s="2997">
        <f t="shared" ca="1" si="238"/>
        <v>17260</v>
      </c>
      <c r="S1463" s="2962">
        <f t="shared" ca="1" si="239"/>
        <v>105</v>
      </c>
    </row>
    <row r="1464" spans="1:19">
      <c r="A1464" s="2992" t="str">
        <f>Sheet1!F1445</f>
        <v>4-1619</v>
      </c>
      <c r="B1464" s="2992">
        <f>Sheet1!G1445</f>
        <v>60.69</v>
      </c>
      <c r="C1464" s="2996">
        <f t="shared" si="230"/>
        <v>1</v>
      </c>
      <c r="D1464" s="2994"/>
      <c r="E1464" s="2996">
        <f t="shared" si="231"/>
        <v>1</v>
      </c>
      <c r="F1464" s="2994"/>
      <c r="G1464" s="2996">
        <f t="shared" si="232"/>
        <v>1</v>
      </c>
      <c r="H1464" s="2994"/>
      <c r="I1464" s="2996">
        <f t="shared" si="233"/>
        <v>1</v>
      </c>
      <c r="J1464" s="2994"/>
      <c r="K1464" s="2996">
        <f t="shared" si="234"/>
        <v>1</v>
      </c>
      <c r="L1464" s="2994"/>
      <c r="M1464" s="2996">
        <f t="shared" si="235"/>
        <v>1</v>
      </c>
      <c r="N1464" s="2994"/>
      <c r="O1464" s="2996">
        <f t="shared" si="236"/>
        <v>1</v>
      </c>
      <c r="P1464" s="2994"/>
      <c r="Q1464" s="2996">
        <f t="shared" si="237"/>
        <v>1</v>
      </c>
      <c r="R1464" s="2997">
        <f t="shared" ca="1" si="238"/>
        <v>17260</v>
      </c>
      <c r="S1464" s="2962">
        <f t="shared" ca="1" si="239"/>
        <v>105</v>
      </c>
    </row>
    <row r="1465" spans="1:19">
      <c r="A1465" s="2992" t="str">
        <f>Sheet1!F1446</f>
        <v>4-1620</v>
      </c>
      <c r="B1465" s="2992">
        <f>Sheet1!G1446</f>
        <v>60.69</v>
      </c>
      <c r="C1465" s="2996">
        <f t="shared" si="230"/>
        <v>1</v>
      </c>
      <c r="D1465" s="2994"/>
      <c r="E1465" s="2996">
        <f t="shared" si="231"/>
        <v>1</v>
      </c>
      <c r="F1465" s="2994"/>
      <c r="G1465" s="2996">
        <f t="shared" si="232"/>
        <v>1</v>
      </c>
      <c r="H1465" s="2994"/>
      <c r="I1465" s="2996">
        <f t="shared" si="233"/>
        <v>1</v>
      </c>
      <c r="J1465" s="2994"/>
      <c r="K1465" s="2996">
        <f t="shared" si="234"/>
        <v>1</v>
      </c>
      <c r="L1465" s="2994"/>
      <c r="M1465" s="2996">
        <f t="shared" si="235"/>
        <v>1</v>
      </c>
      <c r="N1465" s="2994"/>
      <c r="O1465" s="2996">
        <f t="shared" si="236"/>
        <v>1</v>
      </c>
      <c r="P1465" s="2994"/>
      <c r="Q1465" s="2996">
        <f t="shared" si="237"/>
        <v>1</v>
      </c>
      <c r="R1465" s="2997">
        <f t="shared" ca="1" si="238"/>
        <v>17260</v>
      </c>
      <c r="S1465" s="2962">
        <f t="shared" ca="1" si="239"/>
        <v>105</v>
      </c>
    </row>
    <row r="1466" spans="1:19">
      <c r="A1466" s="2992" t="str">
        <f>Sheet1!F1447</f>
        <v>4-1621</v>
      </c>
      <c r="B1466" s="2992">
        <f>Sheet1!G1447</f>
        <v>60.69</v>
      </c>
      <c r="C1466" s="2996">
        <f t="shared" si="230"/>
        <v>1</v>
      </c>
      <c r="D1466" s="2994"/>
      <c r="E1466" s="2996">
        <f t="shared" si="231"/>
        <v>1</v>
      </c>
      <c r="F1466" s="2994"/>
      <c r="G1466" s="2996">
        <f t="shared" si="232"/>
        <v>1</v>
      </c>
      <c r="H1466" s="2994"/>
      <c r="I1466" s="2996">
        <f t="shared" si="233"/>
        <v>1</v>
      </c>
      <c r="J1466" s="2994"/>
      <c r="K1466" s="2996">
        <f t="shared" si="234"/>
        <v>1</v>
      </c>
      <c r="L1466" s="2994"/>
      <c r="M1466" s="2996">
        <f t="shared" si="235"/>
        <v>1</v>
      </c>
      <c r="N1466" s="2994"/>
      <c r="O1466" s="2996">
        <f t="shared" si="236"/>
        <v>1</v>
      </c>
      <c r="P1466" s="2994"/>
      <c r="Q1466" s="2996">
        <f t="shared" si="237"/>
        <v>1</v>
      </c>
      <c r="R1466" s="2997">
        <f t="shared" ca="1" si="238"/>
        <v>17260</v>
      </c>
      <c r="S1466" s="2962">
        <f t="shared" ca="1" si="239"/>
        <v>105</v>
      </c>
    </row>
    <row r="1467" spans="1:19">
      <c r="A1467" s="2992" t="str">
        <f>Sheet1!F1448</f>
        <v>4-1622</v>
      </c>
      <c r="B1467" s="2992">
        <f>Sheet1!G1448</f>
        <v>60.69</v>
      </c>
      <c r="C1467" s="2996">
        <f t="shared" si="230"/>
        <v>1</v>
      </c>
      <c r="D1467" s="2994"/>
      <c r="E1467" s="2996">
        <f t="shared" si="231"/>
        <v>1</v>
      </c>
      <c r="F1467" s="2994"/>
      <c r="G1467" s="2996">
        <f t="shared" si="232"/>
        <v>1</v>
      </c>
      <c r="H1467" s="2994"/>
      <c r="I1467" s="2996">
        <f t="shared" si="233"/>
        <v>1</v>
      </c>
      <c r="J1467" s="2994"/>
      <c r="K1467" s="2996">
        <f t="shared" si="234"/>
        <v>1</v>
      </c>
      <c r="L1467" s="2994"/>
      <c r="M1467" s="2996">
        <f t="shared" si="235"/>
        <v>1</v>
      </c>
      <c r="N1467" s="2994"/>
      <c r="O1467" s="2996">
        <f t="shared" si="236"/>
        <v>1</v>
      </c>
      <c r="P1467" s="2994"/>
      <c r="Q1467" s="2996">
        <f t="shared" si="237"/>
        <v>1</v>
      </c>
      <c r="R1467" s="2997">
        <f t="shared" ca="1" si="238"/>
        <v>17260</v>
      </c>
      <c r="S1467" s="2962">
        <f t="shared" ca="1" si="239"/>
        <v>105</v>
      </c>
    </row>
    <row r="1468" spans="1:19">
      <c r="A1468" s="2992" t="str">
        <f>Sheet1!F1449</f>
        <v>4-1623</v>
      </c>
      <c r="B1468" s="2992">
        <f>Sheet1!G1449</f>
        <v>60.69</v>
      </c>
      <c r="C1468" s="2996">
        <f t="shared" si="230"/>
        <v>1</v>
      </c>
      <c r="D1468" s="2994"/>
      <c r="E1468" s="2996">
        <f t="shared" si="231"/>
        <v>1</v>
      </c>
      <c r="F1468" s="2994"/>
      <c r="G1468" s="2996">
        <f t="shared" si="232"/>
        <v>1</v>
      </c>
      <c r="H1468" s="2994"/>
      <c r="I1468" s="2996">
        <f t="shared" si="233"/>
        <v>1</v>
      </c>
      <c r="J1468" s="2994"/>
      <c r="K1468" s="2996">
        <f t="shared" si="234"/>
        <v>1</v>
      </c>
      <c r="L1468" s="2994"/>
      <c r="M1468" s="2996">
        <f t="shared" si="235"/>
        <v>1</v>
      </c>
      <c r="N1468" s="2994"/>
      <c r="O1468" s="2996">
        <f t="shared" si="236"/>
        <v>1</v>
      </c>
      <c r="P1468" s="2994"/>
      <c r="Q1468" s="2996">
        <f t="shared" si="237"/>
        <v>1</v>
      </c>
      <c r="R1468" s="2997">
        <f t="shared" ca="1" si="238"/>
        <v>17260</v>
      </c>
      <c r="S1468" s="2962">
        <f t="shared" ca="1" si="239"/>
        <v>105</v>
      </c>
    </row>
    <row r="1469" spans="1:19">
      <c r="A1469" s="2992" t="str">
        <f>Sheet1!F1450</f>
        <v>4-1624</v>
      </c>
      <c r="B1469" s="2992">
        <f>Sheet1!G1450</f>
        <v>60.69</v>
      </c>
      <c r="C1469" s="2996">
        <f t="shared" si="230"/>
        <v>1</v>
      </c>
      <c r="D1469" s="2994"/>
      <c r="E1469" s="2996">
        <f t="shared" si="231"/>
        <v>1</v>
      </c>
      <c r="F1469" s="2994"/>
      <c r="G1469" s="2996">
        <f t="shared" si="232"/>
        <v>1</v>
      </c>
      <c r="H1469" s="2994"/>
      <c r="I1469" s="2996">
        <f t="shared" si="233"/>
        <v>1</v>
      </c>
      <c r="J1469" s="2994"/>
      <c r="K1469" s="2996">
        <f t="shared" si="234"/>
        <v>1</v>
      </c>
      <c r="L1469" s="2994"/>
      <c r="M1469" s="2996">
        <f t="shared" si="235"/>
        <v>1</v>
      </c>
      <c r="N1469" s="2994"/>
      <c r="O1469" s="2996">
        <f t="shared" si="236"/>
        <v>1</v>
      </c>
      <c r="P1469" s="2994"/>
      <c r="Q1469" s="2996">
        <f t="shared" si="237"/>
        <v>1</v>
      </c>
      <c r="R1469" s="2997">
        <f t="shared" ca="1" si="238"/>
        <v>17260</v>
      </c>
      <c r="S1469" s="2962">
        <f t="shared" ca="1" si="239"/>
        <v>105</v>
      </c>
    </row>
    <row r="1470" spans="1:19">
      <c r="A1470" s="2992" t="str">
        <f>Sheet1!F1451</f>
        <v>4-1625</v>
      </c>
      <c r="B1470" s="2992">
        <f>Sheet1!G1451</f>
        <v>60.69</v>
      </c>
      <c r="C1470" s="2996">
        <f t="shared" si="230"/>
        <v>1</v>
      </c>
      <c r="D1470" s="2994"/>
      <c r="E1470" s="2996">
        <f t="shared" si="231"/>
        <v>1</v>
      </c>
      <c r="F1470" s="2994"/>
      <c r="G1470" s="2996">
        <f t="shared" si="232"/>
        <v>1</v>
      </c>
      <c r="H1470" s="2994"/>
      <c r="I1470" s="2996">
        <f t="shared" si="233"/>
        <v>1</v>
      </c>
      <c r="J1470" s="2994"/>
      <c r="K1470" s="2996">
        <f t="shared" si="234"/>
        <v>1</v>
      </c>
      <c r="L1470" s="2994"/>
      <c r="M1470" s="2996">
        <f t="shared" si="235"/>
        <v>1</v>
      </c>
      <c r="N1470" s="2994"/>
      <c r="O1470" s="2996">
        <f t="shared" si="236"/>
        <v>1</v>
      </c>
      <c r="P1470" s="2994"/>
      <c r="Q1470" s="2996">
        <f t="shared" si="237"/>
        <v>1</v>
      </c>
      <c r="R1470" s="2997">
        <f t="shared" ca="1" si="238"/>
        <v>17260</v>
      </c>
      <c r="S1470" s="2962">
        <f t="shared" ca="1" si="239"/>
        <v>105</v>
      </c>
    </row>
    <row r="1471" spans="1:19">
      <c r="A1471" s="2992" t="str">
        <f>Sheet1!F1452</f>
        <v>4-1626</v>
      </c>
      <c r="B1471" s="2992">
        <f>Sheet1!G1452</f>
        <v>60.69</v>
      </c>
      <c r="C1471" s="2996">
        <f t="shared" si="230"/>
        <v>1</v>
      </c>
      <c r="D1471" s="2994"/>
      <c r="E1471" s="2996">
        <f t="shared" si="231"/>
        <v>1</v>
      </c>
      <c r="F1471" s="2994"/>
      <c r="G1471" s="2996">
        <f t="shared" si="232"/>
        <v>1</v>
      </c>
      <c r="H1471" s="2994"/>
      <c r="I1471" s="2996">
        <f t="shared" si="233"/>
        <v>1</v>
      </c>
      <c r="J1471" s="2994"/>
      <c r="K1471" s="2996">
        <f t="shared" si="234"/>
        <v>1</v>
      </c>
      <c r="L1471" s="2994"/>
      <c r="M1471" s="2996">
        <f t="shared" si="235"/>
        <v>1</v>
      </c>
      <c r="N1471" s="2994"/>
      <c r="O1471" s="2996">
        <f t="shared" si="236"/>
        <v>1</v>
      </c>
      <c r="P1471" s="2994"/>
      <c r="Q1471" s="2996">
        <f t="shared" si="237"/>
        <v>1</v>
      </c>
      <c r="R1471" s="2997">
        <f t="shared" ca="1" si="238"/>
        <v>17260</v>
      </c>
      <c r="S1471" s="2962">
        <f t="shared" ca="1" si="239"/>
        <v>105</v>
      </c>
    </row>
    <row r="1472" spans="1:19">
      <c r="A1472" s="2992" t="str">
        <f>Sheet1!F1453</f>
        <v>4-1627</v>
      </c>
      <c r="B1472" s="2992">
        <f>Sheet1!G1453</f>
        <v>104.53</v>
      </c>
      <c r="C1472" s="2996">
        <f t="shared" si="230"/>
        <v>0.99</v>
      </c>
      <c r="D1472" s="2994"/>
      <c r="E1472" s="2996">
        <f t="shared" si="231"/>
        <v>1</v>
      </c>
      <c r="F1472" s="2994"/>
      <c r="G1472" s="2996">
        <f t="shared" si="232"/>
        <v>1</v>
      </c>
      <c r="H1472" s="2994"/>
      <c r="I1472" s="2996">
        <f t="shared" si="233"/>
        <v>1</v>
      </c>
      <c r="J1472" s="2994"/>
      <c r="K1472" s="2996">
        <f t="shared" si="234"/>
        <v>1</v>
      </c>
      <c r="L1472" s="2994"/>
      <c r="M1472" s="2996">
        <f t="shared" si="235"/>
        <v>1</v>
      </c>
      <c r="N1472" s="2994"/>
      <c r="O1472" s="2996">
        <f t="shared" si="236"/>
        <v>1</v>
      </c>
      <c r="P1472" s="2994"/>
      <c r="Q1472" s="2996">
        <f t="shared" si="237"/>
        <v>1</v>
      </c>
      <c r="R1472" s="2997">
        <f t="shared" ca="1" si="238"/>
        <v>17087</v>
      </c>
      <c r="S1472" s="2962">
        <f t="shared" ca="1" si="239"/>
        <v>179</v>
      </c>
    </row>
    <row r="1473" spans="1:19">
      <c r="A1473" s="2992" t="str">
        <f>Sheet1!F1454</f>
        <v>4-1628</v>
      </c>
      <c r="B1473" s="2992">
        <f>Sheet1!G1454</f>
        <v>55.78</v>
      </c>
      <c r="C1473" s="2996">
        <f t="shared" si="230"/>
        <v>1</v>
      </c>
      <c r="D1473" s="2994"/>
      <c r="E1473" s="2996">
        <f t="shared" si="231"/>
        <v>1</v>
      </c>
      <c r="F1473" s="2994"/>
      <c r="G1473" s="2996">
        <f t="shared" si="232"/>
        <v>1</v>
      </c>
      <c r="H1473" s="2994"/>
      <c r="I1473" s="2996">
        <f t="shared" si="233"/>
        <v>1</v>
      </c>
      <c r="J1473" s="2994"/>
      <c r="K1473" s="2996">
        <f t="shared" si="234"/>
        <v>1</v>
      </c>
      <c r="L1473" s="2994"/>
      <c r="M1473" s="2996">
        <f t="shared" si="235"/>
        <v>1</v>
      </c>
      <c r="N1473" s="2994"/>
      <c r="O1473" s="2996">
        <f t="shared" si="236"/>
        <v>1</v>
      </c>
      <c r="P1473" s="2994"/>
      <c r="Q1473" s="2996">
        <f t="shared" si="237"/>
        <v>1</v>
      </c>
      <c r="R1473" s="2997">
        <f t="shared" ca="1" si="238"/>
        <v>17260</v>
      </c>
      <c r="S1473" s="2962">
        <f t="shared" ca="1" si="239"/>
        <v>96</v>
      </c>
    </row>
    <row r="1474" spans="1:19">
      <c r="A1474" s="2992" t="str">
        <f>Sheet1!F1455</f>
        <v>4-1629</v>
      </c>
      <c r="B1474" s="2992">
        <f>Sheet1!G1455</f>
        <v>48.86</v>
      </c>
      <c r="C1474" s="2996">
        <f t="shared" si="230"/>
        <v>1</v>
      </c>
      <c r="D1474" s="2994"/>
      <c r="E1474" s="2996">
        <f t="shared" si="231"/>
        <v>1</v>
      </c>
      <c r="F1474" s="2994"/>
      <c r="G1474" s="2996">
        <f t="shared" si="232"/>
        <v>1</v>
      </c>
      <c r="H1474" s="2994"/>
      <c r="I1474" s="2996">
        <f t="shared" si="233"/>
        <v>1</v>
      </c>
      <c r="J1474" s="2994"/>
      <c r="K1474" s="2996">
        <f t="shared" si="234"/>
        <v>1</v>
      </c>
      <c r="L1474" s="2994"/>
      <c r="M1474" s="2996">
        <f t="shared" si="235"/>
        <v>1</v>
      </c>
      <c r="N1474" s="2994"/>
      <c r="O1474" s="2996">
        <f t="shared" si="236"/>
        <v>1</v>
      </c>
      <c r="P1474" s="2994"/>
      <c r="Q1474" s="2996">
        <f t="shared" si="237"/>
        <v>1</v>
      </c>
      <c r="R1474" s="2997">
        <f t="shared" ca="1" si="238"/>
        <v>17260</v>
      </c>
      <c r="S1474" s="2962">
        <f t="shared" ca="1" si="239"/>
        <v>84</v>
      </c>
    </row>
    <row r="1475" spans="1:19">
      <c r="A1475" s="2992" t="str">
        <f>Sheet1!F1456</f>
        <v>4-1630</v>
      </c>
      <c r="B1475" s="2992">
        <f>Sheet1!G1456</f>
        <v>48.86</v>
      </c>
      <c r="C1475" s="2996">
        <f t="shared" si="230"/>
        <v>1</v>
      </c>
      <c r="D1475" s="2994"/>
      <c r="E1475" s="2996">
        <f t="shared" si="231"/>
        <v>1</v>
      </c>
      <c r="F1475" s="2994"/>
      <c r="G1475" s="2996">
        <f t="shared" si="232"/>
        <v>1</v>
      </c>
      <c r="H1475" s="2994"/>
      <c r="I1475" s="2996">
        <f t="shared" si="233"/>
        <v>1</v>
      </c>
      <c r="J1475" s="2994"/>
      <c r="K1475" s="2996">
        <f t="shared" si="234"/>
        <v>1</v>
      </c>
      <c r="L1475" s="2994"/>
      <c r="M1475" s="2996">
        <f t="shared" si="235"/>
        <v>1</v>
      </c>
      <c r="N1475" s="2994"/>
      <c r="O1475" s="2996">
        <f t="shared" si="236"/>
        <v>1</v>
      </c>
      <c r="P1475" s="2994"/>
      <c r="Q1475" s="2996">
        <f t="shared" si="237"/>
        <v>1</v>
      </c>
      <c r="R1475" s="2997">
        <f t="shared" ca="1" si="238"/>
        <v>17260</v>
      </c>
      <c r="S1475" s="2962">
        <f t="shared" ca="1" si="239"/>
        <v>84</v>
      </c>
    </row>
    <row r="1476" spans="1:19">
      <c r="A1476" s="2992" t="str">
        <f>Sheet1!F1457</f>
        <v>4-1631</v>
      </c>
      <c r="B1476" s="2992">
        <f>Sheet1!G1457</f>
        <v>48.86</v>
      </c>
      <c r="C1476" s="2996">
        <f t="shared" si="230"/>
        <v>1</v>
      </c>
      <c r="D1476" s="2994"/>
      <c r="E1476" s="2996">
        <f t="shared" si="231"/>
        <v>1</v>
      </c>
      <c r="F1476" s="2994"/>
      <c r="G1476" s="2996">
        <f t="shared" si="232"/>
        <v>1</v>
      </c>
      <c r="H1476" s="2994"/>
      <c r="I1476" s="2996">
        <f t="shared" si="233"/>
        <v>1</v>
      </c>
      <c r="J1476" s="2994"/>
      <c r="K1476" s="2996">
        <f t="shared" si="234"/>
        <v>1</v>
      </c>
      <c r="L1476" s="2994"/>
      <c r="M1476" s="2996">
        <f t="shared" si="235"/>
        <v>1</v>
      </c>
      <c r="N1476" s="2994"/>
      <c r="O1476" s="2996">
        <f t="shared" si="236"/>
        <v>1</v>
      </c>
      <c r="P1476" s="2994"/>
      <c r="Q1476" s="2996">
        <f t="shared" si="237"/>
        <v>1</v>
      </c>
      <c r="R1476" s="2997">
        <f t="shared" ca="1" si="238"/>
        <v>17260</v>
      </c>
      <c r="S1476" s="2962">
        <f t="shared" ca="1" si="239"/>
        <v>84</v>
      </c>
    </row>
    <row r="1477" spans="1:19">
      <c r="A1477" s="2992" t="str">
        <f>Sheet1!F1458</f>
        <v>4-1632</v>
      </c>
      <c r="B1477" s="2992">
        <f>Sheet1!G1458</f>
        <v>54.5</v>
      </c>
      <c r="C1477" s="2996">
        <f t="shared" si="230"/>
        <v>1</v>
      </c>
      <c r="D1477" s="2994"/>
      <c r="E1477" s="2996">
        <f t="shared" si="231"/>
        <v>1</v>
      </c>
      <c r="F1477" s="2994"/>
      <c r="G1477" s="2996">
        <f t="shared" si="232"/>
        <v>1</v>
      </c>
      <c r="H1477" s="2994"/>
      <c r="I1477" s="2996">
        <f t="shared" si="233"/>
        <v>1</v>
      </c>
      <c r="J1477" s="2994"/>
      <c r="K1477" s="2996">
        <f t="shared" si="234"/>
        <v>1</v>
      </c>
      <c r="L1477" s="2994"/>
      <c r="M1477" s="2996">
        <f t="shared" si="235"/>
        <v>1</v>
      </c>
      <c r="N1477" s="2994"/>
      <c r="O1477" s="2996">
        <f t="shared" si="236"/>
        <v>1</v>
      </c>
      <c r="P1477" s="2994"/>
      <c r="Q1477" s="2996">
        <f t="shared" si="237"/>
        <v>1</v>
      </c>
      <c r="R1477" s="2997">
        <f t="shared" ca="1" si="238"/>
        <v>17260</v>
      </c>
      <c r="S1477" s="2962">
        <f t="shared" ca="1" si="239"/>
        <v>94</v>
      </c>
    </row>
    <row r="1478" spans="1:19">
      <c r="A1478" s="2992" t="str">
        <f>Sheet1!F1459</f>
        <v>4-1633</v>
      </c>
      <c r="B1478" s="2992">
        <f>Sheet1!G1459</f>
        <v>64.58</v>
      </c>
      <c r="C1478" s="2996">
        <f t="shared" si="230"/>
        <v>1</v>
      </c>
      <c r="D1478" s="2994"/>
      <c r="E1478" s="2996">
        <f t="shared" si="231"/>
        <v>1</v>
      </c>
      <c r="F1478" s="2994"/>
      <c r="G1478" s="2996">
        <f t="shared" si="232"/>
        <v>1</v>
      </c>
      <c r="H1478" s="2994"/>
      <c r="I1478" s="2996">
        <f t="shared" si="233"/>
        <v>1</v>
      </c>
      <c r="J1478" s="2994"/>
      <c r="K1478" s="2996">
        <f t="shared" si="234"/>
        <v>1</v>
      </c>
      <c r="L1478" s="2994"/>
      <c r="M1478" s="2996">
        <f t="shared" si="235"/>
        <v>1</v>
      </c>
      <c r="N1478" s="2994"/>
      <c r="O1478" s="2996">
        <f t="shared" si="236"/>
        <v>1</v>
      </c>
      <c r="P1478" s="2994"/>
      <c r="Q1478" s="2996">
        <f t="shared" si="237"/>
        <v>1</v>
      </c>
      <c r="R1478" s="2997">
        <f t="shared" ca="1" si="238"/>
        <v>17260</v>
      </c>
      <c r="S1478" s="2962">
        <f t="shared" ca="1" si="239"/>
        <v>111</v>
      </c>
    </row>
    <row r="1479" spans="1:19">
      <c r="A1479" s="2992" t="str">
        <f>Sheet1!F1460</f>
        <v>4-1634</v>
      </c>
      <c r="B1479" s="2992">
        <f>Sheet1!G1460</f>
        <v>45.32</v>
      </c>
      <c r="C1479" s="2996">
        <f t="shared" si="230"/>
        <v>1</v>
      </c>
      <c r="D1479" s="2994"/>
      <c r="E1479" s="2996">
        <f t="shared" si="231"/>
        <v>1</v>
      </c>
      <c r="F1479" s="2994"/>
      <c r="G1479" s="2996">
        <f t="shared" si="232"/>
        <v>1</v>
      </c>
      <c r="H1479" s="2994"/>
      <c r="I1479" s="2996">
        <f t="shared" si="233"/>
        <v>1</v>
      </c>
      <c r="J1479" s="2994"/>
      <c r="K1479" s="2996">
        <f t="shared" si="234"/>
        <v>1</v>
      </c>
      <c r="L1479" s="2994"/>
      <c r="M1479" s="2996">
        <f t="shared" si="235"/>
        <v>1</v>
      </c>
      <c r="N1479" s="2994"/>
      <c r="O1479" s="2996">
        <f t="shared" si="236"/>
        <v>1</v>
      </c>
      <c r="P1479" s="2994"/>
      <c r="Q1479" s="2996">
        <f t="shared" si="237"/>
        <v>1</v>
      </c>
      <c r="R1479" s="2997">
        <f t="shared" ca="1" si="238"/>
        <v>17260</v>
      </c>
      <c r="S1479" s="2962">
        <f t="shared" ca="1" si="239"/>
        <v>78</v>
      </c>
    </row>
    <row r="1480" spans="1:19">
      <c r="A1480" s="2992" t="str">
        <f>Sheet1!F1461</f>
        <v>4-1635</v>
      </c>
      <c r="B1480" s="2992">
        <f>Sheet1!G1461</f>
        <v>45.2</v>
      </c>
      <c r="C1480" s="2996">
        <f t="shared" si="230"/>
        <v>1</v>
      </c>
      <c r="D1480" s="2994"/>
      <c r="E1480" s="2996">
        <f t="shared" si="231"/>
        <v>1</v>
      </c>
      <c r="F1480" s="2994"/>
      <c r="G1480" s="2996">
        <f t="shared" si="232"/>
        <v>1</v>
      </c>
      <c r="H1480" s="2994"/>
      <c r="I1480" s="2996">
        <f t="shared" si="233"/>
        <v>1</v>
      </c>
      <c r="J1480" s="2994"/>
      <c r="K1480" s="2996">
        <f t="shared" si="234"/>
        <v>1</v>
      </c>
      <c r="L1480" s="2994"/>
      <c r="M1480" s="2996">
        <f t="shared" si="235"/>
        <v>1</v>
      </c>
      <c r="N1480" s="2994"/>
      <c r="O1480" s="2996">
        <f t="shared" si="236"/>
        <v>1</v>
      </c>
      <c r="P1480" s="2994"/>
      <c r="Q1480" s="2996">
        <f t="shared" si="237"/>
        <v>1</v>
      </c>
      <c r="R1480" s="2997">
        <f t="shared" ca="1" si="238"/>
        <v>17260</v>
      </c>
      <c r="S1480" s="2962">
        <f t="shared" ca="1" si="239"/>
        <v>78</v>
      </c>
    </row>
    <row r="1481" spans="1:19">
      <c r="A1481" s="2992" t="str">
        <f>Sheet1!F1462</f>
        <v>4-1636</v>
      </c>
      <c r="B1481" s="2992">
        <f>Sheet1!G1462</f>
        <v>45.32</v>
      </c>
      <c r="C1481" s="2996">
        <f t="shared" si="230"/>
        <v>1</v>
      </c>
      <c r="D1481" s="2994"/>
      <c r="E1481" s="2996">
        <f t="shared" si="231"/>
        <v>1</v>
      </c>
      <c r="F1481" s="2994"/>
      <c r="G1481" s="2996">
        <f t="shared" si="232"/>
        <v>1</v>
      </c>
      <c r="H1481" s="2994"/>
      <c r="I1481" s="2996">
        <f t="shared" si="233"/>
        <v>1</v>
      </c>
      <c r="J1481" s="2994"/>
      <c r="K1481" s="2996">
        <f t="shared" si="234"/>
        <v>1</v>
      </c>
      <c r="L1481" s="2994"/>
      <c r="M1481" s="2996">
        <f t="shared" si="235"/>
        <v>1</v>
      </c>
      <c r="N1481" s="2994"/>
      <c r="O1481" s="2996">
        <f t="shared" si="236"/>
        <v>1</v>
      </c>
      <c r="P1481" s="2994"/>
      <c r="Q1481" s="2996">
        <f t="shared" si="237"/>
        <v>1</v>
      </c>
      <c r="R1481" s="2997">
        <f t="shared" ca="1" si="238"/>
        <v>17260</v>
      </c>
      <c r="S1481" s="2962">
        <f t="shared" ca="1" si="239"/>
        <v>78</v>
      </c>
    </row>
    <row r="1482" spans="1:19">
      <c r="A1482" s="2992" t="str">
        <f>Sheet1!F1463</f>
        <v>4-1637</v>
      </c>
      <c r="B1482" s="2992">
        <f>Sheet1!G1463</f>
        <v>45.32</v>
      </c>
      <c r="C1482" s="2996">
        <f t="shared" si="230"/>
        <v>1</v>
      </c>
      <c r="D1482" s="2994"/>
      <c r="E1482" s="2996">
        <f t="shared" si="231"/>
        <v>1</v>
      </c>
      <c r="F1482" s="2994"/>
      <c r="G1482" s="2996">
        <f t="shared" si="232"/>
        <v>1</v>
      </c>
      <c r="H1482" s="2994"/>
      <c r="I1482" s="2996">
        <f t="shared" si="233"/>
        <v>1</v>
      </c>
      <c r="J1482" s="2994"/>
      <c r="K1482" s="2996">
        <f t="shared" si="234"/>
        <v>1</v>
      </c>
      <c r="L1482" s="2994"/>
      <c r="M1482" s="2996">
        <f t="shared" si="235"/>
        <v>1</v>
      </c>
      <c r="N1482" s="2994"/>
      <c r="O1482" s="2996">
        <f t="shared" si="236"/>
        <v>1</v>
      </c>
      <c r="P1482" s="2994"/>
      <c r="Q1482" s="2996">
        <f t="shared" si="237"/>
        <v>1</v>
      </c>
      <c r="R1482" s="2997">
        <f t="shared" ca="1" si="238"/>
        <v>17260</v>
      </c>
      <c r="S1482" s="2962">
        <f t="shared" ca="1" si="239"/>
        <v>78</v>
      </c>
    </row>
    <row r="1483" spans="1:19">
      <c r="A1483" s="2992" t="str">
        <f>Sheet1!F1464</f>
        <v>4-1638</v>
      </c>
      <c r="B1483" s="2992">
        <f>Sheet1!G1464</f>
        <v>48.86</v>
      </c>
      <c r="C1483" s="2996">
        <f t="shared" si="230"/>
        <v>1</v>
      </c>
      <c r="D1483" s="2994"/>
      <c r="E1483" s="2996">
        <f t="shared" si="231"/>
        <v>1</v>
      </c>
      <c r="F1483" s="2994"/>
      <c r="G1483" s="2996">
        <f t="shared" si="232"/>
        <v>1</v>
      </c>
      <c r="H1483" s="2994"/>
      <c r="I1483" s="2996">
        <f t="shared" si="233"/>
        <v>1</v>
      </c>
      <c r="J1483" s="2994"/>
      <c r="K1483" s="2996">
        <f t="shared" si="234"/>
        <v>1</v>
      </c>
      <c r="L1483" s="2994"/>
      <c r="M1483" s="2996">
        <f t="shared" si="235"/>
        <v>1</v>
      </c>
      <c r="N1483" s="2994"/>
      <c r="O1483" s="2996">
        <f t="shared" si="236"/>
        <v>1</v>
      </c>
      <c r="P1483" s="2994"/>
      <c r="Q1483" s="2996">
        <f t="shared" si="237"/>
        <v>1</v>
      </c>
      <c r="R1483" s="2997">
        <f t="shared" ca="1" si="238"/>
        <v>17260</v>
      </c>
      <c r="S1483" s="2962">
        <f t="shared" ca="1" si="239"/>
        <v>84</v>
      </c>
    </row>
    <row r="1484" spans="1:19">
      <c r="A1484" s="2992" t="str">
        <f>Sheet1!F1465</f>
        <v>4-1639</v>
      </c>
      <c r="B1484" s="2992">
        <f>Sheet1!G1465</f>
        <v>44.51</v>
      </c>
      <c r="C1484" s="2996">
        <f t="shared" si="230"/>
        <v>1</v>
      </c>
      <c r="D1484" s="2994"/>
      <c r="E1484" s="2996">
        <f t="shared" si="231"/>
        <v>1</v>
      </c>
      <c r="F1484" s="2994"/>
      <c r="G1484" s="2996">
        <f t="shared" si="232"/>
        <v>1</v>
      </c>
      <c r="H1484" s="2994"/>
      <c r="I1484" s="2996">
        <f t="shared" si="233"/>
        <v>1</v>
      </c>
      <c r="J1484" s="2994"/>
      <c r="K1484" s="2996">
        <f t="shared" si="234"/>
        <v>1</v>
      </c>
      <c r="L1484" s="2994"/>
      <c r="M1484" s="2996">
        <f t="shared" si="235"/>
        <v>1</v>
      </c>
      <c r="N1484" s="2994"/>
      <c r="O1484" s="2996">
        <f t="shared" si="236"/>
        <v>1</v>
      </c>
      <c r="P1484" s="2994"/>
      <c r="Q1484" s="2996">
        <f t="shared" si="237"/>
        <v>1</v>
      </c>
      <c r="R1484" s="2997">
        <f t="shared" ca="1" si="238"/>
        <v>17260</v>
      </c>
      <c r="S1484" s="2962">
        <f t="shared" ca="1" si="239"/>
        <v>77</v>
      </c>
    </row>
    <row r="1485" spans="1:19">
      <c r="A1485" s="2992" t="str">
        <f>Sheet1!F1466</f>
        <v>4-1640</v>
      </c>
      <c r="B1485" s="2992">
        <f>Sheet1!G1466</f>
        <v>54.67</v>
      </c>
      <c r="C1485" s="2996">
        <f t="shared" ref="C1485:C1548" si="240">IF(B1485="",1,(LOOKUP(B1485,$3:$3,$4:$4)-LOOKUP($B$24,$3:$3,$4:$4)+100)/100)</f>
        <v>1</v>
      </c>
      <c r="D1485" s="2994"/>
      <c r="E1485" s="2996">
        <f t="shared" ref="E1485:E1548" si="241">(SUMIF($5:$5,D1485,$6:$6)-SUMIF($5:$5,$D$24,$6:$6)+100)/100</f>
        <v>1</v>
      </c>
      <c r="F1485" s="2994"/>
      <c r="G1485" s="2996">
        <f t="shared" ref="G1485:G1548" si="242">(SUMIF($7:$7,F1485,$8:$8)-SUMIF($7:$7,$F$24,$8:$8)+100)/100</f>
        <v>1</v>
      </c>
      <c r="H1485" s="2994"/>
      <c r="I1485" s="2996">
        <f t="shared" ref="I1485:I1548" si="243">(SUMIF($9:$9,H1485,$10:$10)-SUMIF($9:$9,$H$24,$10:$10)+100)/100</f>
        <v>1</v>
      </c>
      <c r="J1485" s="2994"/>
      <c r="K1485" s="2996">
        <f t="shared" ref="K1485:K1548" si="244">(SUMIF($11:$11,J1485,$12:$12)-SUMIF($11:$11,$J$24,$12:$12)+100)/100</f>
        <v>1</v>
      </c>
      <c r="L1485" s="2994"/>
      <c r="M1485" s="2996">
        <f t="shared" ref="M1485:M1548" si="245">(SUMIF($13:$13,L1485,$14:$14)-SUMIF($13:$13,$L$24,$14:$14)+100)/100</f>
        <v>1</v>
      </c>
      <c r="N1485" s="2994"/>
      <c r="O1485" s="2996">
        <f t="shared" ref="O1485:O1548" si="246">(SUMIF($15:$15,N1485,$16:$16)-SUMIF($15:$15,$N$24,$16:$16)+100)/100</f>
        <v>1</v>
      </c>
      <c r="P1485" s="2994"/>
      <c r="Q1485" s="2996">
        <f t="shared" ref="Q1485:Q1548" si="247">(SUMIF($17:$17,P1485,$18:$18)-SUMIF($17:$17,$P$24,$18:$18)+100)/100</f>
        <v>1</v>
      </c>
      <c r="R1485" s="2997">
        <f t="shared" ref="R1485:R1548" ca="1" si="248">IF(B1485="",0,ROUND($R$24*C1485*E1485*G1485*I1485*K1485*M1485*O1485*Q1485,0))</f>
        <v>17260</v>
      </c>
      <c r="S1485" s="2962">
        <f t="shared" ref="S1485:S1548" ca="1" si="249">ROUND(R1485*B1485/10000,0)</f>
        <v>94</v>
      </c>
    </row>
    <row r="1486" spans="1:19">
      <c r="A1486" s="2992" t="str">
        <f>Sheet1!F1467</f>
        <v>4-1641</v>
      </c>
      <c r="B1486" s="2992">
        <f>Sheet1!G1467</f>
        <v>48.86</v>
      </c>
      <c r="C1486" s="2996">
        <f t="shared" si="240"/>
        <v>1</v>
      </c>
      <c r="D1486" s="2994"/>
      <c r="E1486" s="2996">
        <f t="shared" si="241"/>
        <v>1</v>
      </c>
      <c r="F1486" s="2994"/>
      <c r="G1486" s="2996">
        <f t="shared" si="242"/>
        <v>1</v>
      </c>
      <c r="H1486" s="2994"/>
      <c r="I1486" s="2996">
        <f t="shared" si="243"/>
        <v>1</v>
      </c>
      <c r="J1486" s="2994"/>
      <c r="K1486" s="2996">
        <f t="shared" si="244"/>
        <v>1</v>
      </c>
      <c r="L1486" s="2994"/>
      <c r="M1486" s="2996">
        <f t="shared" si="245"/>
        <v>1</v>
      </c>
      <c r="N1486" s="2994"/>
      <c r="O1486" s="2996">
        <f t="shared" si="246"/>
        <v>1</v>
      </c>
      <c r="P1486" s="2994"/>
      <c r="Q1486" s="2996">
        <f t="shared" si="247"/>
        <v>1</v>
      </c>
      <c r="R1486" s="2997">
        <f t="shared" ca="1" si="248"/>
        <v>17260</v>
      </c>
      <c r="S1486" s="2962">
        <f t="shared" ca="1" si="249"/>
        <v>84</v>
      </c>
    </row>
    <row r="1487" spans="1:19">
      <c r="A1487" s="2992" t="str">
        <f>Sheet1!F1468</f>
        <v>4-1642</v>
      </c>
      <c r="B1487" s="2992">
        <f>Sheet1!G1468</f>
        <v>48.86</v>
      </c>
      <c r="C1487" s="2996">
        <f t="shared" si="240"/>
        <v>1</v>
      </c>
      <c r="D1487" s="2994"/>
      <c r="E1487" s="2996">
        <f t="shared" si="241"/>
        <v>1</v>
      </c>
      <c r="F1487" s="2994"/>
      <c r="G1487" s="2996">
        <f t="shared" si="242"/>
        <v>1</v>
      </c>
      <c r="H1487" s="2994"/>
      <c r="I1487" s="2996">
        <f t="shared" si="243"/>
        <v>1</v>
      </c>
      <c r="J1487" s="2994"/>
      <c r="K1487" s="2996">
        <f t="shared" si="244"/>
        <v>1</v>
      </c>
      <c r="L1487" s="2994"/>
      <c r="M1487" s="2996">
        <f t="shared" si="245"/>
        <v>1</v>
      </c>
      <c r="N1487" s="2994"/>
      <c r="O1487" s="2996">
        <f t="shared" si="246"/>
        <v>1</v>
      </c>
      <c r="P1487" s="2994"/>
      <c r="Q1487" s="2996">
        <f t="shared" si="247"/>
        <v>1</v>
      </c>
      <c r="R1487" s="2997">
        <f t="shared" ca="1" si="248"/>
        <v>17260</v>
      </c>
      <c r="S1487" s="2962">
        <f t="shared" ca="1" si="249"/>
        <v>84</v>
      </c>
    </row>
    <row r="1488" spans="1:19">
      <c r="A1488" s="2992" t="str">
        <f>Sheet1!F1469</f>
        <v>4-1643</v>
      </c>
      <c r="B1488" s="2992">
        <f>Sheet1!G1469</f>
        <v>48.86</v>
      </c>
      <c r="C1488" s="2996">
        <f t="shared" si="240"/>
        <v>1</v>
      </c>
      <c r="D1488" s="2994"/>
      <c r="E1488" s="2996">
        <f t="shared" si="241"/>
        <v>1</v>
      </c>
      <c r="F1488" s="2994"/>
      <c r="G1488" s="2996">
        <f t="shared" si="242"/>
        <v>1</v>
      </c>
      <c r="H1488" s="2994"/>
      <c r="I1488" s="2996">
        <f t="shared" si="243"/>
        <v>1</v>
      </c>
      <c r="J1488" s="2994"/>
      <c r="K1488" s="2996">
        <f t="shared" si="244"/>
        <v>1</v>
      </c>
      <c r="L1488" s="2994"/>
      <c r="M1488" s="2996">
        <f t="shared" si="245"/>
        <v>1</v>
      </c>
      <c r="N1488" s="2994"/>
      <c r="O1488" s="2996">
        <f t="shared" si="246"/>
        <v>1</v>
      </c>
      <c r="P1488" s="2994"/>
      <c r="Q1488" s="2996">
        <f t="shared" si="247"/>
        <v>1</v>
      </c>
      <c r="R1488" s="2997">
        <f t="shared" ca="1" si="248"/>
        <v>17260</v>
      </c>
      <c r="S1488" s="2962">
        <f t="shared" ca="1" si="249"/>
        <v>84</v>
      </c>
    </row>
    <row r="1489" spans="1:19">
      <c r="A1489" s="2992" t="str">
        <f>Sheet1!F1470</f>
        <v>4-1644</v>
      </c>
      <c r="B1489" s="2992">
        <f>Sheet1!G1470</f>
        <v>54.87</v>
      </c>
      <c r="C1489" s="2996">
        <f t="shared" si="240"/>
        <v>1</v>
      </c>
      <c r="D1489" s="2994"/>
      <c r="E1489" s="2996">
        <f t="shared" si="241"/>
        <v>1</v>
      </c>
      <c r="F1489" s="2994"/>
      <c r="G1489" s="2996">
        <f t="shared" si="242"/>
        <v>1</v>
      </c>
      <c r="H1489" s="2994"/>
      <c r="I1489" s="2996">
        <f t="shared" si="243"/>
        <v>1</v>
      </c>
      <c r="J1489" s="2994"/>
      <c r="K1489" s="2996">
        <f t="shared" si="244"/>
        <v>1</v>
      </c>
      <c r="L1489" s="2994"/>
      <c r="M1489" s="2996">
        <f t="shared" si="245"/>
        <v>1</v>
      </c>
      <c r="N1489" s="2994"/>
      <c r="O1489" s="2996">
        <f t="shared" si="246"/>
        <v>1</v>
      </c>
      <c r="P1489" s="2994"/>
      <c r="Q1489" s="2996">
        <f t="shared" si="247"/>
        <v>1</v>
      </c>
      <c r="R1489" s="2997">
        <f t="shared" ca="1" si="248"/>
        <v>17260</v>
      </c>
      <c r="S1489" s="2962">
        <f t="shared" ca="1" si="249"/>
        <v>95</v>
      </c>
    </row>
    <row r="1490" spans="1:19">
      <c r="A1490" s="2992" t="str">
        <f>Sheet1!F1471</f>
        <v>4-1645</v>
      </c>
      <c r="B1490" s="2992">
        <f>Sheet1!G1471</f>
        <v>88.13</v>
      </c>
      <c r="C1490" s="2996">
        <f t="shared" si="240"/>
        <v>1</v>
      </c>
      <c r="D1490" s="2994"/>
      <c r="E1490" s="2996">
        <f t="shared" si="241"/>
        <v>1</v>
      </c>
      <c r="F1490" s="2994"/>
      <c r="G1490" s="2996">
        <f t="shared" si="242"/>
        <v>1</v>
      </c>
      <c r="H1490" s="2994"/>
      <c r="I1490" s="2996">
        <f t="shared" si="243"/>
        <v>1</v>
      </c>
      <c r="J1490" s="2994"/>
      <c r="K1490" s="2996">
        <f t="shared" si="244"/>
        <v>1</v>
      </c>
      <c r="L1490" s="2994"/>
      <c r="M1490" s="2996">
        <f t="shared" si="245"/>
        <v>1</v>
      </c>
      <c r="N1490" s="2994"/>
      <c r="O1490" s="2996">
        <f t="shared" si="246"/>
        <v>1</v>
      </c>
      <c r="P1490" s="2994"/>
      <c r="Q1490" s="2996">
        <f t="shared" si="247"/>
        <v>1</v>
      </c>
      <c r="R1490" s="2997">
        <f t="shared" ca="1" si="248"/>
        <v>17260</v>
      </c>
      <c r="S1490" s="2962">
        <f t="shared" ca="1" si="249"/>
        <v>152</v>
      </c>
    </row>
    <row r="1491" spans="1:19">
      <c r="A1491" s="2992" t="str">
        <f>Sheet1!F1472</f>
        <v>1-1701</v>
      </c>
      <c r="B1491" s="2992">
        <f>Sheet1!G1472</f>
        <v>185.75</v>
      </c>
      <c r="C1491" s="2996">
        <f t="shared" si="240"/>
        <v>0.99</v>
      </c>
      <c r="D1491" s="2994"/>
      <c r="E1491" s="2996">
        <f t="shared" si="241"/>
        <v>1</v>
      </c>
      <c r="F1491" s="2994"/>
      <c r="G1491" s="2996">
        <f t="shared" si="242"/>
        <v>1</v>
      </c>
      <c r="H1491" s="2994"/>
      <c r="I1491" s="2996">
        <f t="shared" si="243"/>
        <v>1</v>
      </c>
      <c r="J1491" s="2994"/>
      <c r="K1491" s="2996">
        <f t="shared" si="244"/>
        <v>1</v>
      </c>
      <c r="L1491" s="2994"/>
      <c r="M1491" s="2996">
        <f t="shared" si="245"/>
        <v>1</v>
      </c>
      <c r="N1491" s="2994"/>
      <c r="O1491" s="2996">
        <f t="shared" si="246"/>
        <v>1</v>
      </c>
      <c r="P1491" s="2994"/>
      <c r="Q1491" s="2996">
        <f t="shared" si="247"/>
        <v>1</v>
      </c>
      <c r="R1491" s="2997">
        <f t="shared" ca="1" si="248"/>
        <v>17087</v>
      </c>
      <c r="S1491" s="2962">
        <f t="shared" ca="1" si="249"/>
        <v>317</v>
      </c>
    </row>
    <row r="1492" spans="1:19">
      <c r="A1492" s="2992" t="str">
        <f>Sheet1!F1473</f>
        <v>1-1702</v>
      </c>
      <c r="B1492" s="2992">
        <f>Sheet1!G1473</f>
        <v>188.39</v>
      </c>
      <c r="C1492" s="2996">
        <f t="shared" si="240"/>
        <v>0.99</v>
      </c>
      <c r="D1492" s="2994"/>
      <c r="E1492" s="2996">
        <f t="shared" si="241"/>
        <v>1</v>
      </c>
      <c r="F1492" s="2994"/>
      <c r="G1492" s="2996">
        <f t="shared" si="242"/>
        <v>1</v>
      </c>
      <c r="H1492" s="2994"/>
      <c r="I1492" s="2996">
        <f t="shared" si="243"/>
        <v>1</v>
      </c>
      <c r="J1492" s="2994"/>
      <c r="K1492" s="2996">
        <f t="shared" si="244"/>
        <v>1</v>
      </c>
      <c r="L1492" s="2994"/>
      <c r="M1492" s="2996">
        <f t="shared" si="245"/>
        <v>1</v>
      </c>
      <c r="N1492" s="2994"/>
      <c r="O1492" s="2996">
        <f t="shared" si="246"/>
        <v>1</v>
      </c>
      <c r="P1492" s="2994"/>
      <c r="Q1492" s="2996">
        <f t="shared" si="247"/>
        <v>1</v>
      </c>
      <c r="R1492" s="2997">
        <f t="shared" ca="1" si="248"/>
        <v>17087</v>
      </c>
      <c r="S1492" s="2962">
        <f t="shared" ca="1" si="249"/>
        <v>322</v>
      </c>
    </row>
    <row r="1493" spans="1:19">
      <c r="A1493" s="2992" t="str">
        <f>Sheet1!F1474</f>
        <v>1-1703</v>
      </c>
      <c r="B1493" s="2992">
        <f>Sheet1!G1474</f>
        <v>188.39</v>
      </c>
      <c r="C1493" s="2996">
        <f t="shared" si="240"/>
        <v>0.99</v>
      </c>
      <c r="D1493" s="2994"/>
      <c r="E1493" s="2996">
        <f t="shared" si="241"/>
        <v>1</v>
      </c>
      <c r="F1493" s="2994"/>
      <c r="G1493" s="2996">
        <f t="shared" si="242"/>
        <v>1</v>
      </c>
      <c r="H1493" s="2994"/>
      <c r="I1493" s="2996">
        <f t="shared" si="243"/>
        <v>1</v>
      </c>
      <c r="J1493" s="2994"/>
      <c r="K1493" s="2996">
        <f t="shared" si="244"/>
        <v>1</v>
      </c>
      <c r="L1493" s="2994"/>
      <c r="M1493" s="2996">
        <f t="shared" si="245"/>
        <v>1</v>
      </c>
      <c r="N1493" s="2994"/>
      <c r="O1493" s="2996">
        <f t="shared" si="246"/>
        <v>1</v>
      </c>
      <c r="P1493" s="2994"/>
      <c r="Q1493" s="2996">
        <f t="shared" si="247"/>
        <v>1</v>
      </c>
      <c r="R1493" s="2997">
        <f t="shared" ca="1" si="248"/>
        <v>17087</v>
      </c>
      <c r="S1493" s="2962">
        <f t="shared" ca="1" si="249"/>
        <v>322</v>
      </c>
    </row>
    <row r="1494" spans="1:19">
      <c r="A1494" s="2992" t="str">
        <f>Sheet1!F1475</f>
        <v>1-1704</v>
      </c>
      <c r="B1494" s="2992">
        <f>Sheet1!G1475</f>
        <v>188.39</v>
      </c>
      <c r="C1494" s="2996">
        <f t="shared" si="240"/>
        <v>0.99</v>
      </c>
      <c r="D1494" s="2994"/>
      <c r="E1494" s="2996">
        <f t="shared" si="241"/>
        <v>1</v>
      </c>
      <c r="F1494" s="2994"/>
      <c r="G1494" s="2996">
        <f t="shared" si="242"/>
        <v>1</v>
      </c>
      <c r="H1494" s="2994"/>
      <c r="I1494" s="2996">
        <f t="shared" si="243"/>
        <v>1</v>
      </c>
      <c r="J1494" s="2994"/>
      <c r="K1494" s="2996">
        <f t="shared" si="244"/>
        <v>1</v>
      </c>
      <c r="L1494" s="2994"/>
      <c r="M1494" s="2996">
        <f t="shared" si="245"/>
        <v>1</v>
      </c>
      <c r="N1494" s="2994"/>
      <c r="O1494" s="2996">
        <f t="shared" si="246"/>
        <v>1</v>
      </c>
      <c r="P1494" s="2994"/>
      <c r="Q1494" s="2996">
        <f t="shared" si="247"/>
        <v>1</v>
      </c>
      <c r="R1494" s="2997">
        <f t="shared" ca="1" si="248"/>
        <v>17087</v>
      </c>
      <c r="S1494" s="2962">
        <f t="shared" ca="1" si="249"/>
        <v>322</v>
      </c>
    </row>
    <row r="1495" spans="1:19">
      <c r="A1495" s="2992" t="str">
        <f>Sheet1!F1476</f>
        <v>1-1705</v>
      </c>
      <c r="B1495" s="2992">
        <f>Sheet1!G1476</f>
        <v>188.39</v>
      </c>
      <c r="C1495" s="2996">
        <f t="shared" si="240"/>
        <v>0.99</v>
      </c>
      <c r="D1495" s="2994"/>
      <c r="E1495" s="2996">
        <f t="shared" si="241"/>
        <v>1</v>
      </c>
      <c r="F1495" s="2994"/>
      <c r="G1495" s="2996">
        <f t="shared" si="242"/>
        <v>1</v>
      </c>
      <c r="H1495" s="2994"/>
      <c r="I1495" s="2996">
        <f t="shared" si="243"/>
        <v>1</v>
      </c>
      <c r="J1495" s="2994"/>
      <c r="K1495" s="2996">
        <f t="shared" si="244"/>
        <v>1</v>
      </c>
      <c r="L1495" s="2994"/>
      <c r="M1495" s="2996">
        <f t="shared" si="245"/>
        <v>1</v>
      </c>
      <c r="N1495" s="2994"/>
      <c r="O1495" s="2996">
        <f t="shared" si="246"/>
        <v>1</v>
      </c>
      <c r="P1495" s="2994"/>
      <c r="Q1495" s="2996">
        <f t="shared" si="247"/>
        <v>1</v>
      </c>
      <c r="R1495" s="2997">
        <f t="shared" ca="1" si="248"/>
        <v>17087</v>
      </c>
      <c r="S1495" s="2962">
        <f t="shared" ca="1" si="249"/>
        <v>322</v>
      </c>
    </row>
    <row r="1496" spans="1:19">
      <c r="A1496" s="2992" t="str">
        <f>Sheet1!F1477</f>
        <v>1-1706</v>
      </c>
      <c r="B1496" s="2992">
        <f>Sheet1!G1477</f>
        <v>188.39</v>
      </c>
      <c r="C1496" s="2996">
        <f t="shared" si="240"/>
        <v>0.99</v>
      </c>
      <c r="D1496" s="2994"/>
      <c r="E1496" s="2996">
        <f t="shared" si="241"/>
        <v>1</v>
      </c>
      <c r="F1496" s="2994"/>
      <c r="G1496" s="2996">
        <f t="shared" si="242"/>
        <v>1</v>
      </c>
      <c r="H1496" s="2994"/>
      <c r="I1496" s="2996">
        <f t="shared" si="243"/>
        <v>1</v>
      </c>
      <c r="J1496" s="2994"/>
      <c r="K1496" s="2996">
        <f t="shared" si="244"/>
        <v>1</v>
      </c>
      <c r="L1496" s="2994"/>
      <c r="M1496" s="2996">
        <f t="shared" si="245"/>
        <v>1</v>
      </c>
      <c r="N1496" s="2994"/>
      <c r="O1496" s="2996">
        <f t="shared" si="246"/>
        <v>1</v>
      </c>
      <c r="P1496" s="2994"/>
      <c r="Q1496" s="2996">
        <f t="shared" si="247"/>
        <v>1</v>
      </c>
      <c r="R1496" s="2997">
        <f t="shared" ca="1" si="248"/>
        <v>17087</v>
      </c>
      <c r="S1496" s="2962">
        <f t="shared" ca="1" si="249"/>
        <v>322</v>
      </c>
    </row>
    <row r="1497" spans="1:19">
      <c r="A1497" s="2992" t="str">
        <f>Sheet1!F1478</f>
        <v>1-1707</v>
      </c>
      <c r="B1497" s="2992">
        <f>Sheet1!G1478</f>
        <v>187.51</v>
      </c>
      <c r="C1497" s="2996">
        <f t="shared" si="240"/>
        <v>0.99</v>
      </c>
      <c r="D1497" s="2994"/>
      <c r="E1497" s="2996">
        <f t="shared" si="241"/>
        <v>1</v>
      </c>
      <c r="F1497" s="2994"/>
      <c r="G1497" s="2996">
        <f t="shared" si="242"/>
        <v>1</v>
      </c>
      <c r="H1497" s="2994"/>
      <c r="I1497" s="2996">
        <f t="shared" si="243"/>
        <v>1</v>
      </c>
      <c r="J1497" s="2994"/>
      <c r="K1497" s="2996">
        <f t="shared" si="244"/>
        <v>1</v>
      </c>
      <c r="L1497" s="2994"/>
      <c r="M1497" s="2996">
        <f t="shared" si="245"/>
        <v>1</v>
      </c>
      <c r="N1497" s="2994"/>
      <c r="O1497" s="2996">
        <f t="shared" si="246"/>
        <v>1</v>
      </c>
      <c r="P1497" s="2994"/>
      <c r="Q1497" s="2996">
        <f t="shared" si="247"/>
        <v>1</v>
      </c>
      <c r="R1497" s="2997">
        <f t="shared" ca="1" si="248"/>
        <v>17087</v>
      </c>
      <c r="S1497" s="2962">
        <f t="shared" ca="1" si="249"/>
        <v>320</v>
      </c>
    </row>
    <row r="1498" spans="1:19">
      <c r="A1498" s="2992" t="str">
        <f>Sheet1!F1479</f>
        <v>1-1708</v>
      </c>
      <c r="B1498" s="2992">
        <f>Sheet1!G1479</f>
        <v>210.22</v>
      </c>
      <c r="C1498" s="2996">
        <f t="shared" si="240"/>
        <v>0.98</v>
      </c>
      <c r="D1498" s="2994"/>
      <c r="E1498" s="2996">
        <f t="shared" si="241"/>
        <v>1</v>
      </c>
      <c r="F1498" s="2994"/>
      <c r="G1498" s="2996">
        <f t="shared" si="242"/>
        <v>1</v>
      </c>
      <c r="H1498" s="2994"/>
      <c r="I1498" s="2996">
        <f t="shared" si="243"/>
        <v>1</v>
      </c>
      <c r="J1498" s="2994"/>
      <c r="K1498" s="2996">
        <f t="shared" si="244"/>
        <v>1</v>
      </c>
      <c r="L1498" s="2994"/>
      <c r="M1498" s="2996">
        <f t="shared" si="245"/>
        <v>1</v>
      </c>
      <c r="N1498" s="2994"/>
      <c r="O1498" s="2996">
        <f t="shared" si="246"/>
        <v>1</v>
      </c>
      <c r="P1498" s="2994"/>
      <c r="Q1498" s="2996">
        <f t="shared" si="247"/>
        <v>1</v>
      </c>
      <c r="R1498" s="2997">
        <f t="shared" ca="1" si="248"/>
        <v>16915</v>
      </c>
      <c r="S1498" s="2962">
        <f t="shared" ca="1" si="249"/>
        <v>356</v>
      </c>
    </row>
    <row r="1499" spans="1:19">
      <c r="A1499" s="2992" t="str">
        <f>Sheet1!F1480</f>
        <v>1-1709</v>
      </c>
      <c r="B1499" s="2992">
        <f>Sheet1!G1480</f>
        <v>169.2</v>
      </c>
      <c r="C1499" s="2996">
        <f t="shared" si="240"/>
        <v>0.99</v>
      </c>
      <c r="D1499" s="2994"/>
      <c r="E1499" s="2996">
        <f t="shared" si="241"/>
        <v>1</v>
      </c>
      <c r="F1499" s="2994"/>
      <c r="G1499" s="2996">
        <f t="shared" si="242"/>
        <v>1</v>
      </c>
      <c r="H1499" s="2994"/>
      <c r="I1499" s="2996">
        <f t="shared" si="243"/>
        <v>1</v>
      </c>
      <c r="J1499" s="2994"/>
      <c r="K1499" s="2996">
        <f t="shared" si="244"/>
        <v>1</v>
      </c>
      <c r="L1499" s="2994"/>
      <c r="M1499" s="2996">
        <f t="shared" si="245"/>
        <v>1</v>
      </c>
      <c r="N1499" s="2994"/>
      <c r="O1499" s="2996">
        <f t="shared" si="246"/>
        <v>1</v>
      </c>
      <c r="P1499" s="2994"/>
      <c r="Q1499" s="2996">
        <f t="shared" si="247"/>
        <v>1</v>
      </c>
      <c r="R1499" s="2997">
        <f t="shared" ca="1" si="248"/>
        <v>17087</v>
      </c>
      <c r="S1499" s="2962">
        <f t="shared" ca="1" si="249"/>
        <v>289</v>
      </c>
    </row>
    <row r="1500" spans="1:19">
      <c r="A1500" s="2992" t="str">
        <f>Sheet1!F1481</f>
        <v>1-1710</v>
      </c>
      <c r="B1500" s="2992">
        <f>Sheet1!G1481</f>
        <v>178.35</v>
      </c>
      <c r="C1500" s="2996">
        <f t="shared" si="240"/>
        <v>0.99</v>
      </c>
      <c r="D1500" s="2994"/>
      <c r="E1500" s="2996">
        <f t="shared" si="241"/>
        <v>1</v>
      </c>
      <c r="F1500" s="2994"/>
      <c r="G1500" s="2996">
        <f t="shared" si="242"/>
        <v>1</v>
      </c>
      <c r="H1500" s="2994"/>
      <c r="I1500" s="2996">
        <f t="shared" si="243"/>
        <v>1</v>
      </c>
      <c r="J1500" s="2994"/>
      <c r="K1500" s="2996">
        <f t="shared" si="244"/>
        <v>1</v>
      </c>
      <c r="L1500" s="2994"/>
      <c r="M1500" s="2996">
        <f t="shared" si="245"/>
        <v>1</v>
      </c>
      <c r="N1500" s="2994"/>
      <c r="O1500" s="2996">
        <f t="shared" si="246"/>
        <v>1</v>
      </c>
      <c r="P1500" s="2994"/>
      <c r="Q1500" s="2996">
        <f t="shared" si="247"/>
        <v>1</v>
      </c>
      <c r="R1500" s="2997">
        <f t="shared" ca="1" si="248"/>
        <v>17087</v>
      </c>
      <c r="S1500" s="2962">
        <f t="shared" ca="1" si="249"/>
        <v>305</v>
      </c>
    </row>
    <row r="1501" spans="1:19">
      <c r="A1501" s="2992" t="str">
        <f>Sheet1!F1482</f>
        <v>1-1711</v>
      </c>
      <c r="B1501" s="2992">
        <f>Sheet1!G1482</f>
        <v>125.64</v>
      </c>
      <c r="C1501" s="2996">
        <f t="shared" si="240"/>
        <v>0.99</v>
      </c>
      <c r="D1501" s="2994"/>
      <c r="E1501" s="2996">
        <f t="shared" si="241"/>
        <v>1</v>
      </c>
      <c r="F1501" s="2994"/>
      <c r="G1501" s="2996">
        <f t="shared" si="242"/>
        <v>1</v>
      </c>
      <c r="H1501" s="2994"/>
      <c r="I1501" s="2996">
        <f t="shared" si="243"/>
        <v>1</v>
      </c>
      <c r="J1501" s="2994"/>
      <c r="K1501" s="2996">
        <f t="shared" si="244"/>
        <v>1</v>
      </c>
      <c r="L1501" s="2994"/>
      <c r="M1501" s="2996">
        <f t="shared" si="245"/>
        <v>1</v>
      </c>
      <c r="N1501" s="2994"/>
      <c r="O1501" s="2996">
        <f t="shared" si="246"/>
        <v>1</v>
      </c>
      <c r="P1501" s="2994"/>
      <c r="Q1501" s="2996">
        <f t="shared" si="247"/>
        <v>1</v>
      </c>
      <c r="R1501" s="2997">
        <f t="shared" ca="1" si="248"/>
        <v>17087</v>
      </c>
      <c r="S1501" s="2962">
        <f t="shared" ca="1" si="249"/>
        <v>215</v>
      </c>
    </row>
    <row r="1502" spans="1:19">
      <c r="A1502" s="2992" t="str">
        <f>Sheet1!F1483</f>
        <v>1-1712</v>
      </c>
      <c r="B1502" s="2992">
        <f>Sheet1!G1483</f>
        <v>96.87</v>
      </c>
      <c r="C1502" s="2996">
        <f t="shared" si="240"/>
        <v>1</v>
      </c>
      <c r="D1502" s="2994"/>
      <c r="E1502" s="2996">
        <f t="shared" si="241"/>
        <v>1</v>
      </c>
      <c r="F1502" s="2994"/>
      <c r="G1502" s="2996">
        <f t="shared" si="242"/>
        <v>1</v>
      </c>
      <c r="H1502" s="2994"/>
      <c r="I1502" s="2996">
        <f t="shared" si="243"/>
        <v>1</v>
      </c>
      <c r="J1502" s="2994"/>
      <c r="K1502" s="2996">
        <f t="shared" si="244"/>
        <v>1</v>
      </c>
      <c r="L1502" s="2994"/>
      <c r="M1502" s="2996">
        <f t="shared" si="245"/>
        <v>1</v>
      </c>
      <c r="N1502" s="2994"/>
      <c r="O1502" s="2996">
        <f t="shared" si="246"/>
        <v>1</v>
      </c>
      <c r="P1502" s="2994"/>
      <c r="Q1502" s="2996">
        <f t="shared" si="247"/>
        <v>1</v>
      </c>
      <c r="R1502" s="2997">
        <f t="shared" ca="1" si="248"/>
        <v>17260</v>
      </c>
      <c r="S1502" s="2962">
        <f t="shared" ca="1" si="249"/>
        <v>167</v>
      </c>
    </row>
    <row r="1503" spans="1:19">
      <c r="A1503" s="2992" t="str">
        <f>Sheet1!F1484</f>
        <v>1-1713</v>
      </c>
      <c r="B1503" s="2992">
        <f>Sheet1!G1484</f>
        <v>188.39</v>
      </c>
      <c r="C1503" s="2996">
        <f t="shared" si="240"/>
        <v>0.99</v>
      </c>
      <c r="D1503" s="2994"/>
      <c r="E1503" s="2996">
        <f t="shared" si="241"/>
        <v>1</v>
      </c>
      <c r="F1503" s="2994"/>
      <c r="G1503" s="2996">
        <f t="shared" si="242"/>
        <v>1</v>
      </c>
      <c r="H1503" s="2994"/>
      <c r="I1503" s="2996">
        <f t="shared" si="243"/>
        <v>1</v>
      </c>
      <c r="J1503" s="2994"/>
      <c r="K1503" s="2996">
        <f t="shared" si="244"/>
        <v>1</v>
      </c>
      <c r="L1503" s="2994"/>
      <c r="M1503" s="2996">
        <f t="shared" si="245"/>
        <v>1</v>
      </c>
      <c r="N1503" s="2994"/>
      <c r="O1503" s="2996">
        <f t="shared" si="246"/>
        <v>1</v>
      </c>
      <c r="P1503" s="2994"/>
      <c r="Q1503" s="2996">
        <f t="shared" si="247"/>
        <v>1</v>
      </c>
      <c r="R1503" s="2997">
        <f t="shared" ca="1" si="248"/>
        <v>17087</v>
      </c>
      <c r="S1503" s="2962">
        <f t="shared" ca="1" si="249"/>
        <v>322</v>
      </c>
    </row>
    <row r="1504" spans="1:19">
      <c r="A1504" s="2992" t="str">
        <f>Sheet1!F1485</f>
        <v>1-1714</v>
      </c>
      <c r="B1504" s="2992">
        <f>Sheet1!G1485</f>
        <v>188.39</v>
      </c>
      <c r="C1504" s="2996">
        <f t="shared" si="240"/>
        <v>0.99</v>
      </c>
      <c r="D1504" s="2994"/>
      <c r="E1504" s="2996">
        <f t="shared" si="241"/>
        <v>1</v>
      </c>
      <c r="F1504" s="2994"/>
      <c r="G1504" s="2996">
        <f t="shared" si="242"/>
        <v>1</v>
      </c>
      <c r="H1504" s="2994"/>
      <c r="I1504" s="2996">
        <f t="shared" si="243"/>
        <v>1</v>
      </c>
      <c r="J1504" s="2994"/>
      <c r="K1504" s="2996">
        <f t="shared" si="244"/>
        <v>1</v>
      </c>
      <c r="L1504" s="2994"/>
      <c r="M1504" s="2996">
        <f t="shared" si="245"/>
        <v>1</v>
      </c>
      <c r="N1504" s="2994"/>
      <c r="O1504" s="2996">
        <f t="shared" si="246"/>
        <v>1</v>
      </c>
      <c r="P1504" s="2994"/>
      <c r="Q1504" s="2996">
        <f t="shared" si="247"/>
        <v>1</v>
      </c>
      <c r="R1504" s="2997">
        <f t="shared" ca="1" si="248"/>
        <v>17087</v>
      </c>
      <c r="S1504" s="2962">
        <f t="shared" ca="1" si="249"/>
        <v>322</v>
      </c>
    </row>
    <row r="1505" spans="1:19">
      <c r="A1505" s="2992" t="str">
        <f>Sheet1!F1486</f>
        <v>1-1715</v>
      </c>
      <c r="B1505" s="2992">
        <f>Sheet1!G1486</f>
        <v>188.39</v>
      </c>
      <c r="C1505" s="2996">
        <f t="shared" si="240"/>
        <v>0.99</v>
      </c>
      <c r="D1505" s="2994"/>
      <c r="E1505" s="2996">
        <f t="shared" si="241"/>
        <v>1</v>
      </c>
      <c r="F1505" s="2994"/>
      <c r="G1505" s="2996">
        <f t="shared" si="242"/>
        <v>1</v>
      </c>
      <c r="H1505" s="2994"/>
      <c r="I1505" s="2996">
        <f t="shared" si="243"/>
        <v>1</v>
      </c>
      <c r="J1505" s="2994"/>
      <c r="K1505" s="2996">
        <f t="shared" si="244"/>
        <v>1</v>
      </c>
      <c r="L1505" s="2994"/>
      <c r="M1505" s="2996">
        <f t="shared" si="245"/>
        <v>1</v>
      </c>
      <c r="N1505" s="2994"/>
      <c r="O1505" s="2996">
        <f t="shared" si="246"/>
        <v>1</v>
      </c>
      <c r="P1505" s="2994"/>
      <c r="Q1505" s="2996">
        <f t="shared" si="247"/>
        <v>1</v>
      </c>
      <c r="R1505" s="2997">
        <f t="shared" ca="1" si="248"/>
        <v>17087</v>
      </c>
      <c r="S1505" s="2962">
        <f t="shared" ca="1" si="249"/>
        <v>322</v>
      </c>
    </row>
    <row r="1506" spans="1:19">
      <c r="A1506" s="2992" t="str">
        <f>Sheet1!F1487</f>
        <v>1-1716</v>
      </c>
      <c r="B1506" s="2992">
        <f>Sheet1!G1487</f>
        <v>188.39</v>
      </c>
      <c r="C1506" s="2996">
        <f t="shared" si="240"/>
        <v>0.99</v>
      </c>
      <c r="D1506" s="2994"/>
      <c r="E1506" s="2996">
        <f t="shared" si="241"/>
        <v>1</v>
      </c>
      <c r="F1506" s="2994"/>
      <c r="G1506" s="2996">
        <f t="shared" si="242"/>
        <v>1</v>
      </c>
      <c r="H1506" s="2994"/>
      <c r="I1506" s="2996">
        <f t="shared" si="243"/>
        <v>1</v>
      </c>
      <c r="J1506" s="2994"/>
      <c r="K1506" s="2996">
        <f t="shared" si="244"/>
        <v>1</v>
      </c>
      <c r="L1506" s="2994"/>
      <c r="M1506" s="2996">
        <f t="shared" si="245"/>
        <v>1</v>
      </c>
      <c r="N1506" s="2994"/>
      <c r="O1506" s="2996">
        <f t="shared" si="246"/>
        <v>1</v>
      </c>
      <c r="P1506" s="2994"/>
      <c r="Q1506" s="2996">
        <f t="shared" si="247"/>
        <v>1</v>
      </c>
      <c r="R1506" s="2997">
        <f t="shared" ca="1" si="248"/>
        <v>17087</v>
      </c>
      <c r="S1506" s="2962">
        <f t="shared" ca="1" si="249"/>
        <v>322</v>
      </c>
    </row>
    <row r="1507" spans="1:19">
      <c r="A1507" s="2992" t="str">
        <f>Sheet1!F1488</f>
        <v>1-1717</v>
      </c>
      <c r="B1507" s="2992">
        <f>Sheet1!G1488</f>
        <v>188.39</v>
      </c>
      <c r="C1507" s="2996">
        <f t="shared" si="240"/>
        <v>0.99</v>
      </c>
      <c r="D1507" s="2994"/>
      <c r="E1507" s="2996">
        <f t="shared" si="241"/>
        <v>1</v>
      </c>
      <c r="F1507" s="2994"/>
      <c r="G1507" s="2996">
        <f t="shared" si="242"/>
        <v>1</v>
      </c>
      <c r="H1507" s="2994"/>
      <c r="I1507" s="2996">
        <f t="shared" si="243"/>
        <v>1</v>
      </c>
      <c r="J1507" s="2994"/>
      <c r="K1507" s="2996">
        <f t="shared" si="244"/>
        <v>1</v>
      </c>
      <c r="L1507" s="2994"/>
      <c r="M1507" s="2996">
        <f t="shared" si="245"/>
        <v>1</v>
      </c>
      <c r="N1507" s="2994"/>
      <c r="O1507" s="2996">
        <f t="shared" si="246"/>
        <v>1</v>
      </c>
      <c r="P1507" s="2994"/>
      <c r="Q1507" s="2996">
        <f t="shared" si="247"/>
        <v>1</v>
      </c>
      <c r="R1507" s="2997">
        <f t="shared" ca="1" si="248"/>
        <v>17087</v>
      </c>
      <c r="S1507" s="2962">
        <f t="shared" ca="1" si="249"/>
        <v>322</v>
      </c>
    </row>
    <row r="1508" spans="1:19">
      <c r="A1508" s="2992" t="str">
        <f>Sheet1!F1489</f>
        <v>1-1718</v>
      </c>
      <c r="B1508" s="2992">
        <f>Sheet1!G1489</f>
        <v>279.91000000000003</v>
      </c>
      <c r="C1508" s="2996">
        <f t="shared" si="240"/>
        <v>0.98</v>
      </c>
      <c r="D1508" s="2994"/>
      <c r="E1508" s="2996">
        <f t="shared" si="241"/>
        <v>1</v>
      </c>
      <c r="F1508" s="2994"/>
      <c r="G1508" s="2996">
        <f t="shared" si="242"/>
        <v>1</v>
      </c>
      <c r="H1508" s="2994"/>
      <c r="I1508" s="2996">
        <f t="shared" si="243"/>
        <v>1</v>
      </c>
      <c r="J1508" s="2994"/>
      <c r="K1508" s="2996">
        <f t="shared" si="244"/>
        <v>1</v>
      </c>
      <c r="L1508" s="2994"/>
      <c r="M1508" s="2996">
        <f t="shared" si="245"/>
        <v>1</v>
      </c>
      <c r="N1508" s="2994"/>
      <c r="O1508" s="2996">
        <f t="shared" si="246"/>
        <v>1</v>
      </c>
      <c r="P1508" s="2994"/>
      <c r="Q1508" s="2996">
        <f t="shared" si="247"/>
        <v>1</v>
      </c>
      <c r="R1508" s="2997">
        <f t="shared" ca="1" si="248"/>
        <v>16915</v>
      </c>
      <c r="S1508" s="2962">
        <f t="shared" ca="1" si="249"/>
        <v>473</v>
      </c>
    </row>
    <row r="1509" spans="1:19">
      <c r="A1509" s="2992" t="str">
        <f>Sheet1!F1490</f>
        <v>1-1719</v>
      </c>
      <c r="B1509" s="2992">
        <f>Sheet1!G1490</f>
        <v>175.75</v>
      </c>
      <c r="C1509" s="2996">
        <f t="shared" si="240"/>
        <v>0.99</v>
      </c>
      <c r="D1509" s="2994"/>
      <c r="E1509" s="2996">
        <f t="shared" si="241"/>
        <v>1</v>
      </c>
      <c r="F1509" s="2994"/>
      <c r="G1509" s="2996">
        <f t="shared" si="242"/>
        <v>1</v>
      </c>
      <c r="H1509" s="2994"/>
      <c r="I1509" s="2996">
        <f t="shared" si="243"/>
        <v>1</v>
      </c>
      <c r="J1509" s="2994"/>
      <c r="K1509" s="2996">
        <f t="shared" si="244"/>
        <v>1</v>
      </c>
      <c r="L1509" s="2994"/>
      <c r="M1509" s="2996">
        <f t="shared" si="245"/>
        <v>1</v>
      </c>
      <c r="N1509" s="2994"/>
      <c r="O1509" s="2996">
        <f t="shared" si="246"/>
        <v>1</v>
      </c>
      <c r="P1509" s="2994"/>
      <c r="Q1509" s="2996">
        <f t="shared" si="247"/>
        <v>1</v>
      </c>
      <c r="R1509" s="2997">
        <f t="shared" ca="1" si="248"/>
        <v>17087</v>
      </c>
      <c r="S1509" s="2962">
        <f t="shared" ca="1" si="249"/>
        <v>300</v>
      </c>
    </row>
    <row r="1510" spans="1:19">
      <c r="A1510" s="2992" t="str">
        <f>Sheet1!F1491</f>
        <v>1-1720</v>
      </c>
      <c r="B1510" s="2992">
        <f>Sheet1!G1491</f>
        <v>188.32</v>
      </c>
      <c r="C1510" s="2996">
        <f t="shared" si="240"/>
        <v>0.99</v>
      </c>
      <c r="D1510" s="2994"/>
      <c r="E1510" s="2996">
        <f t="shared" si="241"/>
        <v>1</v>
      </c>
      <c r="F1510" s="2994"/>
      <c r="G1510" s="2996">
        <f t="shared" si="242"/>
        <v>1</v>
      </c>
      <c r="H1510" s="2994"/>
      <c r="I1510" s="2996">
        <f t="shared" si="243"/>
        <v>1</v>
      </c>
      <c r="J1510" s="2994"/>
      <c r="K1510" s="2996">
        <f t="shared" si="244"/>
        <v>1</v>
      </c>
      <c r="L1510" s="2994"/>
      <c r="M1510" s="2996">
        <f t="shared" si="245"/>
        <v>1</v>
      </c>
      <c r="N1510" s="2994"/>
      <c r="O1510" s="2996">
        <f t="shared" si="246"/>
        <v>1</v>
      </c>
      <c r="P1510" s="2994"/>
      <c r="Q1510" s="2996">
        <f t="shared" si="247"/>
        <v>1</v>
      </c>
      <c r="R1510" s="2997">
        <f t="shared" ca="1" si="248"/>
        <v>17087</v>
      </c>
      <c r="S1510" s="2962">
        <f t="shared" ca="1" si="249"/>
        <v>322</v>
      </c>
    </row>
    <row r="1511" spans="1:19">
      <c r="A1511" s="2992" t="str">
        <f>Sheet1!F1492</f>
        <v>2-1701</v>
      </c>
      <c r="B1511" s="2992">
        <f>Sheet1!G1492</f>
        <v>210.22</v>
      </c>
      <c r="C1511" s="2996">
        <f t="shared" si="240"/>
        <v>0.98</v>
      </c>
      <c r="D1511" s="2994"/>
      <c r="E1511" s="2996">
        <f t="shared" si="241"/>
        <v>1</v>
      </c>
      <c r="F1511" s="2994"/>
      <c r="G1511" s="2996">
        <f t="shared" si="242"/>
        <v>1</v>
      </c>
      <c r="H1511" s="2994"/>
      <c r="I1511" s="2996">
        <f t="shared" si="243"/>
        <v>1</v>
      </c>
      <c r="J1511" s="2994"/>
      <c r="K1511" s="2996">
        <f t="shared" si="244"/>
        <v>1</v>
      </c>
      <c r="L1511" s="2994"/>
      <c r="M1511" s="2996">
        <f t="shared" si="245"/>
        <v>1</v>
      </c>
      <c r="N1511" s="2994"/>
      <c r="O1511" s="2996">
        <f t="shared" si="246"/>
        <v>1</v>
      </c>
      <c r="P1511" s="2994"/>
      <c r="Q1511" s="2996">
        <f t="shared" si="247"/>
        <v>1</v>
      </c>
      <c r="R1511" s="2997">
        <f t="shared" ca="1" si="248"/>
        <v>16915</v>
      </c>
      <c r="S1511" s="2962">
        <f t="shared" ca="1" si="249"/>
        <v>356</v>
      </c>
    </row>
    <row r="1512" spans="1:19">
      <c r="A1512" s="2992" t="str">
        <f>Sheet1!F1493</f>
        <v>2-1702</v>
      </c>
      <c r="B1512" s="2992">
        <f>Sheet1!G1493</f>
        <v>187.56</v>
      </c>
      <c r="C1512" s="2996">
        <f t="shared" si="240"/>
        <v>0.99</v>
      </c>
      <c r="D1512" s="2994"/>
      <c r="E1512" s="2996">
        <f t="shared" si="241"/>
        <v>1</v>
      </c>
      <c r="F1512" s="2994"/>
      <c r="G1512" s="2996">
        <f t="shared" si="242"/>
        <v>1</v>
      </c>
      <c r="H1512" s="2994"/>
      <c r="I1512" s="2996">
        <f t="shared" si="243"/>
        <v>1</v>
      </c>
      <c r="J1512" s="2994"/>
      <c r="K1512" s="2996">
        <f t="shared" si="244"/>
        <v>1</v>
      </c>
      <c r="L1512" s="2994"/>
      <c r="M1512" s="2996">
        <f t="shared" si="245"/>
        <v>1</v>
      </c>
      <c r="N1512" s="2994"/>
      <c r="O1512" s="2996">
        <f t="shared" si="246"/>
        <v>1</v>
      </c>
      <c r="P1512" s="2994"/>
      <c r="Q1512" s="2996">
        <f t="shared" si="247"/>
        <v>1</v>
      </c>
      <c r="R1512" s="2997">
        <f t="shared" ca="1" si="248"/>
        <v>17087</v>
      </c>
      <c r="S1512" s="2962">
        <f t="shared" ca="1" si="249"/>
        <v>320</v>
      </c>
    </row>
    <row r="1513" spans="1:19">
      <c r="A1513" s="2992" t="str">
        <f>Sheet1!F1494</f>
        <v>2-1703</v>
      </c>
      <c r="B1513" s="2992">
        <f>Sheet1!G1494</f>
        <v>188.42</v>
      </c>
      <c r="C1513" s="2996">
        <f t="shared" si="240"/>
        <v>0.99</v>
      </c>
      <c r="D1513" s="2994"/>
      <c r="E1513" s="2996">
        <f t="shared" si="241"/>
        <v>1</v>
      </c>
      <c r="F1513" s="2994"/>
      <c r="G1513" s="2996">
        <f t="shared" si="242"/>
        <v>1</v>
      </c>
      <c r="H1513" s="2994"/>
      <c r="I1513" s="2996">
        <f t="shared" si="243"/>
        <v>1</v>
      </c>
      <c r="J1513" s="2994"/>
      <c r="K1513" s="2996">
        <f t="shared" si="244"/>
        <v>1</v>
      </c>
      <c r="L1513" s="2994"/>
      <c r="M1513" s="2996">
        <f t="shared" si="245"/>
        <v>1</v>
      </c>
      <c r="N1513" s="2994"/>
      <c r="O1513" s="2996">
        <f t="shared" si="246"/>
        <v>1</v>
      </c>
      <c r="P1513" s="2994"/>
      <c r="Q1513" s="2996">
        <f t="shared" si="247"/>
        <v>1</v>
      </c>
      <c r="R1513" s="2997">
        <f t="shared" ca="1" si="248"/>
        <v>17087</v>
      </c>
      <c r="S1513" s="2962">
        <f t="shared" ca="1" si="249"/>
        <v>322</v>
      </c>
    </row>
    <row r="1514" spans="1:19">
      <c r="A1514" s="2992" t="str">
        <f>Sheet1!F1495</f>
        <v>2-1704</v>
      </c>
      <c r="B1514" s="2992">
        <f>Sheet1!G1495</f>
        <v>188.42</v>
      </c>
      <c r="C1514" s="2996">
        <f t="shared" si="240"/>
        <v>0.99</v>
      </c>
      <c r="D1514" s="2994"/>
      <c r="E1514" s="2996">
        <f t="shared" si="241"/>
        <v>1</v>
      </c>
      <c r="F1514" s="2994"/>
      <c r="G1514" s="2996">
        <f t="shared" si="242"/>
        <v>1</v>
      </c>
      <c r="H1514" s="2994"/>
      <c r="I1514" s="2996">
        <f t="shared" si="243"/>
        <v>1</v>
      </c>
      <c r="J1514" s="2994"/>
      <c r="K1514" s="2996">
        <f t="shared" si="244"/>
        <v>1</v>
      </c>
      <c r="L1514" s="2994"/>
      <c r="M1514" s="2996">
        <f t="shared" si="245"/>
        <v>1</v>
      </c>
      <c r="N1514" s="2994"/>
      <c r="O1514" s="2996">
        <f t="shared" si="246"/>
        <v>1</v>
      </c>
      <c r="P1514" s="2994"/>
      <c r="Q1514" s="2996">
        <f t="shared" si="247"/>
        <v>1</v>
      </c>
      <c r="R1514" s="2997">
        <f t="shared" ca="1" si="248"/>
        <v>17087</v>
      </c>
      <c r="S1514" s="2962">
        <f t="shared" ca="1" si="249"/>
        <v>322</v>
      </c>
    </row>
    <row r="1515" spans="1:19">
      <c r="A1515" s="2992" t="str">
        <f>Sheet1!F1496</f>
        <v>2-1705</v>
      </c>
      <c r="B1515" s="2992">
        <f>Sheet1!G1496</f>
        <v>188.42</v>
      </c>
      <c r="C1515" s="2996">
        <f t="shared" si="240"/>
        <v>0.99</v>
      </c>
      <c r="D1515" s="2994"/>
      <c r="E1515" s="2996">
        <f t="shared" si="241"/>
        <v>1</v>
      </c>
      <c r="F1515" s="2994"/>
      <c r="G1515" s="2996">
        <f t="shared" si="242"/>
        <v>1</v>
      </c>
      <c r="H1515" s="2994"/>
      <c r="I1515" s="2996">
        <f t="shared" si="243"/>
        <v>1</v>
      </c>
      <c r="J1515" s="2994"/>
      <c r="K1515" s="2996">
        <f t="shared" si="244"/>
        <v>1</v>
      </c>
      <c r="L1515" s="2994"/>
      <c r="M1515" s="2996">
        <f t="shared" si="245"/>
        <v>1</v>
      </c>
      <c r="N1515" s="2994"/>
      <c r="O1515" s="2996">
        <f t="shared" si="246"/>
        <v>1</v>
      </c>
      <c r="P1515" s="2994"/>
      <c r="Q1515" s="2996">
        <f t="shared" si="247"/>
        <v>1</v>
      </c>
      <c r="R1515" s="2997">
        <f t="shared" ca="1" si="248"/>
        <v>17087</v>
      </c>
      <c r="S1515" s="2962">
        <f t="shared" ca="1" si="249"/>
        <v>322</v>
      </c>
    </row>
    <row r="1516" spans="1:19">
      <c r="A1516" s="2992" t="str">
        <f>Sheet1!F1497</f>
        <v>2-1706</v>
      </c>
      <c r="B1516" s="2992">
        <f>Sheet1!G1497</f>
        <v>188.42</v>
      </c>
      <c r="C1516" s="2996">
        <f t="shared" si="240"/>
        <v>0.99</v>
      </c>
      <c r="D1516" s="2994"/>
      <c r="E1516" s="2996">
        <f t="shared" si="241"/>
        <v>1</v>
      </c>
      <c r="F1516" s="2994"/>
      <c r="G1516" s="2996">
        <f t="shared" si="242"/>
        <v>1</v>
      </c>
      <c r="H1516" s="2994"/>
      <c r="I1516" s="2996">
        <f t="shared" si="243"/>
        <v>1</v>
      </c>
      <c r="J1516" s="2994"/>
      <c r="K1516" s="2996">
        <f t="shared" si="244"/>
        <v>1</v>
      </c>
      <c r="L1516" s="2994"/>
      <c r="M1516" s="2996">
        <f t="shared" si="245"/>
        <v>1</v>
      </c>
      <c r="N1516" s="2994"/>
      <c r="O1516" s="2996">
        <f t="shared" si="246"/>
        <v>1</v>
      </c>
      <c r="P1516" s="2994"/>
      <c r="Q1516" s="2996">
        <f t="shared" si="247"/>
        <v>1</v>
      </c>
      <c r="R1516" s="2997">
        <f t="shared" ca="1" si="248"/>
        <v>17087</v>
      </c>
      <c r="S1516" s="2962">
        <f t="shared" ca="1" si="249"/>
        <v>322</v>
      </c>
    </row>
    <row r="1517" spans="1:19">
      <c r="A1517" s="2992" t="str">
        <f>Sheet1!F1498</f>
        <v>2-1707</v>
      </c>
      <c r="B1517" s="2992">
        <f>Sheet1!G1498</f>
        <v>188.42</v>
      </c>
      <c r="C1517" s="2996">
        <f t="shared" si="240"/>
        <v>0.99</v>
      </c>
      <c r="D1517" s="2994"/>
      <c r="E1517" s="2996">
        <f t="shared" si="241"/>
        <v>1</v>
      </c>
      <c r="F1517" s="2994"/>
      <c r="G1517" s="2996">
        <f t="shared" si="242"/>
        <v>1</v>
      </c>
      <c r="H1517" s="2994"/>
      <c r="I1517" s="2996">
        <f t="shared" si="243"/>
        <v>1</v>
      </c>
      <c r="J1517" s="2994"/>
      <c r="K1517" s="2996">
        <f t="shared" si="244"/>
        <v>1</v>
      </c>
      <c r="L1517" s="2994"/>
      <c r="M1517" s="2996">
        <f t="shared" si="245"/>
        <v>1</v>
      </c>
      <c r="N1517" s="2994"/>
      <c r="O1517" s="2996">
        <f t="shared" si="246"/>
        <v>1</v>
      </c>
      <c r="P1517" s="2994"/>
      <c r="Q1517" s="2996">
        <f t="shared" si="247"/>
        <v>1</v>
      </c>
      <c r="R1517" s="2997">
        <f t="shared" ca="1" si="248"/>
        <v>17087</v>
      </c>
      <c r="S1517" s="2962">
        <f t="shared" ca="1" si="249"/>
        <v>322</v>
      </c>
    </row>
    <row r="1518" spans="1:19">
      <c r="A1518" s="2992" t="str">
        <f>Sheet1!F1499</f>
        <v>2-1708</v>
      </c>
      <c r="B1518" s="2992">
        <f>Sheet1!G1499</f>
        <v>186.36</v>
      </c>
      <c r="C1518" s="2996">
        <f t="shared" si="240"/>
        <v>0.99</v>
      </c>
      <c r="D1518" s="2994"/>
      <c r="E1518" s="2996">
        <f t="shared" si="241"/>
        <v>1</v>
      </c>
      <c r="F1518" s="2994"/>
      <c r="G1518" s="2996">
        <f t="shared" si="242"/>
        <v>1</v>
      </c>
      <c r="H1518" s="2994"/>
      <c r="I1518" s="2996">
        <f t="shared" si="243"/>
        <v>1</v>
      </c>
      <c r="J1518" s="2994"/>
      <c r="K1518" s="2996">
        <f t="shared" si="244"/>
        <v>1</v>
      </c>
      <c r="L1518" s="2994"/>
      <c r="M1518" s="2996">
        <f t="shared" si="245"/>
        <v>1</v>
      </c>
      <c r="N1518" s="2994"/>
      <c r="O1518" s="2996">
        <f t="shared" si="246"/>
        <v>1</v>
      </c>
      <c r="P1518" s="2994"/>
      <c r="Q1518" s="2996">
        <f t="shared" si="247"/>
        <v>1</v>
      </c>
      <c r="R1518" s="2997">
        <f t="shared" ca="1" si="248"/>
        <v>17087</v>
      </c>
      <c r="S1518" s="2962">
        <f t="shared" ca="1" si="249"/>
        <v>318</v>
      </c>
    </row>
    <row r="1519" spans="1:19">
      <c r="A1519" s="2992" t="str">
        <f>Sheet1!F1500</f>
        <v>2-1709</v>
      </c>
      <c r="B1519" s="2992">
        <f>Sheet1!G1500</f>
        <v>188.36</v>
      </c>
      <c r="C1519" s="2996">
        <f t="shared" si="240"/>
        <v>0.99</v>
      </c>
      <c r="D1519" s="2994"/>
      <c r="E1519" s="2996">
        <f t="shared" si="241"/>
        <v>1</v>
      </c>
      <c r="F1519" s="2994"/>
      <c r="G1519" s="2996">
        <f t="shared" si="242"/>
        <v>1</v>
      </c>
      <c r="H1519" s="2994"/>
      <c r="I1519" s="2996">
        <f t="shared" si="243"/>
        <v>1</v>
      </c>
      <c r="J1519" s="2994"/>
      <c r="K1519" s="2996">
        <f t="shared" si="244"/>
        <v>1</v>
      </c>
      <c r="L1519" s="2994"/>
      <c r="M1519" s="2996">
        <f t="shared" si="245"/>
        <v>1</v>
      </c>
      <c r="N1519" s="2994"/>
      <c r="O1519" s="2996">
        <f t="shared" si="246"/>
        <v>1</v>
      </c>
      <c r="P1519" s="2994"/>
      <c r="Q1519" s="2996">
        <f t="shared" si="247"/>
        <v>1</v>
      </c>
      <c r="R1519" s="2997">
        <f t="shared" ca="1" si="248"/>
        <v>17087</v>
      </c>
      <c r="S1519" s="2962">
        <f t="shared" ca="1" si="249"/>
        <v>322</v>
      </c>
    </row>
    <row r="1520" spans="1:19">
      <c r="A1520" s="2992" t="str">
        <f>Sheet1!F1501</f>
        <v>2-1710</v>
      </c>
      <c r="B1520" s="2992">
        <f>Sheet1!G1501</f>
        <v>175.78</v>
      </c>
      <c r="C1520" s="2996">
        <f t="shared" si="240"/>
        <v>0.99</v>
      </c>
      <c r="D1520" s="2994"/>
      <c r="E1520" s="2996">
        <f t="shared" si="241"/>
        <v>1</v>
      </c>
      <c r="F1520" s="2994"/>
      <c r="G1520" s="2996">
        <f t="shared" si="242"/>
        <v>1</v>
      </c>
      <c r="H1520" s="2994"/>
      <c r="I1520" s="2996">
        <f t="shared" si="243"/>
        <v>1</v>
      </c>
      <c r="J1520" s="2994"/>
      <c r="K1520" s="2996">
        <f t="shared" si="244"/>
        <v>1</v>
      </c>
      <c r="L1520" s="2994"/>
      <c r="M1520" s="2996">
        <f t="shared" si="245"/>
        <v>1</v>
      </c>
      <c r="N1520" s="2994"/>
      <c r="O1520" s="2996">
        <f t="shared" si="246"/>
        <v>1</v>
      </c>
      <c r="P1520" s="2994"/>
      <c r="Q1520" s="2996">
        <f t="shared" si="247"/>
        <v>1</v>
      </c>
      <c r="R1520" s="2997">
        <f t="shared" ca="1" si="248"/>
        <v>17087</v>
      </c>
      <c r="S1520" s="2962">
        <f t="shared" ca="1" si="249"/>
        <v>300</v>
      </c>
    </row>
    <row r="1521" spans="1:19">
      <c r="A1521" s="2992" t="str">
        <f>Sheet1!F1502</f>
        <v>2-1711</v>
      </c>
      <c r="B1521" s="2992">
        <f>Sheet1!G1502</f>
        <v>279.95999999999998</v>
      </c>
      <c r="C1521" s="2996">
        <f t="shared" si="240"/>
        <v>0.98</v>
      </c>
      <c r="D1521" s="2994"/>
      <c r="E1521" s="2996">
        <f t="shared" si="241"/>
        <v>1</v>
      </c>
      <c r="F1521" s="2994"/>
      <c r="G1521" s="2996">
        <f t="shared" si="242"/>
        <v>1</v>
      </c>
      <c r="H1521" s="2994"/>
      <c r="I1521" s="2996">
        <f t="shared" si="243"/>
        <v>1</v>
      </c>
      <c r="J1521" s="2994"/>
      <c r="K1521" s="2996">
        <f t="shared" si="244"/>
        <v>1</v>
      </c>
      <c r="L1521" s="2994"/>
      <c r="M1521" s="2996">
        <f t="shared" si="245"/>
        <v>1</v>
      </c>
      <c r="N1521" s="2994"/>
      <c r="O1521" s="2996">
        <f t="shared" si="246"/>
        <v>1</v>
      </c>
      <c r="P1521" s="2994"/>
      <c r="Q1521" s="2996">
        <f t="shared" si="247"/>
        <v>1</v>
      </c>
      <c r="R1521" s="2997">
        <f t="shared" ca="1" si="248"/>
        <v>16915</v>
      </c>
      <c r="S1521" s="2962">
        <f t="shared" ca="1" si="249"/>
        <v>474</v>
      </c>
    </row>
    <row r="1522" spans="1:19">
      <c r="A1522" s="2992" t="str">
        <f>Sheet1!F1503</f>
        <v>2-1712</v>
      </c>
      <c r="B1522" s="2992">
        <f>Sheet1!G1503</f>
        <v>188.43</v>
      </c>
      <c r="C1522" s="2996">
        <f t="shared" si="240"/>
        <v>0.99</v>
      </c>
      <c r="D1522" s="2994"/>
      <c r="E1522" s="2996">
        <f t="shared" si="241"/>
        <v>1</v>
      </c>
      <c r="F1522" s="2994"/>
      <c r="G1522" s="2996">
        <f t="shared" si="242"/>
        <v>1</v>
      </c>
      <c r="H1522" s="2994"/>
      <c r="I1522" s="2996">
        <f t="shared" si="243"/>
        <v>1</v>
      </c>
      <c r="J1522" s="2994"/>
      <c r="K1522" s="2996">
        <f t="shared" si="244"/>
        <v>1</v>
      </c>
      <c r="L1522" s="2994"/>
      <c r="M1522" s="2996">
        <f t="shared" si="245"/>
        <v>1</v>
      </c>
      <c r="N1522" s="2994"/>
      <c r="O1522" s="2996">
        <f t="shared" si="246"/>
        <v>1</v>
      </c>
      <c r="P1522" s="2994"/>
      <c r="Q1522" s="2996">
        <f t="shared" si="247"/>
        <v>1</v>
      </c>
      <c r="R1522" s="2997">
        <f t="shared" ca="1" si="248"/>
        <v>17087</v>
      </c>
      <c r="S1522" s="2962">
        <f t="shared" ca="1" si="249"/>
        <v>322</v>
      </c>
    </row>
    <row r="1523" spans="1:19">
      <c r="A1523" s="2992" t="str">
        <f>Sheet1!F1504</f>
        <v>2-1713</v>
      </c>
      <c r="B1523" s="2992">
        <f>Sheet1!G1504</f>
        <v>188.43</v>
      </c>
      <c r="C1523" s="2996">
        <f t="shared" si="240"/>
        <v>0.99</v>
      </c>
      <c r="D1523" s="2994"/>
      <c r="E1523" s="2996">
        <f t="shared" si="241"/>
        <v>1</v>
      </c>
      <c r="F1523" s="2994"/>
      <c r="G1523" s="2996">
        <f t="shared" si="242"/>
        <v>1</v>
      </c>
      <c r="H1523" s="2994"/>
      <c r="I1523" s="2996">
        <f t="shared" si="243"/>
        <v>1</v>
      </c>
      <c r="J1523" s="2994"/>
      <c r="K1523" s="2996">
        <f t="shared" si="244"/>
        <v>1</v>
      </c>
      <c r="L1523" s="2994"/>
      <c r="M1523" s="2996">
        <f t="shared" si="245"/>
        <v>1</v>
      </c>
      <c r="N1523" s="2994"/>
      <c r="O1523" s="2996">
        <f t="shared" si="246"/>
        <v>1</v>
      </c>
      <c r="P1523" s="2994"/>
      <c r="Q1523" s="2996">
        <f t="shared" si="247"/>
        <v>1</v>
      </c>
      <c r="R1523" s="2997">
        <f t="shared" ca="1" si="248"/>
        <v>17087</v>
      </c>
      <c r="S1523" s="2962">
        <f t="shared" ca="1" si="249"/>
        <v>322</v>
      </c>
    </row>
    <row r="1524" spans="1:19">
      <c r="A1524" s="2992" t="str">
        <f>Sheet1!F1505</f>
        <v>2-1714</v>
      </c>
      <c r="B1524" s="2992">
        <f>Sheet1!G1505</f>
        <v>188.43</v>
      </c>
      <c r="C1524" s="2996">
        <f t="shared" si="240"/>
        <v>0.99</v>
      </c>
      <c r="D1524" s="2994"/>
      <c r="E1524" s="2996">
        <f t="shared" si="241"/>
        <v>1</v>
      </c>
      <c r="F1524" s="2994"/>
      <c r="G1524" s="2996">
        <f t="shared" si="242"/>
        <v>1</v>
      </c>
      <c r="H1524" s="2994"/>
      <c r="I1524" s="2996">
        <f t="shared" si="243"/>
        <v>1</v>
      </c>
      <c r="J1524" s="2994"/>
      <c r="K1524" s="2996">
        <f t="shared" si="244"/>
        <v>1</v>
      </c>
      <c r="L1524" s="2994"/>
      <c r="M1524" s="2996">
        <f t="shared" si="245"/>
        <v>1</v>
      </c>
      <c r="N1524" s="2994"/>
      <c r="O1524" s="2996">
        <f t="shared" si="246"/>
        <v>1</v>
      </c>
      <c r="P1524" s="2994"/>
      <c r="Q1524" s="2996">
        <f t="shared" si="247"/>
        <v>1</v>
      </c>
      <c r="R1524" s="2997">
        <f t="shared" ca="1" si="248"/>
        <v>17087</v>
      </c>
      <c r="S1524" s="2962">
        <f t="shared" ca="1" si="249"/>
        <v>322</v>
      </c>
    </row>
    <row r="1525" spans="1:19">
      <c r="A1525" s="2992" t="str">
        <f>Sheet1!F1506</f>
        <v>2-1715</v>
      </c>
      <c r="B1525" s="2992">
        <f>Sheet1!G1506</f>
        <v>188.43</v>
      </c>
      <c r="C1525" s="2996">
        <f t="shared" si="240"/>
        <v>0.99</v>
      </c>
      <c r="D1525" s="2994"/>
      <c r="E1525" s="2996">
        <f t="shared" si="241"/>
        <v>1</v>
      </c>
      <c r="F1525" s="2994"/>
      <c r="G1525" s="2996">
        <f t="shared" si="242"/>
        <v>1</v>
      </c>
      <c r="H1525" s="2994"/>
      <c r="I1525" s="2996">
        <f t="shared" si="243"/>
        <v>1</v>
      </c>
      <c r="J1525" s="2994"/>
      <c r="K1525" s="2996">
        <f t="shared" si="244"/>
        <v>1</v>
      </c>
      <c r="L1525" s="2994"/>
      <c r="M1525" s="2996">
        <f t="shared" si="245"/>
        <v>1</v>
      </c>
      <c r="N1525" s="2994"/>
      <c r="O1525" s="2996">
        <f t="shared" si="246"/>
        <v>1</v>
      </c>
      <c r="P1525" s="2994"/>
      <c r="Q1525" s="2996">
        <f t="shared" si="247"/>
        <v>1</v>
      </c>
      <c r="R1525" s="2997">
        <f t="shared" ca="1" si="248"/>
        <v>17087</v>
      </c>
      <c r="S1525" s="2962">
        <f t="shared" ca="1" si="249"/>
        <v>322</v>
      </c>
    </row>
    <row r="1526" spans="1:19">
      <c r="A1526" s="2992" t="str">
        <f>Sheet1!F1507</f>
        <v>2-1716</v>
      </c>
      <c r="B1526" s="2992">
        <f>Sheet1!G1507</f>
        <v>188.43</v>
      </c>
      <c r="C1526" s="2996">
        <f t="shared" si="240"/>
        <v>0.99</v>
      </c>
      <c r="D1526" s="2994"/>
      <c r="E1526" s="2996">
        <f t="shared" si="241"/>
        <v>1</v>
      </c>
      <c r="F1526" s="2994"/>
      <c r="G1526" s="2996">
        <f t="shared" si="242"/>
        <v>1</v>
      </c>
      <c r="H1526" s="2994"/>
      <c r="I1526" s="2996">
        <f t="shared" si="243"/>
        <v>1</v>
      </c>
      <c r="J1526" s="2994"/>
      <c r="K1526" s="2996">
        <f t="shared" si="244"/>
        <v>1</v>
      </c>
      <c r="L1526" s="2994"/>
      <c r="M1526" s="2996">
        <f t="shared" si="245"/>
        <v>1</v>
      </c>
      <c r="N1526" s="2994"/>
      <c r="O1526" s="2996">
        <f t="shared" si="246"/>
        <v>1</v>
      </c>
      <c r="P1526" s="2994"/>
      <c r="Q1526" s="2996">
        <f t="shared" si="247"/>
        <v>1</v>
      </c>
      <c r="R1526" s="2997">
        <f t="shared" ca="1" si="248"/>
        <v>17087</v>
      </c>
      <c r="S1526" s="2962">
        <f t="shared" ca="1" si="249"/>
        <v>322</v>
      </c>
    </row>
    <row r="1527" spans="1:19">
      <c r="A1527" s="2992" t="str">
        <f>Sheet1!F1508</f>
        <v>2-1717</v>
      </c>
      <c r="B1527" s="2992">
        <f>Sheet1!G1508</f>
        <v>188.38</v>
      </c>
      <c r="C1527" s="2996">
        <f t="shared" si="240"/>
        <v>0.99</v>
      </c>
      <c r="D1527" s="2994"/>
      <c r="E1527" s="2996">
        <f t="shared" si="241"/>
        <v>1</v>
      </c>
      <c r="F1527" s="2994"/>
      <c r="G1527" s="2996">
        <f t="shared" si="242"/>
        <v>1</v>
      </c>
      <c r="H1527" s="2994"/>
      <c r="I1527" s="2996">
        <f t="shared" si="243"/>
        <v>1</v>
      </c>
      <c r="J1527" s="2994"/>
      <c r="K1527" s="2996">
        <f t="shared" si="244"/>
        <v>1</v>
      </c>
      <c r="L1527" s="2994"/>
      <c r="M1527" s="2996">
        <f t="shared" si="245"/>
        <v>1</v>
      </c>
      <c r="N1527" s="2994"/>
      <c r="O1527" s="2996">
        <f t="shared" si="246"/>
        <v>1</v>
      </c>
      <c r="P1527" s="2994"/>
      <c r="Q1527" s="2996">
        <f t="shared" si="247"/>
        <v>1</v>
      </c>
      <c r="R1527" s="2997">
        <f t="shared" ca="1" si="248"/>
        <v>17087</v>
      </c>
      <c r="S1527" s="2962">
        <f t="shared" ca="1" si="249"/>
        <v>322</v>
      </c>
    </row>
    <row r="1528" spans="1:19">
      <c r="A1528" s="2992" t="str">
        <f>Sheet1!F1509</f>
        <v>2-1718</v>
      </c>
      <c r="B1528" s="2992">
        <f>Sheet1!G1509</f>
        <v>208.95</v>
      </c>
      <c r="C1528" s="2996">
        <f t="shared" si="240"/>
        <v>0.98</v>
      </c>
      <c r="D1528" s="2994"/>
      <c r="E1528" s="2996">
        <f t="shared" si="241"/>
        <v>1</v>
      </c>
      <c r="F1528" s="2994"/>
      <c r="G1528" s="2996">
        <f t="shared" si="242"/>
        <v>1</v>
      </c>
      <c r="H1528" s="2994"/>
      <c r="I1528" s="2996">
        <f t="shared" si="243"/>
        <v>1</v>
      </c>
      <c r="J1528" s="2994"/>
      <c r="K1528" s="2996">
        <f t="shared" si="244"/>
        <v>1</v>
      </c>
      <c r="L1528" s="2994"/>
      <c r="M1528" s="2996">
        <f t="shared" si="245"/>
        <v>1</v>
      </c>
      <c r="N1528" s="2994"/>
      <c r="O1528" s="2996">
        <f t="shared" si="246"/>
        <v>1</v>
      </c>
      <c r="P1528" s="2994"/>
      <c r="Q1528" s="2996">
        <f t="shared" si="247"/>
        <v>1</v>
      </c>
      <c r="R1528" s="2997">
        <f t="shared" ca="1" si="248"/>
        <v>16915</v>
      </c>
      <c r="S1528" s="2962">
        <f t="shared" ca="1" si="249"/>
        <v>353</v>
      </c>
    </row>
    <row r="1529" spans="1:19">
      <c r="A1529" s="2992" t="str">
        <f>Sheet1!F1510</f>
        <v>2-1719</v>
      </c>
      <c r="B1529" s="2992">
        <f>Sheet1!G1510</f>
        <v>189.85</v>
      </c>
      <c r="C1529" s="2996">
        <f t="shared" si="240"/>
        <v>0.99</v>
      </c>
      <c r="D1529" s="2994"/>
      <c r="E1529" s="2996">
        <f t="shared" si="241"/>
        <v>1</v>
      </c>
      <c r="F1529" s="2994"/>
      <c r="G1529" s="2996">
        <f t="shared" si="242"/>
        <v>1</v>
      </c>
      <c r="H1529" s="2994"/>
      <c r="I1529" s="2996">
        <f t="shared" si="243"/>
        <v>1</v>
      </c>
      <c r="J1529" s="2994"/>
      <c r="K1529" s="2996">
        <f t="shared" si="244"/>
        <v>1</v>
      </c>
      <c r="L1529" s="2994"/>
      <c r="M1529" s="2996">
        <f t="shared" si="245"/>
        <v>1</v>
      </c>
      <c r="N1529" s="2994"/>
      <c r="O1529" s="2996">
        <f t="shared" si="246"/>
        <v>1</v>
      </c>
      <c r="P1529" s="2994"/>
      <c r="Q1529" s="2996">
        <f t="shared" si="247"/>
        <v>1</v>
      </c>
      <c r="R1529" s="2997">
        <f t="shared" ca="1" si="248"/>
        <v>17087</v>
      </c>
      <c r="S1529" s="2962">
        <f t="shared" ca="1" si="249"/>
        <v>324</v>
      </c>
    </row>
    <row r="1530" spans="1:19">
      <c r="A1530" s="2992" t="str">
        <f>Sheet1!F1511</f>
        <v>2-1720</v>
      </c>
      <c r="B1530" s="2992">
        <f>Sheet1!G1511</f>
        <v>169.23</v>
      </c>
      <c r="C1530" s="2996">
        <f t="shared" si="240"/>
        <v>0.99</v>
      </c>
      <c r="D1530" s="2994"/>
      <c r="E1530" s="2996">
        <f t="shared" si="241"/>
        <v>1</v>
      </c>
      <c r="F1530" s="2994"/>
      <c r="G1530" s="2996">
        <f t="shared" si="242"/>
        <v>1</v>
      </c>
      <c r="H1530" s="2994"/>
      <c r="I1530" s="2996">
        <f t="shared" si="243"/>
        <v>1</v>
      </c>
      <c r="J1530" s="2994"/>
      <c r="K1530" s="2996">
        <f t="shared" si="244"/>
        <v>1</v>
      </c>
      <c r="L1530" s="2994"/>
      <c r="M1530" s="2996">
        <f t="shared" si="245"/>
        <v>1</v>
      </c>
      <c r="N1530" s="2994"/>
      <c r="O1530" s="2996">
        <f t="shared" si="246"/>
        <v>1</v>
      </c>
      <c r="P1530" s="2994"/>
      <c r="Q1530" s="2996">
        <f t="shared" si="247"/>
        <v>1</v>
      </c>
      <c r="R1530" s="2997">
        <f t="shared" ca="1" si="248"/>
        <v>17087</v>
      </c>
      <c r="S1530" s="2962">
        <f t="shared" ca="1" si="249"/>
        <v>289</v>
      </c>
    </row>
    <row r="1531" spans="1:19">
      <c r="A1531" s="2992" t="str">
        <f>Sheet1!F1512</f>
        <v>4-1701</v>
      </c>
      <c r="B1531" s="2992">
        <f>Sheet1!G1512</f>
        <v>65.760000000000005</v>
      </c>
      <c r="C1531" s="2996">
        <f t="shared" si="240"/>
        <v>1</v>
      </c>
      <c r="D1531" s="2994"/>
      <c r="E1531" s="2996">
        <f t="shared" si="241"/>
        <v>1</v>
      </c>
      <c r="F1531" s="2994"/>
      <c r="G1531" s="2996">
        <f t="shared" si="242"/>
        <v>1</v>
      </c>
      <c r="H1531" s="2994"/>
      <c r="I1531" s="2996">
        <f t="shared" si="243"/>
        <v>1</v>
      </c>
      <c r="J1531" s="2994"/>
      <c r="K1531" s="2996">
        <f t="shared" si="244"/>
        <v>1</v>
      </c>
      <c r="L1531" s="2994"/>
      <c r="M1531" s="2996">
        <f t="shared" si="245"/>
        <v>1</v>
      </c>
      <c r="N1531" s="2994"/>
      <c r="O1531" s="2996">
        <f t="shared" si="246"/>
        <v>1</v>
      </c>
      <c r="P1531" s="2994"/>
      <c r="Q1531" s="2996">
        <f t="shared" si="247"/>
        <v>1</v>
      </c>
      <c r="R1531" s="2997">
        <f t="shared" ca="1" si="248"/>
        <v>17260</v>
      </c>
      <c r="S1531" s="2962">
        <f t="shared" ca="1" si="249"/>
        <v>114</v>
      </c>
    </row>
    <row r="1532" spans="1:19">
      <c r="A1532" s="2992" t="str">
        <f>Sheet1!F1513</f>
        <v>4-1702</v>
      </c>
      <c r="B1532" s="2992">
        <f>Sheet1!G1513</f>
        <v>59.41</v>
      </c>
      <c r="C1532" s="2996">
        <f t="shared" si="240"/>
        <v>1</v>
      </c>
      <c r="D1532" s="2994"/>
      <c r="E1532" s="2996">
        <f t="shared" si="241"/>
        <v>1</v>
      </c>
      <c r="F1532" s="2994"/>
      <c r="G1532" s="2996">
        <f t="shared" si="242"/>
        <v>1</v>
      </c>
      <c r="H1532" s="2994"/>
      <c r="I1532" s="2996">
        <f t="shared" si="243"/>
        <v>1</v>
      </c>
      <c r="J1532" s="2994"/>
      <c r="K1532" s="2996">
        <f t="shared" si="244"/>
        <v>1</v>
      </c>
      <c r="L1532" s="2994"/>
      <c r="M1532" s="2996">
        <f t="shared" si="245"/>
        <v>1</v>
      </c>
      <c r="N1532" s="2994"/>
      <c r="O1532" s="2996">
        <f t="shared" si="246"/>
        <v>1</v>
      </c>
      <c r="P1532" s="2994"/>
      <c r="Q1532" s="2996">
        <f t="shared" si="247"/>
        <v>1</v>
      </c>
      <c r="R1532" s="2997">
        <f t="shared" ca="1" si="248"/>
        <v>17260</v>
      </c>
      <c r="S1532" s="2962">
        <f t="shared" ca="1" si="249"/>
        <v>103</v>
      </c>
    </row>
    <row r="1533" spans="1:19">
      <c r="A1533" s="2992" t="str">
        <f>Sheet1!F1514</f>
        <v>4-1703</v>
      </c>
      <c r="B1533" s="2992">
        <f>Sheet1!G1514</f>
        <v>60.69</v>
      </c>
      <c r="C1533" s="2996">
        <f t="shared" si="240"/>
        <v>1</v>
      </c>
      <c r="D1533" s="2994"/>
      <c r="E1533" s="2996">
        <f t="shared" si="241"/>
        <v>1</v>
      </c>
      <c r="F1533" s="2994"/>
      <c r="G1533" s="2996">
        <f t="shared" si="242"/>
        <v>1</v>
      </c>
      <c r="H1533" s="2994"/>
      <c r="I1533" s="2996">
        <f t="shared" si="243"/>
        <v>1</v>
      </c>
      <c r="J1533" s="2994"/>
      <c r="K1533" s="2996">
        <f t="shared" si="244"/>
        <v>1</v>
      </c>
      <c r="L1533" s="2994"/>
      <c r="M1533" s="2996">
        <f t="shared" si="245"/>
        <v>1</v>
      </c>
      <c r="N1533" s="2994"/>
      <c r="O1533" s="2996">
        <f t="shared" si="246"/>
        <v>1</v>
      </c>
      <c r="P1533" s="2994"/>
      <c r="Q1533" s="2996">
        <f t="shared" si="247"/>
        <v>1</v>
      </c>
      <c r="R1533" s="2997">
        <f t="shared" ca="1" si="248"/>
        <v>17260</v>
      </c>
      <c r="S1533" s="2962">
        <f t="shared" ca="1" si="249"/>
        <v>105</v>
      </c>
    </row>
    <row r="1534" spans="1:19">
      <c r="A1534" s="2992" t="str">
        <f>Sheet1!F1515</f>
        <v>4-1704</v>
      </c>
      <c r="B1534" s="2992">
        <f>Sheet1!G1515</f>
        <v>60.69</v>
      </c>
      <c r="C1534" s="2996">
        <f t="shared" si="240"/>
        <v>1</v>
      </c>
      <c r="D1534" s="2994"/>
      <c r="E1534" s="2996">
        <f t="shared" si="241"/>
        <v>1</v>
      </c>
      <c r="F1534" s="2994"/>
      <c r="G1534" s="2996">
        <f t="shared" si="242"/>
        <v>1</v>
      </c>
      <c r="H1534" s="2994"/>
      <c r="I1534" s="2996">
        <f t="shared" si="243"/>
        <v>1</v>
      </c>
      <c r="J1534" s="2994"/>
      <c r="K1534" s="2996">
        <f t="shared" si="244"/>
        <v>1</v>
      </c>
      <c r="L1534" s="2994"/>
      <c r="M1534" s="2996">
        <f t="shared" si="245"/>
        <v>1</v>
      </c>
      <c r="N1534" s="2994"/>
      <c r="O1534" s="2996">
        <f t="shared" si="246"/>
        <v>1</v>
      </c>
      <c r="P1534" s="2994"/>
      <c r="Q1534" s="2996">
        <f t="shared" si="247"/>
        <v>1</v>
      </c>
      <c r="R1534" s="2997">
        <f t="shared" ca="1" si="248"/>
        <v>17260</v>
      </c>
      <c r="S1534" s="2962">
        <f t="shared" ca="1" si="249"/>
        <v>105</v>
      </c>
    </row>
    <row r="1535" spans="1:19">
      <c r="A1535" s="2992" t="str">
        <f>Sheet1!F1516</f>
        <v>4-1705</v>
      </c>
      <c r="B1535" s="2992">
        <f>Sheet1!G1516</f>
        <v>60.69</v>
      </c>
      <c r="C1535" s="2996">
        <f t="shared" si="240"/>
        <v>1</v>
      </c>
      <c r="D1535" s="2994"/>
      <c r="E1535" s="2996">
        <f t="shared" si="241"/>
        <v>1</v>
      </c>
      <c r="F1535" s="2994"/>
      <c r="G1535" s="2996">
        <f t="shared" si="242"/>
        <v>1</v>
      </c>
      <c r="H1535" s="2994"/>
      <c r="I1535" s="2996">
        <f t="shared" si="243"/>
        <v>1</v>
      </c>
      <c r="J1535" s="2994"/>
      <c r="K1535" s="2996">
        <f t="shared" si="244"/>
        <v>1</v>
      </c>
      <c r="L1535" s="2994"/>
      <c r="M1535" s="2996">
        <f t="shared" si="245"/>
        <v>1</v>
      </c>
      <c r="N1535" s="2994"/>
      <c r="O1535" s="2996">
        <f t="shared" si="246"/>
        <v>1</v>
      </c>
      <c r="P1535" s="2994"/>
      <c r="Q1535" s="2996">
        <f t="shared" si="247"/>
        <v>1</v>
      </c>
      <c r="R1535" s="2997">
        <f t="shared" ca="1" si="248"/>
        <v>17260</v>
      </c>
      <c r="S1535" s="2962">
        <f t="shared" ca="1" si="249"/>
        <v>105</v>
      </c>
    </row>
    <row r="1536" spans="1:19">
      <c r="A1536" s="2992" t="str">
        <f>Sheet1!F1517</f>
        <v>4-1706</v>
      </c>
      <c r="B1536" s="2992">
        <f>Sheet1!G1517</f>
        <v>60.69</v>
      </c>
      <c r="C1536" s="2996">
        <f t="shared" si="240"/>
        <v>1</v>
      </c>
      <c r="D1536" s="2994"/>
      <c r="E1536" s="2996">
        <f t="shared" si="241"/>
        <v>1</v>
      </c>
      <c r="F1536" s="2994"/>
      <c r="G1536" s="2996">
        <f t="shared" si="242"/>
        <v>1</v>
      </c>
      <c r="H1536" s="2994"/>
      <c r="I1536" s="2996">
        <f t="shared" si="243"/>
        <v>1</v>
      </c>
      <c r="J1536" s="2994"/>
      <c r="K1536" s="2996">
        <f t="shared" si="244"/>
        <v>1</v>
      </c>
      <c r="L1536" s="2994"/>
      <c r="M1536" s="2996">
        <f t="shared" si="245"/>
        <v>1</v>
      </c>
      <c r="N1536" s="2994"/>
      <c r="O1536" s="2996">
        <f t="shared" si="246"/>
        <v>1</v>
      </c>
      <c r="P1536" s="2994"/>
      <c r="Q1536" s="2996">
        <f t="shared" si="247"/>
        <v>1</v>
      </c>
      <c r="R1536" s="2997">
        <f t="shared" ca="1" si="248"/>
        <v>17260</v>
      </c>
      <c r="S1536" s="2962">
        <f t="shared" ca="1" si="249"/>
        <v>105</v>
      </c>
    </row>
    <row r="1537" spans="1:19">
      <c r="A1537" s="2992" t="str">
        <f>Sheet1!F1518</f>
        <v>4-1707</v>
      </c>
      <c r="B1537" s="2992">
        <f>Sheet1!G1518</f>
        <v>60.69</v>
      </c>
      <c r="C1537" s="2996">
        <f t="shared" si="240"/>
        <v>1</v>
      </c>
      <c r="D1537" s="2994"/>
      <c r="E1537" s="2996">
        <f t="shared" si="241"/>
        <v>1</v>
      </c>
      <c r="F1537" s="2994"/>
      <c r="G1537" s="2996">
        <f t="shared" si="242"/>
        <v>1</v>
      </c>
      <c r="H1537" s="2994"/>
      <c r="I1537" s="2996">
        <f t="shared" si="243"/>
        <v>1</v>
      </c>
      <c r="J1537" s="2994"/>
      <c r="K1537" s="2996">
        <f t="shared" si="244"/>
        <v>1</v>
      </c>
      <c r="L1537" s="2994"/>
      <c r="M1537" s="2996">
        <f t="shared" si="245"/>
        <v>1</v>
      </c>
      <c r="N1537" s="2994"/>
      <c r="O1537" s="2996">
        <f t="shared" si="246"/>
        <v>1</v>
      </c>
      <c r="P1537" s="2994"/>
      <c r="Q1537" s="2996">
        <f t="shared" si="247"/>
        <v>1</v>
      </c>
      <c r="R1537" s="2997">
        <f t="shared" ca="1" si="248"/>
        <v>17260</v>
      </c>
      <c r="S1537" s="2962">
        <f t="shared" ca="1" si="249"/>
        <v>105</v>
      </c>
    </row>
    <row r="1538" spans="1:19">
      <c r="A1538" s="2992" t="str">
        <f>Sheet1!F1519</f>
        <v>4-1708</v>
      </c>
      <c r="B1538" s="2992">
        <f>Sheet1!G1519</f>
        <v>60.69</v>
      </c>
      <c r="C1538" s="2996">
        <f t="shared" si="240"/>
        <v>1</v>
      </c>
      <c r="D1538" s="2994"/>
      <c r="E1538" s="2996">
        <f t="shared" si="241"/>
        <v>1</v>
      </c>
      <c r="F1538" s="2994"/>
      <c r="G1538" s="2996">
        <f t="shared" si="242"/>
        <v>1</v>
      </c>
      <c r="H1538" s="2994"/>
      <c r="I1538" s="2996">
        <f t="shared" si="243"/>
        <v>1</v>
      </c>
      <c r="J1538" s="2994"/>
      <c r="K1538" s="2996">
        <f t="shared" si="244"/>
        <v>1</v>
      </c>
      <c r="L1538" s="2994"/>
      <c r="M1538" s="2996">
        <f t="shared" si="245"/>
        <v>1</v>
      </c>
      <c r="N1538" s="2994"/>
      <c r="O1538" s="2996">
        <f t="shared" si="246"/>
        <v>1</v>
      </c>
      <c r="P1538" s="2994"/>
      <c r="Q1538" s="2996">
        <f t="shared" si="247"/>
        <v>1</v>
      </c>
      <c r="R1538" s="2997">
        <f t="shared" ca="1" si="248"/>
        <v>17260</v>
      </c>
      <c r="S1538" s="2962">
        <f t="shared" ca="1" si="249"/>
        <v>105</v>
      </c>
    </row>
    <row r="1539" spans="1:19">
      <c r="A1539" s="2992" t="str">
        <f>Sheet1!F1520</f>
        <v>4-1709</v>
      </c>
      <c r="B1539" s="2992">
        <f>Sheet1!G1520</f>
        <v>60.69</v>
      </c>
      <c r="C1539" s="2996">
        <f t="shared" si="240"/>
        <v>1</v>
      </c>
      <c r="D1539" s="2994"/>
      <c r="E1539" s="2996">
        <f t="shared" si="241"/>
        <v>1</v>
      </c>
      <c r="F1539" s="2994"/>
      <c r="G1539" s="2996">
        <f t="shared" si="242"/>
        <v>1</v>
      </c>
      <c r="H1539" s="2994"/>
      <c r="I1539" s="2996">
        <f t="shared" si="243"/>
        <v>1</v>
      </c>
      <c r="J1539" s="2994"/>
      <c r="K1539" s="2996">
        <f t="shared" si="244"/>
        <v>1</v>
      </c>
      <c r="L1539" s="2994"/>
      <c r="M1539" s="2996">
        <f t="shared" si="245"/>
        <v>1</v>
      </c>
      <c r="N1539" s="2994"/>
      <c r="O1539" s="2996">
        <f t="shared" si="246"/>
        <v>1</v>
      </c>
      <c r="P1539" s="2994"/>
      <c r="Q1539" s="2996">
        <f t="shared" si="247"/>
        <v>1</v>
      </c>
      <c r="R1539" s="2997">
        <f t="shared" ca="1" si="248"/>
        <v>17260</v>
      </c>
      <c r="S1539" s="2962">
        <f t="shared" ca="1" si="249"/>
        <v>105</v>
      </c>
    </row>
    <row r="1540" spans="1:19">
      <c r="A1540" s="2992" t="str">
        <f>Sheet1!F1521</f>
        <v>4-1710</v>
      </c>
      <c r="B1540" s="2992">
        <f>Sheet1!G1521</f>
        <v>60.69</v>
      </c>
      <c r="C1540" s="2996">
        <f t="shared" si="240"/>
        <v>1</v>
      </c>
      <c r="D1540" s="2994"/>
      <c r="E1540" s="2996">
        <f t="shared" si="241"/>
        <v>1</v>
      </c>
      <c r="F1540" s="2994"/>
      <c r="G1540" s="2996">
        <f t="shared" si="242"/>
        <v>1</v>
      </c>
      <c r="H1540" s="2994"/>
      <c r="I1540" s="2996">
        <f t="shared" si="243"/>
        <v>1</v>
      </c>
      <c r="J1540" s="2994"/>
      <c r="K1540" s="2996">
        <f t="shared" si="244"/>
        <v>1</v>
      </c>
      <c r="L1540" s="2994"/>
      <c r="M1540" s="2996">
        <f t="shared" si="245"/>
        <v>1</v>
      </c>
      <c r="N1540" s="2994"/>
      <c r="O1540" s="2996">
        <f t="shared" si="246"/>
        <v>1</v>
      </c>
      <c r="P1540" s="2994"/>
      <c r="Q1540" s="2996">
        <f t="shared" si="247"/>
        <v>1</v>
      </c>
      <c r="R1540" s="2997">
        <f t="shared" ca="1" si="248"/>
        <v>17260</v>
      </c>
      <c r="S1540" s="2962">
        <f t="shared" ca="1" si="249"/>
        <v>105</v>
      </c>
    </row>
    <row r="1541" spans="1:19">
      <c r="A1541" s="2992" t="str">
        <f>Sheet1!F1522</f>
        <v>4-1711</v>
      </c>
      <c r="B1541" s="2992">
        <f>Sheet1!G1522</f>
        <v>60.69</v>
      </c>
      <c r="C1541" s="2996">
        <f t="shared" si="240"/>
        <v>1</v>
      </c>
      <c r="D1541" s="2994"/>
      <c r="E1541" s="2996">
        <f t="shared" si="241"/>
        <v>1</v>
      </c>
      <c r="F1541" s="2994"/>
      <c r="G1541" s="2996">
        <f t="shared" si="242"/>
        <v>1</v>
      </c>
      <c r="H1541" s="2994"/>
      <c r="I1541" s="2996">
        <f t="shared" si="243"/>
        <v>1</v>
      </c>
      <c r="J1541" s="2994"/>
      <c r="K1541" s="2996">
        <f t="shared" si="244"/>
        <v>1</v>
      </c>
      <c r="L1541" s="2994"/>
      <c r="M1541" s="2996">
        <f t="shared" si="245"/>
        <v>1</v>
      </c>
      <c r="N1541" s="2994"/>
      <c r="O1541" s="2996">
        <f t="shared" si="246"/>
        <v>1</v>
      </c>
      <c r="P1541" s="2994"/>
      <c r="Q1541" s="2996">
        <f t="shared" si="247"/>
        <v>1</v>
      </c>
      <c r="R1541" s="2997">
        <f t="shared" ca="1" si="248"/>
        <v>17260</v>
      </c>
      <c r="S1541" s="2962">
        <f t="shared" ca="1" si="249"/>
        <v>105</v>
      </c>
    </row>
    <row r="1542" spans="1:19">
      <c r="A1542" s="2992" t="str">
        <f>Sheet1!F1523</f>
        <v>4-1712</v>
      </c>
      <c r="B1542" s="2992">
        <f>Sheet1!G1523</f>
        <v>54.3</v>
      </c>
      <c r="C1542" s="2996">
        <f t="shared" si="240"/>
        <v>1</v>
      </c>
      <c r="D1542" s="2994"/>
      <c r="E1542" s="2996">
        <f t="shared" si="241"/>
        <v>1</v>
      </c>
      <c r="F1542" s="2994"/>
      <c r="G1542" s="2996">
        <f t="shared" si="242"/>
        <v>1</v>
      </c>
      <c r="H1542" s="2994"/>
      <c r="I1542" s="2996">
        <f t="shared" si="243"/>
        <v>1</v>
      </c>
      <c r="J1542" s="2994"/>
      <c r="K1542" s="2996">
        <f t="shared" si="244"/>
        <v>1</v>
      </c>
      <c r="L1542" s="2994"/>
      <c r="M1542" s="2996">
        <f t="shared" si="245"/>
        <v>1</v>
      </c>
      <c r="N1542" s="2994"/>
      <c r="O1542" s="2996">
        <f t="shared" si="246"/>
        <v>1</v>
      </c>
      <c r="P1542" s="2994"/>
      <c r="Q1542" s="2996">
        <f t="shared" si="247"/>
        <v>1</v>
      </c>
      <c r="R1542" s="2997">
        <f t="shared" ca="1" si="248"/>
        <v>17260</v>
      </c>
      <c r="S1542" s="2962">
        <f t="shared" ca="1" si="249"/>
        <v>94</v>
      </c>
    </row>
    <row r="1543" spans="1:19">
      <c r="A1543" s="2992" t="str">
        <f>Sheet1!F1524</f>
        <v>4-1713</v>
      </c>
      <c r="B1543" s="2992">
        <f>Sheet1!G1524</f>
        <v>60.68</v>
      </c>
      <c r="C1543" s="2996">
        <f t="shared" si="240"/>
        <v>1</v>
      </c>
      <c r="D1543" s="2994"/>
      <c r="E1543" s="2996">
        <f t="shared" si="241"/>
        <v>1</v>
      </c>
      <c r="F1543" s="2994"/>
      <c r="G1543" s="2996">
        <f t="shared" si="242"/>
        <v>1</v>
      </c>
      <c r="H1543" s="2994"/>
      <c r="I1543" s="2996">
        <f t="shared" si="243"/>
        <v>1</v>
      </c>
      <c r="J1543" s="2994"/>
      <c r="K1543" s="2996">
        <f t="shared" si="244"/>
        <v>1</v>
      </c>
      <c r="L1543" s="2994"/>
      <c r="M1543" s="2996">
        <f t="shared" si="245"/>
        <v>1</v>
      </c>
      <c r="N1543" s="2994"/>
      <c r="O1543" s="2996">
        <f t="shared" si="246"/>
        <v>1</v>
      </c>
      <c r="P1543" s="2994"/>
      <c r="Q1543" s="2996">
        <f t="shared" si="247"/>
        <v>1</v>
      </c>
      <c r="R1543" s="2997">
        <f t="shared" ca="1" si="248"/>
        <v>17260</v>
      </c>
      <c r="S1543" s="2962">
        <f t="shared" ca="1" si="249"/>
        <v>105</v>
      </c>
    </row>
    <row r="1544" spans="1:19">
      <c r="A1544" s="2992" t="str">
        <f>Sheet1!F1525</f>
        <v>4-1714</v>
      </c>
      <c r="B1544" s="2992">
        <f>Sheet1!G1525</f>
        <v>80.459999999999994</v>
      </c>
      <c r="C1544" s="2996">
        <f t="shared" si="240"/>
        <v>1</v>
      </c>
      <c r="D1544" s="2994"/>
      <c r="E1544" s="2996">
        <f t="shared" si="241"/>
        <v>1</v>
      </c>
      <c r="F1544" s="2994"/>
      <c r="G1544" s="2996">
        <f t="shared" si="242"/>
        <v>1</v>
      </c>
      <c r="H1544" s="2994"/>
      <c r="I1544" s="2996">
        <f t="shared" si="243"/>
        <v>1</v>
      </c>
      <c r="J1544" s="2994"/>
      <c r="K1544" s="2996">
        <f t="shared" si="244"/>
        <v>1</v>
      </c>
      <c r="L1544" s="2994"/>
      <c r="M1544" s="2996">
        <f t="shared" si="245"/>
        <v>1</v>
      </c>
      <c r="N1544" s="2994"/>
      <c r="O1544" s="2996">
        <f t="shared" si="246"/>
        <v>1</v>
      </c>
      <c r="P1544" s="2994"/>
      <c r="Q1544" s="2996">
        <f t="shared" si="247"/>
        <v>1</v>
      </c>
      <c r="R1544" s="2997">
        <f t="shared" ca="1" si="248"/>
        <v>17260</v>
      </c>
      <c r="S1544" s="2962">
        <f t="shared" ca="1" si="249"/>
        <v>139</v>
      </c>
    </row>
    <row r="1545" spans="1:19">
      <c r="A1545" s="2992" t="str">
        <f>Sheet1!F1526</f>
        <v>4-1715</v>
      </c>
      <c r="B1545" s="2992">
        <f>Sheet1!G1526</f>
        <v>80.45</v>
      </c>
      <c r="C1545" s="2996">
        <f t="shared" si="240"/>
        <v>1</v>
      </c>
      <c r="D1545" s="2994"/>
      <c r="E1545" s="2996">
        <f t="shared" si="241"/>
        <v>1</v>
      </c>
      <c r="F1545" s="2994"/>
      <c r="G1545" s="2996">
        <f t="shared" si="242"/>
        <v>1</v>
      </c>
      <c r="H1545" s="2994"/>
      <c r="I1545" s="2996">
        <f t="shared" si="243"/>
        <v>1</v>
      </c>
      <c r="J1545" s="2994"/>
      <c r="K1545" s="2996">
        <f t="shared" si="244"/>
        <v>1</v>
      </c>
      <c r="L1545" s="2994"/>
      <c r="M1545" s="2996">
        <f t="shared" si="245"/>
        <v>1</v>
      </c>
      <c r="N1545" s="2994"/>
      <c r="O1545" s="2996">
        <f t="shared" si="246"/>
        <v>1</v>
      </c>
      <c r="P1545" s="2994"/>
      <c r="Q1545" s="2996">
        <f t="shared" si="247"/>
        <v>1</v>
      </c>
      <c r="R1545" s="2997">
        <f t="shared" ca="1" si="248"/>
        <v>17260</v>
      </c>
      <c r="S1545" s="2962">
        <f t="shared" ca="1" si="249"/>
        <v>139</v>
      </c>
    </row>
    <row r="1546" spans="1:19">
      <c r="A1546" s="2992" t="str">
        <f>Sheet1!F1527</f>
        <v>4-1716</v>
      </c>
      <c r="B1546" s="2992">
        <f>Sheet1!G1527</f>
        <v>60.69</v>
      </c>
      <c r="C1546" s="2996">
        <f t="shared" si="240"/>
        <v>1</v>
      </c>
      <c r="D1546" s="2994"/>
      <c r="E1546" s="2996">
        <f t="shared" si="241"/>
        <v>1</v>
      </c>
      <c r="F1546" s="2994"/>
      <c r="G1546" s="2996">
        <f t="shared" si="242"/>
        <v>1</v>
      </c>
      <c r="H1546" s="2994"/>
      <c r="I1546" s="2996">
        <f t="shared" si="243"/>
        <v>1</v>
      </c>
      <c r="J1546" s="2994"/>
      <c r="K1546" s="2996">
        <f t="shared" si="244"/>
        <v>1</v>
      </c>
      <c r="L1546" s="2994"/>
      <c r="M1546" s="2996">
        <f t="shared" si="245"/>
        <v>1</v>
      </c>
      <c r="N1546" s="2994"/>
      <c r="O1546" s="2996">
        <f t="shared" si="246"/>
        <v>1</v>
      </c>
      <c r="P1546" s="2994"/>
      <c r="Q1546" s="2996">
        <f t="shared" si="247"/>
        <v>1</v>
      </c>
      <c r="R1546" s="2997">
        <f t="shared" ca="1" si="248"/>
        <v>17260</v>
      </c>
      <c r="S1546" s="2962">
        <f t="shared" ca="1" si="249"/>
        <v>105</v>
      </c>
    </row>
    <row r="1547" spans="1:19">
      <c r="A1547" s="2992" t="str">
        <f>Sheet1!F1528</f>
        <v>4-1717</v>
      </c>
      <c r="B1547" s="2992">
        <f>Sheet1!G1528</f>
        <v>60.69</v>
      </c>
      <c r="C1547" s="2996">
        <f t="shared" si="240"/>
        <v>1</v>
      </c>
      <c r="D1547" s="2994"/>
      <c r="E1547" s="2996">
        <f t="shared" si="241"/>
        <v>1</v>
      </c>
      <c r="F1547" s="2994"/>
      <c r="G1547" s="2996">
        <f t="shared" si="242"/>
        <v>1</v>
      </c>
      <c r="H1547" s="2994"/>
      <c r="I1547" s="2996">
        <f t="shared" si="243"/>
        <v>1</v>
      </c>
      <c r="J1547" s="2994"/>
      <c r="K1547" s="2996">
        <f t="shared" si="244"/>
        <v>1</v>
      </c>
      <c r="L1547" s="2994"/>
      <c r="M1547" s="2996">
        <f t="shared" si="245"/>
        <v>1</v>
      </c>
      <c r="N1547" s="2994"/>
      <c r="O1547" s="2996">
        <f t="shared" si="246"/>
        <v>1</v>
      </c>
      <c r="P1547" s="2994"/>
      <c r="Q1547" s="2996">
        <f t="shared" si="247"/>
        <v>1</v>
      </c>
      <c r="R1547" s="2997">
        <f t="shared" ca="1" si="248"/>
        <v>17260</v>
      </c>
      <c r="S1547" s="2962">
        <f t="shared" ca="1" si="249"/>
        <v>105</v>
      </c>
    </row>
    <row r="1548" spans="1:19">
      <c r="A1548" s="2992" t="str">
        <f>Sheet1!F1529</f>
        <v>4-1718</v>
      </c>
      <c r="B1548" s="2992">
        <f>Sheet1!G1529</f>
        <v>60.68</v>
      </c>
      <c r="C1548" s="2996">
        <f t="shared" si="240"/>
        <v>1</v>
      </c>
      <c r="D1548" s="2994"/>
      <c r="E1548" s="2996">
        <f t="shared" si="241"/>
        <v>1</v>
      </c>
      <c r="F1548" s="2994"/>
      <c r="G1548" s="2996">
        <f t="shared" si="242"/>
        <v>1</v>
      </c>
      <c r="H1548" s="2994"/>
      <c r="I1548" s="2996">
        <f t="shared" si="243"/>
        <v>1</v>
      </c>
      <c r="J1548" s="2994"/>
      <c r="K1548" s="2996">
        <f t="shared" si="244"/>
        <v>1</v>
      </c>
      <c r="L1548" s="2994"/>
      <c r="M1548" s="2996">
        <f t="shared" si="245"/>
        <v>1</v>
      </c>
      <c r="N1548" s="2994"/>
      <c r="O1548" s="2996">
        <f t="shared" si="246"/>
        <v>1</v>
      </c>
      <c r="P1548" s="2994"/>
      <c r="Q1548" s="2996">
        <f t="shared" si="247"/>
        <v>1</v>
      </c>
      <c r="R1548" s="2997">
        <f t="shared" ca="1" si="248"/>
        <v>17260</v>
      </c>
      <c r="S1548" s="2962">
        <f t="shared" ca="1" si="249"/>
        <v>105</v>
      </c>
    </row>
    <row r="1549" spans="1:19">
      <c r="A1549" s="2992" t="str">
        <f>Sheet1!F1530</f>
        <v>4-1719</v>
      </c>
      <c r="B1549" s="2992">
        <f>Sheet1!G1530</f>
        <v>60.69</v>
      </c>
      <c r="C1549" s="2996">
        <f t="shared" ref="C1549:C1577" si="250">IF(B1549="",1,(LOOKUP(B1549,$3:$3,$4:$4)-LOOKUP($B$24,$3:$3,$4:$4)+100)/100)</f>
        <v>1</v>
      </c>
      <c r="D1549" s="2994"/>
      <c r="E1549" s="2996">
        <f t="shared" ref="E1549:E1577" si="251">(SUMIF($5:$5,D1549,$6:$6)-SUMIF($5:$5,$D$24,$6:$6)+100)/100</f>
        <v>1</v>
      </c>
      <c r="F1549" s="2994"/>
      <c r="G1549" s="2996">
        <f t="shared" ref="G1549:G1577" si="252">(SUMIF($7:$7,F1549,$8:$8)-SUMIF($7:$7,$F$24,$8:$8)+100)/100</f>
        <v>1</v>
      </c>
      <c r="H1549" s="2994"/>
      <c r="I1549" s="2996">
        <f t="shared" ref="I1549:I1577" si="253">(SUMIF($9:$9,H1549,$10:$10)-SUMIF($9:$9,$H$24,$10:$10)+100)/100</f>
        <v>1</v>
      </c>
      <c r="J1549" s="2994"/>
      <c r="K1549" s="2996">
        <f t="shared" ref="K1549:K1577" si="254">(SUMIF($11:$11,J1549,$12:$12)-SUMIF($11:$11,$J$24,$12:$12)+100)/100</f>
        <v>1</v>
      </c>
      <c r="L1549" s="2994"/>
      <c r="M1549" s="2996">
        <f t="shared" ref="M1549:M1577" si="255">(SUMIF($13:$13,L1549,$14:$14)-SUMIF($13:$13,$L$24,$14:$14)+100)/100</f>
        <v>1</v>
      </c>
      <c r="N1549" s="2994"/>
      <c r="O1549" s="2996">
        <f t="shared" ref="O1549:O1577" si="256">(SUMIF($15:$15,N1549,$16:$16)-SUMIF($15:$15,$N$24,$16:$16)+100)/100</f>
        <v>1</v>
      </c>
      <c r="P1549" s="2994"/>
      <c r="Q1549" s="2996">
        <f t="shared" ref="Q1549:Q1577" si="257">(SUMIF($17:$17,P1549,$18:$18)-SUMIF($17:$17,$P$24,$18:$18)+100)/100</f>
        <v>1</v>
      </c>
      <c r="R1549" s="2997">
        <f t="shared" ref="R1549:R1577" ca="1" si="258">IF(B1549="",0,ROUND($R$24*C1549*E1549*G1549*I1549*K1549*M1549*O1549*Q1549,0))</f>
        <v>17260</v>
      </c>
      <c r="S1549" s="2962">
        <f t="shared" ref="S1549:S1577" ca="1" si="259">ROUND(R1549*B1549/10000,0)</f>
        <v>105</v>
      </c>
    </row>
    <row r="1550" spans="1:19">
      <c r="A1550" s="2992" t="str">
        <f>Sheet1!F1531</f>
        <v>4-1720</v>
      </c>
      <c r="B1550" s="2992">
        <f>Sheet1!G1531</f>
        <v>60.69</v>
      </c>
      <c r="C1550" s="2996">
        <f t="shared" si="250"/>
        <v>1</v>
      </c>
      <c r="D1550" s="2994"/>
      <c r="E1550" s="2996">
        <f t="shared" si="251"/>
        <v>1</v>
      </c>
      <c r="F1550" s="2994"/>
      <c r="G1550" s="2996">
        <f t="shared" si="252"/>
        <v>1</v>
      </c>
      <c r="H1550" s="2994"/>
      <c r="I1550" s="2996">
        <f t="shared" si="253"/>
        <v>1</v>
      </c>
      <c r="J1550" s="2994"/>
      <c r="K1550" s="2996">
        <f t="shared" si="254"/>
        <v>1</v>
      </c>
      <c r="L1550" s="2994"/>
      <c r="M1550" s="2996">
        <f t="shared" si="255"/>
        <v>1</v>
      </c>
      <c r="N1550" s="2994"/>
      <c r="O1550" s="2996">
        <f t="shared" si="256"/>
        <v>1</v>
      </c>
      <c r="P1550" s="2994"/>
      <c r="Q1550" s="2996">
        <f t="shared" si="257"/>
        <v>1</v>
      </c>
      <c r="R1550" s="2997">
        <f t="shared" ca="1" si="258"/>
        <v>17260</v>
      </c>
      <c r="S1550" s="2962">
        <f t="shared" ca="1" si="259"/>
        <v>105</v>
      </c>
    </row>
    <row r="1551" spans="1:19">
      <c r="A1551" s="2992" t="str">
        <f>Sheet1!F1532</f>
        <v>4-1721</v>
      </c>
      <c r="B1551" s="2992">
        <f>Sheet1!G1532</f>
        <v>60.69</v>
      </c>
      <c r="C1551" s="2996">
        <f t="shared" si="250"/>
        <v>1</v>
      </c>
      <c r="D1551" s="2994"/>
      <c r="E1551" s="2996">
        <f t="shared" si="251"/>
        <v>1</v>
      </c>
      <c r="F1551" s="2994"/>
      <c r="G1551" s="2996">
        <f t="shared" si="252"/>
        <v>1</v>
      </c>
      <c r="H1551" s="2994"/>
      <c r="I1551" s="2996">
        <f t="shared" si="253"/>
        <v>1</v>
      </c>
      <c r="J1551" s="2994"/>
      <c r="K1551" s="2996">
        <f t="shared" si="254"/>
        <v>1</v>
      </c>
      <c r="L1551" s="2994"/>
      <c r="M1551" s="2996">
        <f t="shared" si="255"/>
        <v>1</v>
      </c>
      <c r="N1551" s="2994"/>
      <c r="O1551" s="2996">
        <f t="shared" si="256"/>
        <v>1</v>
      </c>
      <c r="P1551" s="2994"/>
      <c r="Q1551" s="2996">
        <f t="shared" si="257"/>
        <v>1</v>
      </c>
      <c r="R1551" s="2997">
        <f t="shared" ca="1" si="258"/>
        <v>17260</v>
      </c>
      <c r="S1551" s="2962">
        <f t="shared" ca="1" si="259"/>
        <v>105</v>
      </c>
    </row>
    <row r="1552" spans="1:19">
      <c r="A1552" s="2992" t="str">
        <f>Sheet1!F1533</f>
        <v>4-1722</v>
      </c>
      <c r="B1552" s="2992">
        <f>Sheet1!G1533</f>
        <v>60.69</v>
      </c>
      <c r="C1552" s="2996">
        <f t="shared" si="250"/>
        <v>1</v>
      </c>
      <c r="D1552" s="2994"/>
      <c r="E1552" s="2996">
        <f t="shared" si="251"/>
        <v>1</v>
      </c>
      <c r="F1552" s="2994"/>
      <c r="G1552" s="2996">
        <f t="shared" si="252"/>
        <v>1</v>
      </c>
      <c r="H1552" s="2994"/>
      <c r="I1552" s="2996">
        <f t="shared" si="253"/>
        <v>1</v>
      </c>
      <c r="J1552" s="2994"/>
      <c r="K1552" s="2996">
        <f t="shared" si="254"/>
        <v>1</v>
      </c>
      <c r="L1552" s="2994"/>
      <c r="M1552" s="2996">
        <f t="shared" si="255"/>
        <v>1</v>
      </c>
      <c r="N1552" s="2994"/>
      <c r="O1552" s="2996">
        <f t="shared" si="256"/>
        <v>1</v>
      </c>
      <c r="P1552" s="2994"/>
      <c r="Q1552" s="2996">
        <f t="shared" si="257"/>
        <v>1</v>
      </c>
      <c r="R1552" s="2997">
        <f t="shared" ca="1" si="258"/>
        <v>17260</v>
      </c>
      <c r="S1552" s="2962">
        <f t="shared" ca="1" si="259"/>
        <v>105</v>
      </c>
    </row>
    <row r="1553" spans="1:19">
      <c r="A1553" s="2992" t="str">
        <f>Sheet1!F1534</f>
        <v>4-1723</v>
      </c>
      <c r="B1553" s="2992">
        <f>Sheet1!G1534</f>
        <v>60.69</v>
      </c>
      <c r="C1553" s="2996">
        <f t="shared" si="250"/>
        <v>1</v>
      </c>
      <c r="D1553" s="2994"/>
      <c r="E1553" s="2996">
        <f t="shared" si="251"/>
        <v>1</v>
      </c>
      <c r="F1553" s="2994"/>
      <c r="G1553" s="2996">
        <f t="shared" si="252"/>
        <v>1</v>
      </c>
      <c r="H1553" s="2994"/>
      <c r="I1553" s="2996">
        <f t="shared" si="253"/>
        <v>1</v>
      </c>
      <c r="J1553" s="2994"/>
      <c r="K1553" s="2996">
        <f t="shared" si="254"/>
        <v>1</v>
      </c>
      <c r="L1553" s="2994"/>
      <c r="M1553" s="2996">
        <f t="shared" si="255"/>
        <v>1</v>
      </c>
      <c r="N1553" s="2994"/>
      <c r="O1553" s="2996">
        <f t="shared" si="256"/>
        <v>1</v>
      </c>
      <c r="P1553" s="2994"/>
      <c r="Q1553" s="2996">
        <f t="shared" si="257"/>
        <v>1</v>
      </c>
      <c r="R1553" s="2997">
        <f t="shared" ca="1" si="258"/>
        <v>17260</v>
      </c>
      <c r="S1553" s="2962">
        <f t="shared" ca="1" si="259"/>
        <v>105</v>
      </c>
    </row>
    <row r="1554" spans="1:19">
      <c r="A1554" s="2992" t="str">
        <f>Sheet1!F1535</f>
        <v>4-1724</v>
      </c>
      <c r="B1554" s="2992">
        <f>Sheet1!G1535</f>
        <v>60.69</v>
      </c>
      <c r="C1554" s="2996">
        <f t="shared" si="250"/>
        <v>1</v>
      </c>
      <c r="D1554" s="2994"/>
      <c r="E1554" s="2996">
        <f t="shared" si="251"/>
        <v>1</v>
      </c>
      <c r="F1554" s="2994"/>
      <c r="G1554" s="2996">
        <f t="shared" si="252"/>
        <v>1</v>
      </c>
      <c r="H1554" s="2994"/>
      <c r="I1554" s="2996">
        <f t="shared" si="253"/>
        <v>1</v>
      </c>
      <c r="J1554" s="2994"/>
      <c r="K1554" s="2996">
        <f t="shared" si="254"/>
        <v>1</v>
      </c>
      <c r="L1554" s="2994"/>
      <c r="M1554" s="2996">
        <f t="shared" si="255"/>
        <v>1</v>
      </c>
      <c r="N1554" s="2994"/>
      <c r="O1554" s="2996">
        <f t="shared" si="256"/>
        <v>1</v>
      </c>
      <c r="P1554" s="2994"/>
      <c r="Q1554" s="2996">
        <f t="shared" si="257"/>
        <v>1</v>
      </c>
      <c r="R1554" s="2997">
        <f t="shared" ca="1" si="258"/>
        <v>17260</v>
      </c>
      <c r="S1554" s="2962">
        <f t="shared" ca="1" si="259"/>
        <v>105</v>
      </c>
    </row>
    <row r="1555" spans="1:19">
      <c r="A1555" s="2992" t="str">
        <f>Sheet1!F1536</f>
        <v>4-1725</v>
      </c>
      <c r="B1555" s="2992">
        <f>Sheet1!G1536</f>
        <v>60.69</v>
      </c>
      <c r="C1555" s="2996">
        <f t="shared" si="250"/>
        <v>1</v>
      </c>
      <c r="D1555" s="2994"/>
      <c r="E1555" s="2996">
        <f t="shared" si="251"/>
        <v>1</v>
      </c>
      <c r="F1555" s="2994"/>
      <c r="G1555" s="2996">
        <f t="shared" si="252"/>
        <v>1</v>
      </c>
      <c r="H1555" s="2994"/>
      <c r="I1555" s="2996">
        <f t="shared" si="253"/>
        <v>1</v>
      </c>
      <c r="J1555" s="2994"/>
      <c r="K1555" s="2996">
        <f t="shared" si="254"/>
        <v>1</v>
      </c>
      <c r="L1555" s="2994"/>
      <c r="M1555" s="2996">
        <f t="shared" si="255"/>
        <v>1</v>
      </c>
      <c r="N1555" s="2994"/>
      <c r="O1555" s="2996">
        <f t="shared" si="256"/>
        <v>1</v>
      </c>
      <c r="P1555" s="2994"/>
      <c r="Q1555" s="2996">
        <f t="shared" si="257"/>
        <v>1</v>
      </c>
      <c r="R1555" s="2997">
        <f t="shared" ca="1" si="258"/>
        <v>17260</v>
      </c>
      <c r="S1555" s="2962">
        <f t="shared" ca="1" si="259"/>
        <v>105</v>
      </c>
    </row>
    <row r="1556" spans="1:19">
      <c r="A1556" s="2992" t="str">
        <f>Sheet1!F1537</f>
        <v>4-1726</v>
      </c>
      <c r="B1556" s="2992">
        <f>Sheet1!G1537</f>
        <v>60.69</v>
      </c>
      <c r="C1556" s="2996">
        <f t="shared" si="250"/>
        <v>1</v>
      </c>
      <c r="D1556" s="2994"/>
      <c r="E1556" s="2996">
        <f t="shared" si="251"/>
        <v>1</v>
      </c>
      <c r="F1556" s="2994"/>
      <c r="G1556" s="2996">
        <f t="shared" si="252"/>
        <v>1</v>
      </c>
      <c r="H1556" s="2994"/>
      <c r="I1556" s="2996">
        <f t="shared" si="253"/>
        <v>1</v>
      </c>
      <c r="J1556" s="2994"/>
      <c r="K1556" s="2996">
        <f t="shared" si="254"/>
        <v>1</v>
      </c>
      <c r="L1556" s="2994"/>
      <c r="M1556" s="2996">
        <f t="shared" si="255"/>
        <v>1</v>
      </c>
      <c r="N1556" s="2994"/>
      <c r="O1556" s="2996">
        <f t="shared" si="256"/>
        <v>1</v>
      </c>
      <c r="P1556" s="2994"/>
      <c r="Q1556" s="2996">
        <f t="shared" si="257"/>
        <v>1</v>
      </c>
      <c r="R1556" s="2997">
        <f t="shared" ca="1" si="258"/>
        <v>17260</v>
      </c>
      <c r="S1556" s="2962">
        <f t="shared" ca="1" si="259"/>
        <v>105</v>
      </c>
    </row>
    <row r="1557" spans="1:19">
      <c r="A1557" s="2992" t="str">
        <f>Sheet1!F1538</f>
        <v>4-1727</v>
      </c>
      <c r="B1557" s="2992">
        <f>Sheet1!G1538</f>
        <v>104.53</v>
      </c>
      <c r="C1557" s="2996">
        <f t="shared" si="250"/>
        <v>0.99</v>
      </c>
      <c r="D1557" s="2994"/>
      <c r="E1557" s="2996">
        <f t="shared" si="251"/>
        <v>1</v>
      </c>
      <c r="F1557" s="2994"/>
      <c r="G1557" s="2996">
        <f t="shared" si="252"/>
        <v>1</v>
      </c>
      <c r="H1557" s="2994"/>
      <c r="I1557" s="2996">
        <f t="shared" si="253"/>
        <v>1</v>
      </c>
      <c r="J1557" s="2994"/>
      <c r="K1557" s="2996">
        <f t="shared" si="254"/>
        <v>1</v>
      </c>
      <c r="L1557" s="2994"/>
      <c r="M1557" s="2996">
        <f t="shared" si="255"/>
        <v>1</v>
      </c>
      <c r="N1557" s="2994"/>
      <c r="O1557" s="2996">
        <f t="shared" si="256"/>
        <v>1</v>
      </c>
      <c r="P1557" s="2994"/>
      <c r="Q1557" s="2996">
        <f t="shared" si="257"/>
        <v>1</v>
      </c>
      <c r="R1557" s="2997">
        <f t="shared" ca="1" si="258"/>
        <v>17087</v>
      </c>
      <c r="S1557" s="2962">
        <f t="shared" ca="1" si="259"/>
        <v>179</v>
      </c>
    </row>
    <row r="1558" spans="1:19">
      <c r="A1558" s="2992" t="str">
        <f>Sheet1!F1539</f>
        <v>4-1728</v>
      </c>
      <c r="B1558" s="2992">
        <f>Sheet1!G1539</f>
        <v>55.78</v>
      </c>
      <c r="C1558" s="2996">
        <f t="shared" si="250"/>
        <v>1</v>
      </c>
      <c r="D1558" s="2994"/>
      <c r="E1558" s="2996">
        <f t="shared" si="251"/>
        <v>1</v>
      </c>
      <c r="F1558" s="2994"/>
      <c r="G1558" s="2996">
        <f t="shared" si="252"/>
        <v>1</v>
      </c>
      <c r="H1558" s="2994"/>
      <c r="I1558" s="2996">
        <f t="shared" si="253"/>
        <v>1</v>
      </c>
      <c r="J1558" s="2994"/>
      <c r="K1558" s="2996">
        <f t="shared" si="254"/>
        <v>1</v>
      </c>
      <c r="L1558" s="2994"/>
      <c r="M1558" s="2996">
        <f t="shared" si="255"/>
        <v>1</v>
      </c>
      <c r="N1558" s="2994"/>
      <c r="O1558" s="2996">
        <f t="shared" si="256"/>
        <v>1</v>
      </c>
      <c r="P1558" s="2994"/>
      <c r="Q1558" s="2996">
        <f t="shared" si="257"/>
        <v>1</v>
      </c>
      <c r="R1558" s="2997">
        <f t="shared" ca="1" si="258"/>
        <v>17260</v>
      </c>
      <c r="S1558" s="2962">
        <f t="shared" ca="1" si="259"/>
        <v>96</v>
      </c>
    </row>
    <row r="1559" spans="1:19">
      <c r="A1559" s="2992" t="str">
        <f>Sheet1!F1540</f>
        <v>4-1729</v>
      </c>
      <c r="B1559" s="2992">
        <f>Sheet1!G1540</f>
        <v>48.86</v>
      </c>
      <c r="C1559" s="2996">
        <f t="shared" si="250"/>
        <v>1</v>
      </c>
      <c r="D1559" s="2994"/>
      <c r="E1559" s="2996">
        <f t="shared" si="251"/>
        <v>1</v>
      </c>
      <c r="F1559" s="2994"/>
      <c r="G1559" s="2996">
        <f t="shared" si="252"/>
        <v>1</v>
      </c>
      <c r="H1559" s="2994"/>
      <c r="I1559" s="2996">
        <f t="shared" si="253"/>
        <v>1</v>
      </c>
      <c r="J1559" s="2994"/>
      <c r="K1559" s="2996">
        <f t="shared" si="254"/>
        <v>1</v>
      </c>
      <c r="L1559" s="2994"/>
      <c r="M1559" s="2996">
        <f t="shared" si="255"/>
        <v>1</v>
      </c>
      <c r="N1559" s="2994"/>
      <c r="O1559" s="2996">
        <f t="shared" si="256"/>
        <v>1</v>
      </c>
      <c r="P1559" s="2994"/>
      <c r="Q1559" s="2996">
        <f t="shared" si="257"/>
        <v>1</v>
      </c>
      <c r="R1559" s="2997">
        <f t="shared" ca="1" si="258"/>
        <v>17260</v>
      </c>
      <c r="S1559" s="2962">
        <f t="shared" ca="1" si="259"/>
        <v>84</v>
      </c>
    </row>
    <row r="1560" spans="1:19">
      <c r="A1560" s="2992" t="str">
        <f>Sheet1!F1541</f>
        <v>4-1730</v>
      </c>
      <c r="B1560" s="2992">
        <f>Sheet1!G1541</f>
        <v>48.86</v>
      </c>
      <c r="C1560" s="2996">
        <f t="shared" si="250"/>
        <v>1</v>
      </c>
      <c r="D1560" s="2994"/>
      <c r="E1560" s="2996">
        <f t="shared" si="251"/>
        <v>1</v>
      </c>
      <c r="F1560" s="2994"/>
      <c r="G1560" s="2996">
        <f t="shared" si="252"/>
        <v>1</v>
      </c>
      <c r="H1560" s="2994"/>
      <c r="I1560" s="2996">
        <f t="shared" si="253"/>
        <v>1</v>
      </c>
      <c r="J1560" s="2994"/>
      <c r="K1560" s="2996">
        <f t="shared" si="254"/>
        <v>1</v>
      </c>
      <c r="L1560" s="2994"/>
      <c r="M1560" s="2996">
        <f t="shared" si="255"/>
        <v>1</v>
      </c>
      <c r="N1560" s="2994"/>
      <c r="O1560" s="2996">
        <f t="shared" si="256"/>
        <v>1</v>
      </c>
      <c r="P1560" s="2994"/>
      <c r="Q1560" s="2996">
        <f t="shared" si="257"/>
        <v>1</v>
      </c>
      <c r="R1560" s="2997">
        <f t="shared" ca="1" si="258"/>
        <v>17260</v>
      </c>
      <c r="S1560" s="2962">
        <f t="shared" ca="1" si="259"/>
        <v>84</v>
      </c>
    </row>
    <row r="1561" spans="1:19">
      <c r="A1561" s="2992" t="str">
        <f>Sheet1!F1542</f>
        <v>4-1731</v>
      </c>
      <c r="B1561" s="2992">
        <f>Sheet1!G1542</f>
        <v>48.86</v>
      </c>
      <c r="C1561" s="2996">
        <f t="shared" si="250"/>
        <v>1</v>
      </c>
      <c r="D1561" s="2994"/>
      <c r="E1561" s="2996">
        <f t="shared" si="251"/>
        <v>1</v>
      </c>
      <c r="F1561" s="2994"/>
      <c r="G1561" s="2996">
        <f t="shared" si="252"/>
        <v>1</v>
      </c>
      <c r="H1561" s="2994"/>
      <c r="I1561" s="2996">
        <f t="shared" si="253"/>
        <v>1</v>
      </c>
      <c r="J1561" s="2994"/>
      <c r="K1561" s="2996">
        <f t="shared" si="254"/>
        <v>1</v>
      </c>
      <c r="L1561" s="2994"/>
      <c r="M1561" s="2996">
        <f t="shared" si="255"/>
        <v>1</v>
      </c>
      <c r="N1561" s="2994"/>
      <c r="O1561" s="2996">
        <f t="shared" si="256"/>
        <v>1</v>
      </c>
      <c r="P1561" s="2994"/>
      <c r="Q1561" s="2996">
        <f t="shared" si="257"/>
        <v>1</v>
      </c>
      <c r="R1561" s="2997">
        <f t="shared" ca="1" si="258"/>
        <v>17260</v>
      </c>
      <c r="S1561" s="2962">
        <f t="shared" ca="1" si="259"/>
        <v>84</v>
      </c>
    </row>
    <row r="1562" spans="1:19">
      <c r="A1562" s="2992" t="str">
        <f>Sheet1!F1543</f>
        <v>4-1732</v>
      </c>
      <c r="B1562" s="2992">
        <f>Sheet1!G1543</f>
        <v>54.5</v>
      </c>
      <c r="C1562" s="2996">
        <f t="shared" si="250"/>
        <v>1</v>
      </c>
      <c r="D1562" s="2994"/>
      <c r="E1562" s="2996">
        <f t="shared" si="251"/>
        <v>1</v>
      </c>
      <c r="F1562" s="2994"/>
      <c r="G1562" s="2996">
        <f t="shared" si="252"/>
        <v>1</v>
      </c>
      <c r="H1562" s="2994"/>
      <c r="I1562" s="2996">
        <f t="shared" si="253"/>
        <v>1</v>
      </c>
      <c r="J1562" s="2994"/>
      <c r="K1562" s="2996">
        <f t="shared" si="254"/>
        <v>1</v>
      </c>
      <c r="L1562" s="2994"/>
      <c r="M1562" s="2996">
        <f t="shared" si="255"/>
        <v>1</v>
      </c>
      <c r="N1562" s="2994"/>
      <c r="O1562" s="2996">
        <f t="shared" si="256"/>
        <v>1</v>
      </c>
      <c r="P1562" s="2994"/>
      <c r="Q1562" s="2996">
        <f t="shared" si="257"/>
        <v>1</v>
      </c>
      <c r="R1562" s="2997">
        <f t="shared" ca="1" si="258"/>
        <v>17260</v>
      </c>
      <c r="S1562" s="2962">
        <f t="shared" ca="1" si="259"/>
        <v>94</v>
      </c>
    </row>
    <row r="1563" spans="1:19">
      <c r="A1563" s="2992" t="str">
        <f>Sheet1!F1544</f>
        <v>4-1733</v>
      </c>
      <c r="B1563" s="2992">
        <f>Sheet1!G1544</f>
        <v>64.58</v>
      </c>
      <c r="C1563" s="2996">
        <f t="shared" si="250"/>
        <v>1</v>
      </c>
      <c r="D1563" s="2994"/>
      <c r="E1563" s="2996">
        <f t="shared" si="251"/>
        <v>1</v>
      </c>
      <c r="F1563" s="2994"/>
      <c r="G1563" s="2996">
        <f t="shared" si="252"/>
        <v>1</v>
      </c>
      <c r="H1563" s="2994"/>
      <c r="I1563" s="2996">
        <f t="shared" si="253"/>
        <v>1</v>
      </c>
      <c r="J1563" s="2994"/>
      <c r="K1563" s="2996">
        <f t="shared" si="254"/>
        <v>1</v>
      </c>
      <c r="L1563" s="2994"/>
      <c r="M1563" s="2996">
        <f t="shared" si="255"/>
        <v>1</v>
      </c>
      <c r="N1563" s="2994"/>
      <c r="O1563" s="2996">
        <f t="shared" si="256"/>
        <v>1</v>
      </c>
      <c r="P1563" s="2994"/>
      <c r="Q1563" s="2996">
        <f t="shared" si="257"/>
        <v>1</v>
      </c>
      <c r="R1563" s="2997">
        <f t="shared" ca="1" si="258"/>
        <v>17260</v>
      </c>
      <c r="S1563" s="2962">
        <f t="shared" ca="1" si="259"/>
        <v>111</v>
      </c>
    </row>
    <row r="1564" spans="1:19">
      <c r="A1564" s="2992" t="str">
        <f>Sheet1!F1545</f>
        <v>4-1734</v>
      </c>
      <c r="B1564" s="2992">
        <f>Sheet1!G1545</f>
        <v>45.32</v>
      </c>
      <c r="C1564" s="2996">
        <f t="shared" si="250"/>
        <v>1</v>
      </c>
      <c r="D1564" s="2994"/>
      <c r="E1564" s="2996">
        <f t="shared" si="251"/>
        <v>1</v>
      </c>
      <c r="F1564" s="2994"/>
      <c r="G1564" s="2996">
        <f t="shared" si="252"/>
        <v>1</v>
      </c>
      <c r="H1564" s="2994"/>
      <c r="I1564" s="2996">
        <f t="shared" si="253"/>
        <v>1</v>
      </c>
      <c r="J1564" s="2994"/>
      <c r="K1564" s="2996">
        <f t="shared" si="254"/>
        <v>1</v>
      </c>
      <c r="L1564" s="2994"/>
      <c r="M1564" s="2996">
        <f t="shared" si="255"/>
        <v>1</v>
      </c>
      <c r="N1564" s="2994"/>
      <c r="O1564" s="2996">
        <f t="shared" si="256"/>
        <v>1</v>
      </c>
      <c r="P1564" s="2994"/>
      <c r="Q1564" s="2996">
        <f t="shared" si="257"/>
        <v>1</v>
      </c>
      <c r="R1564" s="2997">
        <f t="shared" ca="1" si="258"/>
        <v>17260</v>
      </c>
      <c r="S1564" s="2962">
        <f t="shared" ca="1" si="259"/>
        <v>78</v>
      </c>
    </row>
    <row r="1565" spans="1:19">
      <c r="A1565" s="2992" t="str">
        <f>Sheet1!F1546</f>
        <v>4-1735</v>
      </c>
      <c r="B1565" s="2992">
        <f>Sheet1!G1546</f>
        <v>45.2</v>
      </c>
      <c r="C1565" s="2996">
        <f t="shared" si="250"/>
        <v>1</v>
      </c>
      <c r="D1565" s="2994"/>
      <c r="E1565" s="2996">
        <f t="shared" si="251"/>
        <v>1</v>
      </c>
      <c r="F1565" s="2994"/>
      <c r="G1565" s="2996">
        <f t="shared" si="252"/>
        <v>1</v>
      </c>
      <c r="H1565" s="2994"/>
      <c r="I1565" s="2996">
        <f t="shared" si="253"/>
        <v>1</v>
      </c>
      <c r="J1565" s="2994"/>
      <c r="K1565" s="2996">
        <f t="shared" si="254"/>
        <v>1</v>
      </c>
      <c r="L1565" s="2994"/>
      <c r="M1565" s="2996">
        <f t="shared" si="255"/>
        <v>1</v>
      </c>
      <c r="N1565" s="2994"/>
      <c r="O1565" s="2996">
        <f t="shared" si="256"/>
        <v>1</v>
      </c>
      <c r="P1565" s="2994"/>
      <c r="Q1565" s="2996">
        <f t="shared" si="257"/>
        <v>1</v>
      </c>
      <c r="R1565" s="2997">
        <f t="shared" ca="1" si="258"/>
        <v>17260</v>
      </c>
      <c r="S1565" s="2962">
        <f t="shared" ca="1" si="259"/>
        <v>78</v>
      </c>
    </row>
    <row r="1566" spans="1:19">
      <c r="A1566" s="2992" t="str">
        <f>Sheet1!F1547</f>
        <v>4-1736</v>
      </c>
      <c r="B1566" s="2992">
        <f>Sheet1!G1547</f>
        <v>45.32</v>
      </c>
      <c r="C1566" s="2996">
        <f t="shared" si="250"/>
        <v>1</v>
      </c>
      <c r="D1566" s="2994"/>
      <c r="E1566" s="2996">
        <f t="shared" si="251"/>
        <v>1</v>
      </c>
      <c r="F1566" s="2994"/>
      <c r="G1566" s="2996">
        <f t="shared" si="252"/>
        <v>1</v>
      </c>
      <c r="H1566" s="2994"/>
      <c r="I1566" s="2996">
        <f t="shared" si="253"/>
        <v>1</v>
      </c>
      <c r="J1566" s="2994"/>
      <c r="K1566" s="2996">
        <f t="shared" si="254"/>
        <v>1</v>
      </c>
      <c r="L1566" s="2994"/>
      <c r="M1566" s="2996">
        <f t="shared" si="255"/>
        <v>1</v>
      </c>
      <c r="N1566" s="2994"/>
      <c r="O1566" s="2996">
        <f t="shared" si="256"/>
        <v>1</v>
      </c>
      <c r="P1566" s="2994"/>
      <c r="Q1566" s="2996">
        <f t="shared" si="257"/>
        <v>1</v>
      </c>
      <c r="R1566" s="2997">
        <f t="shared" ca="1" si="258"/>
        <v>17260</v>
      </c>
      <c r="S1566" s="2962">
        <f t="shared" ca="1" si="259"/>
        <v>78</v>
      </c>
    </row>
    <row r="1567" spans="1:19">
      <c r="A1567" s="2992" t="str">
        <f>Sheet1!F1548</f>
        <v>4-1737</v>
      </c>
      <c r="B1567" s="2992">
        <f>Sheet1!G1548</f>
        <v>45.32</v>
      </c>
      <c r="C1567" s="2996">
        <f t="shared" si="250"/>
        <v>1</v>
      </c>
      <c r="D1567" s="2994"/>
      <c r="E1567" s="2996">
        <f t="shared" si="251"/>
        <v>1</v>
      </c>
      <c r="F1567" s="2994"/>
      <c r="G1567" s="2996">
        <f t="shared" si="252"/>
        <v>1</v>
      </c>
      <c r="H1567" s="2994"/>
      <c r="I1567" s="2996">
        <f t="shared" si="253"/>
        <v>1</v>
      </c>
      <c r="J1567" s="2994"/>
      <c r="K1567" s="2996">
        <f t="shared" si="254"/>
        <v>1</v>
      </c>
      <c r="L1567" s="2994"/>
      <c r="M1567" s="2996">
        <f t="shared" si="255"/>
        <v>1</v>
      </c>
      <c r="N1567" s="2994"/>
      <c r="O1567" s="2996">
        <f t="shared" si="256"/>
        <v>1</v>
      </c>
      <c r="P1567" s="2994"/>
      <c r="Q1567" s="2996">
        <f t="shared" si="257"/>
        <v>1</v>
      </c>
      <c r="R1567" s="2997">
        <f t="shared" ca="1" si="258"/>
        <v>17260</v>
      </c>
      <c r="S1567" s="2962">
        <f t="shared" ca="1" si="259"/>
        <v>78</v>
      </c>
    </row>
    <row r="1568" spans="1:19">
      <c r="A1568" s="2992" t="str">
        <f>Sheet1!F1549</f>
        <v>4-1738</v>
      </c>
      <c r="B1568" s="2992">
        <f>Sheet1!G1549</f>
        <v>48.86</v>
      </c>
      <c r="C1568" s="2996">
        <f t="shared" si="250"/>
        <v>1</v>
      </c>
      <c r="D1568" s="2994"/>
      <c r="E1568" s="2996">
        <f t="shared" si="251"/>
        <v>1</v>
      </c>
      <c r="F1568" s="2994"/>
      <c r="G1568" s="2996">
        <f t="shared" si="252"/>
        <v>1</v>
      </c>
      <c r="H1568" s="2994"/>
      <c r="I1568" s="2996">
        <f t="shared" si="253"/>
        <v>1</v>
      </c>
      <c r="J1568" s="2994"/>
      <c r="K1568" s="2996">
        <f t="shared" si="254"/>
        <v>1</v>
      </c>
      <c r="L1568" s="2994"/>
      <c r="M1568" s="2996">
        <f t="shared" si="255"/>
        <v>1</v>
      </c>
      <c r="N1568" s="2994"/>
      <c r="O1568" s="2996">
        <f t="shared" si="256"/>
        <v>1</v>
      </c>
      <c r="P1568" s="2994"/>
      <c r="Q1568" s="2996">
        <f t="shared" si="257"/>
        <v>1</v>
      </c>
      <c r="R1568" s="2997">
        <f t="shared" ca="1" si="258"/>
        <v>17260</v>
      </c>
      <c r="S1568" s="2962">
        <f t="shared" ca="1" si="259"/>
        <v>84</v>
      </c>
    </row>
    <row r="1569" spans="1:19">
      <c r="A1569" s="2992" t="str">
        <f>Sheet1!F1550</f>
        <v>4-1739</v>
      </c>
      <c r="B1569" s="2992">
        <f>Sheet1!G1550</f>
        <v>44.51</v>
      </c>
      <c r="C1569" s="2996">
        <f t="shared" si="250"/>
        <v>1</v>
      </c>
      <c r="D1569" s="2994"/>
      <c r="E1569" s="2996">
        <f t="shared" si="251"/>
        <v>1</v>
      </c>
      <c r="F1569" s="2994"/>
      <c r="G1569" s="2996">
        <f t="shared" si="252"/>
        <v>1</v>
      </c>
      <c r="H1569" s="2994"/>
      <c r="I1569" s="2996">
        <f t="shared" si="253"/>
        <v>1</v>
      </c>
      <c r="J1569" s="2994"/>
      <c r="K1569" s="2996">
        <f t="shared" si="254"/>
        <v>1</v>
      </c>
      <c r="L1569" s="2994"/>
      <c r="M1569" s="2996">
        <f t="shared" si="255"/>
        <v>1</v>
      </c>
      <c r="N1569" s="2994"/>
      <c r="O1569" s="2996">
        <f t="shared" si="256"/>
        <v>1</v>
      </c>
      <c r="P1569" s="2994"/>
      <c r="Q1569" s="2996">
        <f t="shared" si="257"/>
        <v>1</v>
      </c>
      <c r="R1569" s="2997">
        <f t="shared" ca="1" si="258"/>
        <v>17260</v>
      </c>
      <c r="S1569" s="2962">
        <f t="shared" ca="1" si="259"/>
        <v>77</v>
      </c>
    </row>
    <row r="1570" spans="1:19">
      <c r="A1570" s="2992" t="str">
        <f>Sheet1!F1551</f>
        <v>4-1740</v>
      </c>
      <c r="B1570" s="2992">
        <f>Sheet1!G1551</f>
        <v>54.67</v>
      </c>
      <c r="C1570" s="2996">
        <f t="shared" si="250"/>
        <v>1</v>
      </c>
      <c r="D1570" s="2994"/>
      <c r="E1570" s="2996">
        <f t="shared" si="251"/>
        <v>1</v>
      </c>
      <c r="F1570" s="2994"/>
      <c r="G1570" s="2996">
        <f t="shared" si="252"/>
        <v>1</v>
      </c>
      <c r="H1570" s="2994"/>
      <c r="I1570" s="2996">
        <f t="shared" si="253"/>
        <v>1</v>
      </c>
      <c r="J1570" s="2994"/>
      <c r="K1570" s="2996">
        <f t="shared" si="254"/>
        <v>1</v>
      </c>
      <c r="L1570" s="2994"/>
      <c r="M1570" s="2996">
        <f t="shared" si="255"/>
        <v>1</v>
      </c>
      <c r="N1570" s="2994"/>
      <c r="O1570" s="2996">
        <f t="shared" si="256"/>
        <v>1</v>
      </c>
      <c r="P1570" s="2994"/>
      <c r="Q1570" s="2996">
        <f t="shared" si="257"/>
        <v>1</v>
      </c>
      <c r="R1570" s="2997">
        <f t="shared" ca="1" si="258"/>
        <v>17260</v>
      </c>
      <c r="S1570" s="2962">
        <f t="shared" ca="1" si="259"/>
        <v>94</v>
      </c>
    </row>
    <row r="1571" spans="1:19">
      <c r="A1571" s="2992" t="str">
        <f>Sheet1!F1552</f>
        <v>4-1741</v>
      </c>
      <c r="B1571" s="2992">
        <f>Sheet1!G1552</f>
        <v>48.86</v>
      </c>
      <c r="C1571" s="2996">
        <f t="shared" si="250"/>
        <v>1</v>
      </c>
      <c r="D1571" s="2994"/>
      <c r="E1571" s="2996">
        <f t="shared" si="251"/>
        <v>1</v>
      </c>
      <c r="F1571" s="2994"/>
      <c r="G1571" s="2996">
        <f t="shared" si="252"/>
        <v>1</v>
      </c>
      <c r="H1571" s="2994"/>
      <c r="I1571" s="2996">
        <f t="shared" si="253"/>
        <v>1</v>
      </c>
      <c r="J1571" s="2994"/>
      <c r="K1571" s="2996">
        <f t="shared" si="254"/>
        <v>1</v>
      </c>
      <c r="L1571" s="2994"/>
      <c r="M1571" s="2996">
        <f t="shared" si="255"/>
        <v>1</v>
      </c>
      <c r="N1571" s="2994"/>
      <c r="O1571" s="2996">
        <f t="shared" si="256"/>
        <v>1</v>
      </c>
      <c r="P1571" s="2994"/>
      <c r="Q1571" s="2996">
        <f t="shared" si="257"/>
        <v>1</v>
      </c>
      <c r="R1571" s="2997">
        <f t="shared" ca="1" si="258"/>
        <v>17260</v>
      </c>
      <c r="S1571" s="2962">
        <f t="shared" ca="1" si="259"/>
        <v>84</v>
      </c>
    </row>
    <row r="1572" spans="1:19">
      <c r="A1572" s="2992" t="str">
        <f>Sheet1!F1553</f>
        <v>4-1742</v>
      </c>
      <c r="B1572" s="2992">
        <f>Sheet1!G1553</f>
        <v>48.86</v>
      </c>
      <c r="C1572" s="2996">
        <f t="shared" si="250"/>
        <v>1</v>
      </c>
      <c r="D1572" s="2994"/>
      <c r="E1572" s="2996">
        <f t="shared" si="251"/>
        <v>1</v>
      </c>
      <c r="F1572" s="2994"/>
      <c r="G1572" s="2996">
        <f t="shared" si="252"/>
        <v>1</v>
      </c>
      <c r="H1572" s="2994"/>
      <c r="I1572" s="2996">
        <f t="shared" si="253"/>
        <v>1</v>
      </c>
      <c r="J1572" s="2994"/>
      <c r="K1572" s="2996">
        <f t="shared" si="254"/>
        <v>1</v>
      </c>
      <c r="L1572" s="2994"/>
      <c r="M1572" s="2996">
        <f t="shared" si="255"/>
        <v>1</v>
      </c>
      <c r="N1572" s="2994"/>
      <c r="O1572" s="2996">
        <f t="shared" si="256"/>
        <v>1</v>
      </c>
      <c r="P1572" s="2994"/>
      <c r="Q1572" s="2996">
        <f t="shared" si="257"/>
        <v>1</v>
      </c>
      <c r="R1572" s="2997">
        <f t="shared" ca="1" si="258"/>
        <v>17260</v>
      </c>
      <c r="S1572" s="2962">
        <f t="shared" ca="1" si="259"/>
        <v>84</v>
      </c>
    </row>
    <row r="1573" spans="1:19">
      <c r="A1573" s="2992" t="str">
        <f>Sheet1!F1554</f>
        <v>4-1743</v>
      </c>
      <c r="B1573" s="2992">
        <f>Sheet1!G1554</f>
        <v>48.86</v>
      </c>
      <c r="C1573" s="2996">
        <f t="shared" si="250"/>
        <v>1</v>
      </c>
      <c r="D1573" s="2994"/>
      <c r="E1573" s="2996">
        <f t="shared" si="251"/>
        <v>1</v>
      </c>
      <c r="F1573" s="2994"/>
      <c r="G1573" s="2996">
        <f t="shared" si="252"/>
        <v>1</v>
      </c>
      <c r="H1573" s="2994"/>
      <c r="I1573" s="2996">
        <f t="shared" si="253"/>
        <v>1</v>
      </c>
      <c r="J1573" s="2994"/>
      <c r="K1573" s="2996">
        <f t="shared" si="254"/>
        <v>1</v>
      </c>
      <c r="L1573" s="2994"/>
      <c r="M1573" s="2996">
        <f t="shared" si="255"/>
        <v>1</v>
      </c>
      <c r="N1573" s="2994"/>
      <c r="O1573" s="2996">
        <f t="shared" si="256"/>
        <v>1</v>
      </c>
      <c r="P1573" s="2994"/>
      <c r="Q1573" s="2996">
        <f t="shared" si="257"/>
        <v>1</v>
      </c>
      <c r="R1573" s="2997">
        <f t="shared" ca="1" si="258"/>
        <v>17260</v>
      </c>
      <c r="S1573" s="2962">
        <f t="shared" ca="1" si="259"/>
        <v>84</v>
      </c>
    </row>
    <row r="1574" spans="1:19">
      <c r="A1574" s="2992" t="str">
        <f>Sheet1!F1555</f>
        <v>4-1744</v>
      </c>
      <c r="B1574" s="2992">
        <f>Sheet1!G1555</f>
        <v>54.87</v>
      </c>
      <c r="C1574" s="2996">
        <f t="shared" si="250"/>
        <v>1</v>
      </c>
      <c r="D1574" s="2994"/>
      <c r="E1574" s="2996">
        <f t="shared" si="251"/>
        <v>1</v>
      </c>
      <c r="F1574" s="2994"/>
      <c r="G1574" s="2996">
        <f t="shared" si="252"/>
        <v>1</v>
      </c>
      <c r="H1574" s="2994"/>
      <c r="I1574" s="2996">
        <f t="shared" si="253"/>
        <v>1</v>
      </c>
      <c r="J1574" s="2994"/>
      <c r="K1574" s="2996">
        <f t="shared" si="254"/>
        <v>1</v>
      </c>
      <c r="L1574" s="2994"/>
      <c r="M1574" s="2996">
        <f t="shared" si="255"/>
        <v>1</v>
      </c>
      <c r="N1574" s="2994"/>
      <c r="O1574" s="2996">
        <f t="shared" si="256"/>
        <v>1</v>
      </c>
      <c r="P1574" s="2994"/>
      <c r="Q1574" s="2996">
        <f t="shared" si="257"/>
        <v>1</v>
      </c>
      <c r="R1574" s="2997">
        <f t="shared" ca="1" si="258"/>
        <v>17260</v>
      </c>
      <c r="S1574" s="2962">
        <f t="shared" ca="1" si="259"/>
        <v>95</v>
      </c>
    </row>
    <row r="1575" spans="1:19">
      <c r="A1575" s="2992" t="str">
        <f>Sheet1!F1556</f>
        <v>4-1745</v>
      </c>
      <c r="B1575" s="2992">
        <f>Sheet1!G1556</f>
        <v>88.13</v>
      </c>
      <c r="C1575" s="2996">
        <f t="shared" si="250"/>
        <v>1</v>
      </c>
      <c r="D1575" s="2994"/>
      <c r="E1575" s="2996">
        <f t="shared" si="251"/>
        <v>1</v>
      </c>
      <c r="F1575" s="2994"/>
      <c r="G1575" s="2996">
        <f t="shared" si="252"/>
        <v>1</v>
      </c>
      <c r="H1575" s="2994"/>
      <c r="I1575" s="2996">
        <f t="shared" si="253"/>
        <v>1</v>
      </c>
      <c r="J1575" s="2994"/>
      <c r="K1575" s="2996">
        <f t="shared" si="254"/>
        <v>1</v>
      </c>
      <c r="L1575" s="2994"/>
      <c r="M1575" s="2996">
        <f t="shared" si="255"/>
        <v>1</v>
      </c>
      <c r="N1575" s="2994"/>
      <c r="O1575" s="2996">
        <f t="shared" si="256"/>
        <v>1</v>
      </c>
      <c r="P1575" s="2994"/>
      <c r="Q1575" s="2996">
        <f t="shared" si="257"/>
        <v>1</v>
      </c>
      <c r="R1575" s="2997">
        <f t="shared" ca="1" si="258"/>
        <v>17260</v>
      </c>
      <c r="S1575" s="2962">
        <f t="shared" ca="1" si="259"/>
        <v>152</v>
      </c>
    </row>
    <row r="1576" spans="1:19" hidden="1">
      <c r="A1576" s="713">
        <f>Sheet1!F1557</f>
        <v>0</v>
      </c>
      <c r="B1576" s="713"/>
      <c r="C1576" s="2934">
        <f t="shared" si="250"/>
        <v>1</v>
      </c>
      <c r="D1576" s="714"/>
      <c r="E1576" s="2934">
        <f t="shared" si="251"/>
        <v>1</v>
      </c>
      <c r="F1576" s="714"/>
      <c r="G1576" s="2934">
        <f t="shared" si="252"/>
        <v>1</v>
      </c>
      <c r="H1576" s="714"/>
      <c r="I1576" s="2934">
        <f t="shared" si="253"/>
        <v>1</v>
      </c>
      <c r="J1576" s="714"/>
      <c r="K1576" s="2934">
        <f t="shared" si="254"/>
        <v>1</v>
      </c>
      <c r="L1576" s="714"/>
      <c r="M1576" s="2934">
        <f t="shared" si="255"/>
        <v>1</v>
      </c>
      <c r="N1576" s="714"/>
      <c r="O1576" s="2934">
        <f t="shared" si="256"/>
        <v>1</v>
      </c>
      <c r="P1576" s="714"/>
      <c r="Q1576" s="2934">
        <f t="shared" si="257"/>
        <v>1</v>
      </c>
      <c r="R1576" s="2935">
        <f t="shared" si="258"/>
        <v>0</v>
      </c>
      <c r="S1576" s="1174">
        <f t="shared" si="259"/>
        <v>0</v>
      </c>
    </row>
    <row r="1577" spans="1:19" hidden="1">
      <c r="A1577" s="713">
        <f>Sheet1!F1558</f>
        <v>0</v>
      </c>
      <c r="B1577" s="713"/>
      <c r="C1577" s="2934">
        <f t="shared" si="250"/>
        <v>1</v>
      </c>
      <c r="D1577" s="714"/>
      <c r="E1577" s="2934">
        <f t="shared" si="251"/>
        <v>1</v>
      </c>
      <c r="F1577" s="714"/>
      <c r="G1577" s="2934">
        <f t="shared" si="252"/>
        <v>1</v>
      </c>
      <c r="H1577" s="714"/>
      <c r="I1577" s="2934">
        <f t="shared" si="253"/>
        <v>1</v>
      </c>
      <c r="J1577" s="714"/>
      <c r="K1577" s="2934">
        <f t="shared" si="254"/>
        <v>1</v>
      </c>
      <c r="L1577" s="714"/>
      <c r="M1577" s="2934">
        <f t="shared" si="255"/>
        <v>1</v>
      </c>
      <c r="N1577" s="714"/>
      <c r="O1577" s="2934">
        <f t="shared" si="256"/>
        <v>1</v>
      </c>
      <c r="P1577" s="714"/>
      <c r="Q1577" s="2934">
        <f t="shared" si="257"/>
        <v>1</v>
      </c>
      <c r="R1577" s="2935">
        <f t="shared" si="258"/>
        <v>0</v>
      </c>
      <c r="S1577" s="1174">
        <f t="shared" si="259"/>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49" customWidth="1"/>
    <col min="2" max="2" width="37.25" style="1949" customWidth="1"/>
    <col min="3" max="3" width="11.375" style="1949" customWidth="1"/>
    <col min="4" max="4" width="31.75" style="1949" customWidth="1"/>
    <col min="5" max="5" width="0.5" style="1949" customWidth="1"/>
    <col min="6" max="7" width="13" style="1949" customWidth="1"/>
    <col min="8" max="16384" width="9" style="1949"/>
  </cols>
  <sheetData>
    <row r="1" spans="1:5" ht="18.75">
      <c r="A1" s="1947" t="s">
        <v>1621</v>
      </c>
      <c r="B1" s="1948"/>
      <c r="C1" s="1948"/>
      <c r="D1" s="1948"/>
      <c r="E1" s="1948"/>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50"/>
      <c r="B4" s="3010" t="s">
        <v>1630</v>
      </c>
      <c r="C4" s="3010"/>
      <c r="D4" s="3010"/>
      <c r="E4" s="1950"/>
    </row>
    <row r="5" spans="1:5" ht="16.5" thickTop="1">
      <c r="A5" s="1948"/>
      <c r="B5" s="3008" t="s">
        <v>1622</v>
      </c>
      <c r="C5" s="1951" t="s">
        <v>1623</v>
      </c>
      <c r="D5" s="1036">
        <f ca="1">结果表!H101</f>
        <v>86</v>
      </c>
      <c r="E5" s="1948"/>
    </row>
    <row r="6" spans="1:5" ht="15.75">
      <c r="A6" s="1948"/>
      <c r="B6" s="3008"/>
      <c r="C6" s="1951" t="s">
        <v>1624</v>
      </c>
      <c r="D6" s="1036" t="str">
        <f ca="1">NUMBERSTRING(INT(D5*10000),2)&amp;"元整"</f>
        <v>捌拾陆万元整</v>
      </c>
      <c r="E6" s="1948"/>
    </row>
    <row r="7" spans="1:5" ht="15.75">
      <c r="A7" s="1948"/>
      <c r="B7" s="3013"/>
      <c r="C7" s="1952" t="s">
        <v>1625</v>
      </c>
      <c r="D7" s="1037">
        <f ca="1">结果表!H102</f>
        <v>17335</v>
      </c>
      <c r="E7" s="1948"/>
    </row>
    <row r="8" spans="1:5" ht="15.75">
      <c r="A8" s="1948"/>
      <c r="B8" s="3014" t="str">
        <f>结果表!E103</f>
        <v>2.估价师知悉的法定优先受偿款</v>
      </c>
      <c r="C8" s="1953" t="s">
        <v>1626</v>
      </c>
      <c r="D8" s="1037">
        <f>结果表!H103</f>
        <v>0</v>
      </c>
      <c r="E8" s="1948"/>
    </row>
    <row r="9" spans="1:5" ht="15.75">
      <c r="A9" s="1948"/>
      <c r="B9" s="3016"/>
      <c r="C9" s="1951" t="s">
        <v>1624</v>
      </c>
      <c r="D9" s="1036" t="str">
        <f>NUMBERSTRING(INT(D8*10000),2)&amp;"元整"</f>
        <v>零元整</v>
      </c>
      <c r="E9" s="1948"/>
    </row>
    <row r="10" spans="1:5" ht="15">
      <c r="A10" s="1948"/>
      <c r="B10" s="1954" t="s">
        <v>1629</v>
      </c>
      <c r="C10" s="1955" t="s">
        <v>1627</v>
      </c>
      <c r="D10" s="1038">
        <f>结果表!H104</f>
        <v>0</v>
      </c>
      <c r="E10" s="1948"/>
    </row>
    <row r="11" spans="1:5" ht="15">
      <c r="A11" s="1948"/>
      <c r="B11" s="1954" t="s">
        <v>1631</v>
      </c>
      <c r="C11" s="1955" t="s">
        <v>1632</v>
      </c>
      <c r="D11" s="1038">
        <f>结果表!H105</f>
        <v>0</v>
      </c>
      <c r="E11" s="1948"/>
    </row>
    <row r="12" spans="1:5" ht="15">
      <c r="A12" s="1948"/>
      <c r="B12" s="1954" t="s">
        <v>1633</v>
      </c>
      <c r="C12" s="1955" t="s">
        <v>1632</v>
      </c>
      <c r="D12" s="1038">
        <f>结果表!H106</f>
        <v>0</v>
      </c>
      <c r="E12" s="1948"/>
    </row>
    <row r="13" spans="1:5" ht="15.75">
      <c r="A13" s="1948"/>
      <c r="B13" s="3007" t="str">
        <f>结果表!E107</f>
        <v>3.房地产抵押价值</v>
      </c>
      <c r="C13" s="1956" t="s">
        <v>1623</v>
      </c>
      <c r="D13" s="1039">
        <f ca="1">结果表!H107</f>
        <v>86</v>
      </c>
      <c r="E13" s="1948"/>
    </row>
    <row r="14" spans="1:5" ht="15.75">
      <c r="A14" s="1948"/>
      <c r="B14" s="3008"/>
      <c r="C14" s="1951" t="s">
        <v>1624</v>
      </c>
      <c r="D14" s="1036" t="str">
        <f ca="1">NUMBERSTRING(INT(D13*10000),2)&amp;"元整"</f>
        <v>捌拾陆万元整</v>
      </c>
      <c r="E14" s="1948"/>
    </row>
    <row r="15" spans="1:5" ht="15">
      <c r="A15" s="1948"/>
      <c r="B15" s="3013"/>
      <c r="C15" s="1952" t="s">
        <v>1634</v>
      </c>
      <c r="D15" s="1048">
        <f ca="1">结果表!H108</f>
        <v>17335</v>
      </c>
      <c r="E15" s="1948"/>
    </row>
    <row r="16" spans="1:5" ht="15">
      <c r="A16" s="1948"/>
      <c r="B16" s="3014" t="str">
        <f>结果表!E109</f>
        <v>——</v>
      </c>
      <c r="C16" s="1956" t="s">
        <v>1635</v>
      </c>
      <c r="D16" s="1957" t="str">
        <f>结果表!H109</f>
        <v>——</v>
      </c>
      <c r="E16" s="1948"/>
    </row>
    <row r="17" spans="1:5" ht="15.75">
      <c r="A17" s="1948"/>
      <c r="B17" s="3015"/>
      <c r="C17" s="1951" t="s">
        <v>1636</v>
      </c>
      <c r="D17" s="1036" t="e">
        <f>NUMBERSTRING(INT(D16*10000),2)&amp;"元整"</f>
        <v>#VALUE!</v>
      </c>
      <c r="E17" s="1948"/>
    </row>
    <row r="18" spans="1:5" ht="15">
      <c r="A18" s="1948"/>
      <c r="B18" s="3016"/>
      <c r="C18" s="1952" t="s">
        <v>1625</v>
      </c>
      <c r="D18" s="1048" t="str">
        <f>结果表!H110</f>
        <v>——</v>
      </c>
      <c r="E18" s="1948"/>
    </row>
    <row r="19" spans="1:5" ht="15.75">
      <c r="A19" s="1948"/>
      <c r="B19" s="3007" t="str">
        <f>结果表!E111</f>
        <v>——</v>
      </c>
      <c r="C19" s="1956" t="s">
        <v>1623</v>
      </c>
      <c r="D19" s="1037" t="str">
        <f>结果表!H111</f>
        <v>——</v>
      </c>
      <c r="E19" s="1948"/>
    </row>
    <row r="20" spans="1:5" ht="15.75">
      <c r="A20" s="1948"/>
      <c r="B20" s="3008"/>
      <c r="C20" s="1951" t="s">
        <v>1636</v>
      </c>
      <c r="D20" s="1036" t="e">
        <f>NUMBERSTRING(INT(D19*10000),2)&amp;"元整"</f>
        <v>#VALUE!</v>
      </c>
      <c r="E20" s="1948"/>
    </row>
    <row r="21" spans="1:5" ht="15.75" thickBot="1">
      <c r="A21" s="1948"/>
      <c r="B21" s="3009"/>
      <c r="C21" s="1958" t="s">
        <v>1634</v>
      </c>
      <c r="D21" s="1049" t="str">
        <f>结果表!H112</f>
        <v>——</v>
      </c>
      <c r="E21" s="1948"/>
    </row>
    <row r="22" spans="1:5" ht="15" thickTop="1">
      <c r="A22" s="1948"/>
      <c r="B22" s="1959" t="s">
        <v>1637</v>
      </c>
      <c r="C22" s="1948"/>
      <c r="D22" s="1948"/>
      <c r="E22" s="1948"/>
    </row>
    <row r="23" spans="1:5">
      <c r="A23" s="1948"/>
      <c r="B23" s="1948"/>
      <c r="C23" s="1948"/>
      <c r="D23" s="1948"/>
      <c r="E23" s="1948"/>
    </row>
    <row r="24" spans="1:5" ht="18.75">
      <c r="A24" s="1960"/>
      <c r="B24" s="1961" t="s">
        <v>1628</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31555</v>
      </c>
      <c r="C2" s="2" t="s">
        <v>133</v>
      </c>
      <c r="D2" s="243"/>
      <c r="E2" s="243"/>
      <c r="F2" s="243"/>
      <c r="G2" s="243"/>
    </row>
    <row r="3" spans="1:7" s="244" customFormat="1" ht="18" customHeight="1" thickBot="1">
      <c r="A3" s="247" t="s">
        <v>85</v>
      </c>
      <c r="B3" s="248">
        <f ca="1">ROUND(B2*10000/'数据-汇总表'!E3,0)</f>
        <v>6360613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1148</v>
      </c>
    </row>
    <row r="9" spans="1:7" s="258" customFormat="1" ht="13.5" customHeight="1">
      <c r="A9" s="946" t="s">
        <v>800</v>
      </c>
      <c r="B9" s="268" t="s">
        <v>93</v>
      </c>
      <c r="C9" s="269">
        <f>ROUND(D9*E9/10000,0)</f>
        <v>0</v>
      </c>
      <c r="D9" s="1028">
        <f>'数据-汇总表'!E5</f>
        <v>0</v>
      </c>
      <c r="E9" s="269">
        <f>'数据-取费表'!B27</f>
        <v>105</v>
      </c>
      <c r="F9" s="265"/>
      <c r="G9" s="270"/>
    </row>
    <row r="10" spans="1:7" s="258" customFormat="1" ht="13.5" customHeight="1">
      <c r="A10" s="946" t="s">
        <v>801</v>
      </c>
      <c r="B10" s="268" t="s">
        <v>94</v>
      </c>
      <c r="C10" s="269">
        <f>ROUND(D10*E10/10000,0)</f>
        <v>1</v>
      </c>
      <c r="D10" s="1028">
        <f>'数据-汇总表'!E6</f>
        <v>49.61</v>
      </c>
      <c r="E10" s="269">
        <f>'数据-取费表'!B28</f>
        <v>154</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1055</v>
      </c>
      <c r="B19" s="254" t="s">
        <v>111</v>
      </c>
      <c r="C19" s="255">
        <f>IF(G19="已包含在土地取得成本中","0",ROUND(D19*E19/10000,0))</f>
        <v>1</v>
      </c>
      <c r="D19" s="1032">
        <f>'数据-汇总表'!E3</f>
        <v>49.61</v>
      </c>
      <c r="E19" s="255">
        <f>'数据-取费表'!B31</f>
        <v>200</v>
      </c>
      <c r="F19" s="275"/>
      <c r="G19" s="1" t="s">
        <v>1074</v>
      </c>
    </row>
    <row r="20" spans="1:7" s="258" customFormat="1" ht="13.5" customHeight="1">
      <c r="A20" s="944" t="s">
        <v>1057</v>
      </c>
      <c r="B20" s="254" t="s">
        <v>104</v>
      </c>
      <c r="C20" s="276">
        <f>ROUND((C5+C19)*F20,0)</f>
        <v>412</v>
      </c>
      <c r="D20" s="276"/>
      <c r="E20" s="276"/>
      <c r="F20" s="277">
        <f>'数据-取费表'!B37</f>
        <v>0.02</v>
      </c>
      <c r="G20" s="1285" t="s">
        <v>1068</v>
      </c>
    </row>
    <row r="21" spans="1:7" s="258" customFormat="1" ht="13.5" customHeight="1">
      <c r="A21" s="944" t="s">
        <v>1059</v>
      </c>
      <c r="B21" s="254" t="s">
        <v>105</v>
      </c>
      <c r="C21" s="279">
        <f>F21</f>
        <v>0.02</v>
      </c>
      <c r="D21" s="280" t="s">
        <v>126</v>
      </c>
      <c r="E21" s="276"/>
      <c r="F21" s="277">
        <f>'数据-取费表'!B38</f>
        <v>0.02</v>
      </c>
      <c r="G21" s="278" t="s">
        <v>106</v>
      </c>
    </row>
    <row r="22" spans="1:7" s="258" customFormat="1" ht="13.5" customHeight="1">
      <c r="A22" s="944" t="s">
        <v>786</v>
      </c>
      <c r="B22" s="254" t="s">
        <v>107</v>
      </c>
      <c r="C22" s="1343">
        <f ca="1">ROUND(SUM(C23:C25),0)</f>
        <v>2560</v>
      </c>
      <c r="D22" s="279">
        <f ca="1">C26</f>
        <v>1.1999999999999999E-3</v>
      </c>
      <c r="E22" s="280" t="s">
        <v>126</v>
      </c>
      <c r="F22" s="281">
        <f ca="1">'数据-取费表'!B40</f>
        <v>4.7500000000000001E-2</v>
      </c>
      <c r="G22" s="1285" t="str">
        <f>IF('数据-取费表'!B22&lt;=1,"单利计息","复利计息")</f>
        <v>复利计息</v>
      </c>
    </row>
    <row r="23" spans="1:7" s="258" customFormat="1" ht="13.5" customHeight="1">
      <c r="A23" s="947" t="s">
        <v>794</v>
      </c>
      <c r="B23" s="259" t="s">
        <v>1061</v>
      </c>
      <c r="C23" s="1344">
        <f ca="1">ROUND(IF('数据-取费表'!B22&lt;=1,C5*F22*'数据-取费表'!B23,C5*(POWER((1+F22),'数据-取费表'!B23)-1)),0)</f>
        <v>2535</v>
      </c>
      <c r="D23" s="282"/>
      <c r="E23" s="282"/>
      <c r="F23" s="283"/>
      <c r="G23" s="284" t="s">
        <v>108</v>
      </c>
    </row>
    <row r="24" spans="1:7" s="258" customFormat="1" ht="13.5" customHeight="1">
      <c r="A24" s="947" t="s">
        <v>792</v>
      </c>
      <c r="B24" s="259" t="s">
        <v>1056</v>
      </c>
      <c r="C24" s="1344">
        <f ca="1">ROUND(IF('数据-取费表'!B22&lt;=1,C19*F22*('数据-取费表'!B19/2+'数据-取费表'!B21),C19*(POWER((1+F22),('数据-取费表'!B19/2+'数据-取费表'!B21))-1)),0)</f>
        <v>0</v>
      </c>
      <c r="D24" s="282"/>
      <c r="E24" s="282"/>
      <c r="F24" s="283"/>
      <c r="G24" s="284" t="s">
        <v>109</v>
      </c>
    </row>
    <row r="25" spans="1:7" s="258" customFormat="1" ht="24">
      <c r="A25" s="947" t="s">
        <v>793</v>
      </c>
      <c r="B25" s="259" t="s">
        <v>1058</v>
      </c>
      <c r="C25" s="1344">
        <f ca="1">ROUND(IF('数据-取费表'!B22&lt;=1,C20*F22*'数据-取费表'!B23/2,C20*(POWER((1+F22),'数据-取费表'!B23/2)-1)),0)</f>
        <v>25</v>
      </c>
      <c r="D25" s="282"/>
      <c r="E25" s="285"/>
      <c r="F25" s="283"/>
      <c r="G25" s="286" t="s">
        <v>110</v>
      </c>
    </row>
    <row r="26" spans="1:7" s="258" customFormat="1">
      <c r="A26" s="947" t="s">
        <v>795</v>
      </c>
      <c r="B26" s="259" t="s">
        <v>1060</v>
      </c>
      <c r="C26" s="282">
        <f ca="1">ROUND(IF('数据-取费表'!B22&lt;=1,F21*F22*'数据-取费表'!B23/2,F21*(POWER((1+F22),'数据-取费表'!B23/2)-1)),4)</f>
        <v>1.1999999999999999E-3</v>
      </c>
      <c r="D26" s="282"/>
      <c r="E26" s="285"/>
      <c r="F26" s="283"/>
      <c r="G26" s="287"/>
    </row>
    <row r="27" spans="1:7" s="258" customFormat="1" ht="24.75">
      <c r="A27" s="944" t="s">
        <v>787</v>
      </c>
      <c r="B27" s="288" t="s">
        <v>112</v>
      </c>
      <c r="C27" s="289">
        <f>C28</f>
        <v>5256</v>
      </c>
      <c r="D27" s="279">
        <f>C29</f>
        <v>5.0000000000000001E-3</v>
      </c>
      <c r="E27" s="280" t="s">
        <v>126</v>
      </c>
      <c r="F27" s="290">
        <f>'数据-取费表'!Q16</f>
        <v>0.25</v>
      </c>
      <c r="G27" s="291" t="s">
        <v>1069</v>
      </c>
    </row>
    <row r="28" spans="1:7" s="258" customFormat="1" ht="13.5" customHeight="1">
      <c r="A28" s="947" t="s">
        <v>794</v>
      </c>
      <c r="B28" s="292" t="s">
        <v>1062</v>
      </c>
      <c r="C28" s="293">
        <f>ROUND((C5+C19+C20)*F27*'数据-取费表'!B21/'数据-取费表'!B20,0)</f>
        <v>5256</v>
      </c>
      <c r="D28" s="279"/>
      <c r="E28" s="280"/>
      <c r="F28" s="290"/>
      <c r="G28" s="291"/>
    </row>
    <row r="29" spans="1:7" s="258" customFormat="1" ht="13.5" customHeight="1">
      <c r="A29" s="947" t="s">
        <v>792</v>
      </c>
      <c r="B29" s="292" t="s">
        <v>1063</v>
      </c>
      <c r="C29" s="282">
        <f>ROUND(C21*F27*'数据-取费表'!B21/'数据-取费表'!B20,4)</f>
        <v>5.0000000000000001E-3</v>
      </c>
      <c r="D29" s="279"/>
      <c r="E29" s="280"/>
      <c r="F29" s="290"/>
      <c r="G29" s="291"/>
    </row>
    <row r="30" spans="1:7" s="258" customFormat="1" ht="13.5" customHeight="1">
      <c r="A30" s="944" t="s">
        <v>788</v>
      </c>
      <c r="B30" s="254" t="s">
        <v>58</v>
      </c>
      <c r="C30" s="279">
        <f>F30</f>
        <v>6.2719999999999998E-2</v>
      </c>
      <c r="D30" s="280" t="s">
        <v>127</v>
      </c>
      <c r="E30" s="285"/>
      <c r="F30" s="281">
        <f>'数据-取费表'!B41</f>
        <v>6.2719999999999998E-2</v>
      </c>
      <c r="G30" s="278" t="s">
        <v>113</v>
      </c>
    </row>
    <row r="31" spans="1:7" ht="16.5" customHeight="1">
      <c r="A31" s="253">
        <v>1</v>
      </c>
      <c r="B31" s="254" t="s">
        <v>128</v>
      </c>
      <c r="C31" s="255">
        <f ca="1">ROUND((C5+C19+C20+C22+C27)/(1-C21-D22-D27-C30/(1+'数据-取费表'!B42)),0)</f>
        <v>31539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11</v>
      </c>
      <c r="D34" s="261"/>
      <c r="E34" s="264"/>
      <c r="F34" s="301">
        <f>IF('数据-取费表'!B24=0,1,'数据-取费表'!N16)</f>
        <v>1</v>
      </c>
      <c r="G34" s="263" t="s">
        <v>116</v>
      </c>
    </row>
    <row r="35" spans="1:7" ht="13.5" customHeight="1">
      <c r="A35" s="947" t="s">
        <v>796</v>
      </c>
      <c r="B35" s="259" t="s">
        <v>60</v>
      </c>
      <c r="C35" s="264">
        <f>ROUND(C34*F35,0)</f>
        <v>0</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47" t="s">
        <v>798</v>
      </c>
      <c r="B37" s="259" t="s">
        <v>118</v>
      </c>
      <c r="C37" s="293">
        <f>ROUND(E37*D37*F34/10000,0)</f>
        <v>1</v>
      </c>
      <c r="D37" s="261">
        <f>'数据-汇总表'!E3</f>
        <v>49.61</v>
      </c>
      <c r="E37" s="293">
        <f>'数据-取费表'!B35</f>
        <v>200</v>
      </c>
      <c r="F37" s="303"/>
      <c r="G37" s="305" t="s">
        <v>119</v>
      </c>
    </row>
    <row r="38" spans="1:7" ht="13.5" customHeight="1">
      <c r="A38" s="947" t="s">
        <v>799</v>
      </c>
      <c r="B38" s="259" t="s">
        <v>63</v>
      </c>
      <c r="C38" s="264">
        <f>ROUND(C34*F38,0)</f>
        <v>0</v>
      </c>
      <c r="D38" s="264"/>
      <c r="E38" s="264"/>
      <c r="F38" s="303">
        <f>'数据-取费表'!B36</f>
        <v>1.4999999999999999E-2</v>
      </c>
      <c r="G38" s="263" t="s">
        <v>117</v>
      </c>
    </row>
    <row r="39" spans="1:7" s="258" customFormat="1" ht="13.5" customHeight="1">
      <c r="A39" s="944" t="s">
        <v>783</v>
      </c>
      <c r="B39" s="254" t="s">
        <v>104</v>
      </c>
      <c r="C39" s="276">
        <f>ROUND(C33*F20,0)</f>
        <v>0</v>
      </c>
      <c r="D39" s="276"/>
      <c r="E39" s="276"/>
      <c r="F39" s="277"/>
      <c r="G39" s="1285" t="s">
        <v>1071</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1</v>
      </c>
      <c r="D41" s="279">
        <f ca="1">C44</f>
        <v>1.1999999999999999E-3</v>
      </c>
      <c r="E41" s="280" t="s">
        <v>129</v>
      </c>
      <c r="F41" s="281"/>
      <c r="G41" s="1285" t="str">
        <f>IF('数据-取费表'!B22&lt;=1,"单利计息","复利计息")</f>
        <v>复利计息</v>
      </c>
    </row>
    <row r="42" spans="1:7" ht="13.5" customHeight="1">
      <c r="A42" s="947" t="s">
        <v>794</v>
      </c>
      <c r="B42" s="259" t="s">
        <v>1061</v>
      </c>
      <c r="C42" s="282">
        <f ca="1">ROUND(IF('数据-取费表'!B22&lt;=1,C33*F22*'数据-取费表'!B21/2,C33*(POWER((1+F22),'数据-取费表'!B21/2)-1)),0)</f>
        <v>1</v>
      </c>
      <c r="D42" s="282"/>
      <c r="E42" s="282"/>
      <c r="F42" s="283"/>
      <c r="G42" s="3192" t="s">
        <v>121</v>
      </c>
    </row>
    <row r="43" spans="1:7" ht="13.5" customHeight="1">
      <c r="A43" s="947" t="s">
        <v>792</v>
      </c>
      <c r="B43" s="259" t="s">
        <v>1064</v>
      </c>
      <c r="C43" s="282">
        <f ca="1">ROUND(IF('数据-取费表'!B22&lt;=1,C39*F22*'数据-取费表'!B21/2,C39*(POWER((1+F22),'数据-取费表'!B21/2)-1)),0)</f>
        <v>0</v>
      </c>
      <c r="D43" s="282"/>
      <c r="E43" s="282"/>
      <c r="F43" s="283"/>
      <c r="G43" s="3193"/>
    </row>
    <row r="44" spans="1:7" ht="13.5" customHeight="1">
      <c r="A44" s="947" t="s">
        <v>793</v>
      </c>
      <c r="B44" s="259" t="s">
        <v>1066</v>
      </c>
      <c r="C44" s="282">
        <f ca="1">ROUND(IF('数据-取费表'!B22&lt;=1,C40*F22*'数据-取费表'!B21/2,C40*(POWER((1+F22),'数据-取费表'!B21/2)-1)),4)</f>
        <v>1.1999999999999999E-3</v>
      </c>
      <c r="D44" s="282"/>
      <c r="E44" s="282"/>
      <c r="F44" s="283"/>
      <c r="G44" s="3194"/>
    </row>
    <row r="45" spans="1:7" s="258" customFormat="1" ht="13.5" customHeight="1">
      <c r="A45" s="944" t="s">
        <v>786</v>
      </c>
      <c r="B45" s="288" t="s">
        <v>112</v>
      </c>
      <c r="C45" s="289">
        <f>C46</f>
        <v>3</v>
      </c>
      <c r="D45" s="279">
        <f>C47</f>
        <v>5.0000000000000001E-3</v>
      </c>
      <c r="E45" s="280" t="s">
        <v>129</v>
      </c>
      <c r="F45" s="290"/>
      <c r="G45" s="291" t="s">
        <v>1072</v>
      </c>
    </row>
    <row r="46" spans="1:7" s="258" customFormat="1" ht="13.5" customHeight="1">
      <c r="A46" s="947" t="s">
        <v>794</v>
      </c>
      <c r="B46" s="292" t="s">
        <v>1065</v>
      </c>
      <c r="C46" s="293">
        <f>ROUND((C33+C39)*F27,0)</f>
        <v>3</v>
      </c>
      <c r="D46" s="307"/>
      <c r="E46" s="280"/>
      <c r="F46" s="290"/>
      <c r="G46" s="291"/>
    </row>
    <row r="47" spans="1:7" s="258" customFormat="1" ht="13.5" customHeight="1">
      <c r="A47" s="947" t="s">
        <v>792</v>
      </c>
      <c r="B47" s="292" t="s">
        <v>1067</v>
      </c>
      <c r="C47" s="282">
        <f>ROUND(C40*F27,4)</f>
        <v>5.0000000000000001E-3</v>
      </c>
      <c r="D47" s="307"/>
      <c r="E47" s="280"/>
      <c r="F47" s="290"/>
      <c r="G47" s="291"/>
    </row>
    <row r="48" spans="1:7" s="258" customFormat="1" ht="13.5" customHeight="1">
      <c r="A48" s="944" t="s">
        <v>787</v>
      </c>
      <c r="B48" s="254" t="s">
        <v>122</v>
      </c>
      <c r="C48" s="306">
        <f>F30</f>
        <v>6.2719999999999998E-2</v>
      </c>
      <c r="D48" s="280" t="s">
        <v>130</v>
      </c>
      <c r="E48" s="276"/>
      <c r="F48" s="281"/>
      <c r="G48" s="278" t="s">
        <v>123</v>
      </c>
    </row>
    <row r="49" spans="1:7" ht="16.5" customHeight="1">
      <c r="A49" s="944" t="s">
        <v>788</v>
      </c>
      <c r="B49" s="254" t="s">
        <v>131</v>
      </c>
      <c r="C49" s="276">
        <f ca="1">ROUND((C33+C39+C41+C45)/(1-C40-D41-D45-C48/(1+'数据-取费表'!B42)),0)</f>
        <v>17</v>
      </c>
      <c r="D49" s="276"/>
      <c r="E49" s="276"/>
      <c r="F49" s="308"/>
      <c r="G49" s="278" t="s">
        <v>1073</v>
      </c>
    </row>
    <row r="50" spans="1:7" s="302" customFormat="1" ht="24">
      <c r="A50" s="944" t="s">
        <v>789</v>
      </c>
      <c r="B50" s="254" t="s">
        <v>124</v>
      </c>
      <c r="C50" s="276"/>
      <c r="D50" s="276"/>
      <c r="E50" s="276"/>
      <c r="F50" s="308">
        <f>IF('数据-取费表'!B24=0,'数据-取费表'!N16,1)</f>
        <v>0.97</v>
      </c>
      <c r="G50" s="291" t="s">
        <v>125</v>
      </c>
    </row>
    <row r="51" spans="1:7" ht="16.5" customHeight="1">
      <c r="A51" s="944" t="s">
        <v>790</v>
      </c>
      <c r="B51" s="254" t="s">
        <v>132</v>
      </c>
      <c r="C51" s="276">
        <f ca="1">ROUND(C49*F50,0)</f>
        <v>16</v>
      </c>
      <c r="D51" s="276"/>
      <c r="E51" s="276"/>
      <c r="F51" s="308"/>
      <c r="G51" s="278" t="s">
        <v>64</v>
      </c>
    </row>
    <row r="52" spans="1:7" s="252" customFormat="1" ht="16.5" thickBot="1">
      <c r="A52" s="309" t="s">
        <v>65</v>
      </c>
      <c r="B52" s="310"/>
      <c r="C52" s="311">
        <f ca="1">C31+C51</f>
        <v>31555</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31" t="s">
        <v>156</v>
      </c>
      <c r="B1" s="3331"/>
      <c r="C1" s="3331"/>
      <c r="D1" s="3331"/>
      <c r="E1" s="3331"/>
      <c r="F1" s="3331"/>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32" t="s">
        <v>169</v>
      </c>
      <c r="B2" s="3332"/>
      <c r="C2" s="3332"/>
      <c r="D2" s="3332"/>
      <c r="E2" s="3332"/>
      <c r="F2" s="3332"/>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33"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34"/>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31" t="s">
        <v>871</v>
      </c>
      <c r="B1" s="3331"/>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28" customWidth="1"/>
    <col min="2" max="2" width="13.25" style="1634" customWidth="1"/>
    <col min="3" max="3" width="15.625" style="1634" customWidth="1"/>
    <col min="4" max="4" width="9.375" style="1634" bestFit="1" customWidth="1"/>
    <col min="5" max="5" width="13.5" style="1634" customWidth="1"/>
    <col min="6" max="6" width="9" style="1634"/>
    <col min="7" max="7" width="9.375" style="1634" bestFit="1" customWidth="1"/>
    <col min="8" max="8" width="12.25" style="1634" customWidth="1"/>
    <col min="9" max="9" width="9" style="1634"/>
    <col min="10" max="10" width="9.375" style="1634" bestFit="1" customWidth="1"/>
    <col min="11" max="11" width="4" style="1628" customWidth="1"/>
    <col min="12" max="12" width="5.125" style="1634" customWidth="1"/>
    <col min="13" max="13" width="13.75" style="1634" customWidth="1"/>
    <col min="14" max="256" width="9" style="1634"/>
    <col min="257" max="257" width="4.875" style="1625" customWidth="1"/>
    <col min="258" max="258" width="13.25" style="1625" customWidth="1"/>
    <col min="259" max="259" width="15.625" style="1625" customWidth="1"/>
    <col min="260" max="260" width="9.375" style="1625" bestFit="1" customWidth="1"/>
    <col min="261" max="261" width="13.5" style="1625" customWidth="1"/>
    <col min="262" max="262" width="9" style="1625"/>
    <col min="263" max="263" width="9.375" style="1625" bestFit="1" customWidth="1"/>
    <col min="264" max="265" width="9" style="1625"/>
    <col min="266" max="266" width="9.375" style="1625" bestFit="1" customWidth="1"/>
    <col min="267" max="267" width="4" style="1625" customWidth="1"/>
    <col min="268" max="268" width="5.125" style="1625" customWidth="1"/>
    <col min="269" max="269" width="13.75" style="1625" customWidth="1"/>
    <col min="270" max="512" width="9" style="1625"/>
    <col min="513" max="513" width="4.875" style="1625" customWidth="1"/>
    <col min="514" max="514" width="13.25" style="1625" customWidth="1"/>
    <col min="515" max="515" width="15.625" style="1625" customWidth="1"/>
    <col min="516" max="516" width="9.375" style="1625" bestFit="1" customWidth="1"/>
    <col min="517" max="517" width="13.5" style="1625" customWidth="1"/>
    <col min="518" max="518" width="9" style="1625"/>
    <col min="519" max="519" width="9.375" style="1625" bestFit="1" customWidth="1"/>
    <col min="520" max="521" width="9" style="1625"/>
    <col min="522" max="522" width="9.375" style="1625" bestFit="1" customWidth="1"/>
    <col min="523" max="523" width="4" style="1625" customWidth="1"/>
    <col min="524" max="524" width="5.125" style="1625" customWidth="1"/>
    <col min="525" max="525" width="13.75" style="1625" customWidth="1"/>
    <col min="526" max="768" width="9" style="1625"/>
    <col min="769" max="769" width="4.875" style="1625" customWidth="1"/>
    <col min="770" max="770" width="13.25" style="1625" customWidth="1"/>
    <col min="771" max="771" width="15.625" style="1625" customWidth="1"/>
    <col min="772" max="772" width="9.375" style="1625" bestFit="1" customWidth="1"/>
    <col min="773" max="773" width="13.5" style="1625" customWidth="1"/>
    <col min="774" max="774" width="9" style="1625"/>
    <col min="775" max="775" width="9.375" style="1625" bestFit="1" customWidth="1"/>
    <col min="776" max="777" width="9" style="1625"/>
    <col min="778" max="778" width="9.375" style="1625" bestFit="1" customWidth="1"/>
    <col min="779" max="779" width="4" style="1625" customWidth="1"/>
    <col min="780" max="780" width="5.125" style="1625" customWidth="1"/>
    <col min="781" max="781" width="13.75" style="1625" customWidth="1"/>
    <col min="782" max="1024" width="9" style="1625"/>
    <col min="1025" max="1025" width="4.875" style="1625" customWidth="1"/>
    <col min="1026" max="1026" width="13.25" style="1625" customWidth="1"/>
    <col min="1027" max="1027" width="15.625" style="1625" customWidth="1"/>
    <col min="1028" max="1028" width="9.375" style="1625" bestFit="1" customWidth="1"/>
    <col min="1029" max="1029" width="13.5" style="1625" customWidth="1"/>
    <col min="1030" max="1030" width="9" style="1625"/>
    <col min="1031" max="1031" width="9.375" style="1625" bestFit="1" customWidth="1"/>
    <col min="1032" max="1033" width="9" style="1625"/>
    <col min="1034" max="1034" width="9.375" style="1625" bestFit="1" customWidth="1"/>
    <col min="1035" max="1035" width="4" style="1625" customWidth="1"/>
    <col min="1036" max="1036" width="5.125" style="1625" customWidth="1"/>
    <col min="1037" max="1037" width="13.75" style="1625" customWidth="1"/>
    <col min="1038" max="1280" width="9" style="1625"/>
    <col min="1281" max="1281" width="4.875" style="1625" customWidth="1"/>
    <col min="1282" max="1282" width="13.25" style="1625" customWidth="1"/>
    <col min="1283" max="1283" width="15.625" style="1625" customWidth="1"/>
    <col min="1284" max="1284" width="9.375" style="1625" bestFit="1" customWidth="1"/>
    <col min="1285" max="1285" width="13.5" style="1625" customWidth="1"/>
    <col min="1286" max="1286" width="9" style="1625"/>
    <col min="1287" max="1287" width="9.375" style="1625" bestFit="1" customWidth="1"/>
    <col min="1288" max="1289" width="9" style="1625"/>
    <col min="1290" max="1290" width="9.375" style="1625" bestFit="1" customWidth="1"/>
    <col min="1291" max="1291" width="4" style="1625" customWidth="1"/>
    <col min="1292" max="1292" width="5.125" style="1625" customWidth="1"/>
    <col min="1293" max="1293" width="13.75" style="1625" customWidth="1"/>
    <col min="1294" max="1536" width="9" style="1625"/>
    <col min="1537" max="1537" width="4.875" style="1625" customWidth="1"/>
    <col min="1538" max="1538" width="13.25" style="1625" customWidth="1"/>
    <col min="1539" max="1539" width="15.625" style="1625" customWidth="1"/>
    <col min="1540" max="1540" width="9.375" style="1625" bestFit="1" customWidth="1"/>
    <col min="1541" max="1541" width="13.5" style="1625" customWidth="1"/>
    <col min="1542" max="1542" width="9" style="1625"/>
    <col min="1543" max="1543" width="9.375" style="1625" bestFit="1" customWidth="1"/>
    <col min="1544" max="1545" width="9" style="1625"/>
    <col min="1546" max="1546" width="9.375" style="1625" bestFit="1" customWidth="1"/>
    <col min="1547" max="1547" width="4" style="1625" customWidth="1"/>
    <col min="1548" max="1548" width="5.125" style="1625" customWidth="1"/>
    <col min="1549" max="1549" width="13.75" style="1625" customWidth="1"/>
    <col min="1550" max="1792" width="9" style="1625"/>
    <col min="1793" max="1793" width="4.875" style="1625" customWidth="1"/>
    <col min="1794" max="1794" width="13.25" style="1625" customWidth="1"/>
    <col min="1795" max="1795" width="15.625" style="1625" customWidth="1"/>
    <col min="1796" max="1796" width="9.375" style="1625" bestFit="1" customWidth="1"/>
    <col min="1797" max="1797" width="13.5" style="1625" customWidth="1"/>
    <col min="1798" max="1798" width="9" style="1625"/>
    <col min="1799" max="1799" width="9.375" style="1625" bestFit="1" customWidth="1"/>
    <col min="1800" max="1801" width="9" style="1625"/>
    <col min="1802" max="1802" width="9.375" style="1625" bestFit="1" customWidth="1"/>
    <col min="1803" max="1803" width="4" style="1625" customWidth="1"/>
    <col min="1804" max="1804" width="5.125" style="1625" customWidth="1"/>
    <col min="1805" max="1805" width="13.75" style="1625" customWidth="1"/>
    <col min="1806" max="2048" width="9" style="1625"/>
    <col min="2049" max="2049" width="4.875" style="1625" customWidth="1"/>
    <col min="2050" max="2050" width="13.25" style="1625" customWidth="1"/>
    <col min="2051" max="2051" width="15.625" style="1625" customWidth="1"/>
    <col min="2052" max="2052" width="9.375" style="1625" bestFit="1" customWidth="1"/>
    <col min="2053" max="2053" width="13.5" style="1625" customWidth="1"/>
    <col min="2054" max="2054" width="9" style="1625"/>
    <col min="2055" max="2055" width="9.375" style="1625" bestFit="1" customWidth="1"/>
    <col min="2056" max="2057" width="9" style="1625"/>
    <col min="2058" max="2058" width="9.375" style="1625" bestFit="1" customWidth="1"/>
    <col min="2059" max="2059" width="4" style="1625" customWidth="1"/>
    <col min="2060" max="2060" width="5.125" style="1625" customWidth="1"/>
    <col min="2061" max="2061" width="13.75" style="1625" customWidth="1"/>
    <col min="2062" max="2304" width="9" style="1625"/>
    <col min="2305" max="2305" width="4.875" style="1625" customWidth="1"/>
    <col min="2306" max="2306" width="13.25" style="1625" customWidth="1"/>
    <col min="2307" max="2307" width="15.625" style="1625" customWidth="1"/>
    <col min="2308" max="2308" width="9.375" style="1625" bestFit="1" customWidth="1"/>
    <col min="2309" max="2309" width="13.5" style="1625" customWidth="1"/>
    <col min="2310" max="2310" width="9" style="1625"/>
    <col min="2311" max="2311" width="9.375" style="1625" bestFit="1" customWidth="1"/>
    <col min="2312" max="2313" width="9" style="1625"/>
    <col min="2314" max="2314" width="9.375" style="1625" bestFit="1" customWidth="1"/>
    <col min="2315" max="2315" width="4" style="1625" customWidth="1"/>
    <col min="2316" max="2316" width="5.125" style="1625" customWidth="1"/>
    <col min="2317" max="2317" width="13.75" style="1625" customWidth="1"/>
    <col min="2318" max="2560" width="9" style="1625"/>
    <col min="2561" max="2561" width="4.875" style="1625" customWidth="1"/>
    <col min="2562" max="2562" width="13.25" style="1625" customWidth="1"/>
    <col min="2563" max="2563" width="15.625" style="1625" customWidth="1"/>
    <col min="2564" max="2564" width="9.375" style="1625" bestFit="1" customWidth="1"/>
    <col min="2565" max="2565" width="13.5" style="1625" customWidth="1"/>
    <col min="2566" max="2566" width="9" style="1625"/>
    <col min="2567" max="2567" width="9.375" style="1625" bestFit="1" customWidth="1"/>
    <col min="2568" max="2569" width="9" style="1625"/>
    <col min="2570" max="2570" width="9.375" style="1625" bestFit="1" customWidth="1"/>
    <col min="2571" max="2571" width="4" style="1625" customWidth="1"/>
    <col min="2572" max="2572" width="5.125" style="1625" customWidth="1"/>
    <col min="2573" max="2573" width="13.75" style="1625" customWidth="1"/>
    <col min="2574" max="2816" width="9" style="1625"/>
    <col min="2817" max="2817" width="4.875" style="1625" customWidth="1"/>
    <col min="2818" max="2818" width="13.25" style="1625" customWidth="1"/>
    <col min="2819" max="2819" width="15.625" style="1625" customWidth="1"/>
    <col min="2820" max="2820" width="9.375" style="1625" bestFit="1" customWidth="1"/>
    <col min="2821" max="2821" width="13.5" style="1625" customWidth="1"/>
    <col min="2822" max="2822" width="9" style="1625"/>
    <col min="2823" max="2823" width="9.375" style="1625" bestFit="1" customWidth="1"/>
    <col min="2824" max="2825" width="9" style="1625"/>
    <col min="2826" max="2826" width="9.375" style="1625" bestFit="1" customWidth="1"/>
    <col min="2827" max="2827" width="4" style="1625" customWidth="1"/>
    <col min="2828" max="2828" width="5.125" style="1625" customWidth="1"/>
    <col min="2829" max="2829" width="13.75" style="1625" customWidth="1"/>
    <col min="2830" max="3072" width="9" style="1625"/>
    <col min="3073" max="3073" width="4.875" style="1625" customWidth="1"/>
    <col min="3074" max="3074" width="13.25" style="1625" customWidth="1"/>
    <col min="3075" max="3075" width="15.625" style="1625" customWidth="1"/>
    <col min="3076" max="3076" width="9.375" style="1625" bestFit="1" customWidth="1"/>
    <col min="3077" max="3077" width="13.5" style="1625" customWidth="1"/>
    <col min="3078" max="3078" width="9" style="1625"/>
    <col min="3079" max="3079" width="9.375" style="1625" bestFit="1" customWidth="1"/>
    <col min="3080" max="3081" width="9" style="1625"/>
    <col min="3082" max="3082" width="9.375" style="1625" bestFit="1" customWidth="1"/>
    <col min="3083" max="3083" width="4" style="1625" customWidth="1"/>
    <col min="3084" max="3084" width="5.125" style="1625" customWidth="1"/>
    <col min="3085" max="3085" width="13.75" style="1625" customWidth="1"/>
    <col min="3086" max="3328" width="9" style="1625"/>
    <col min="3329" max="3329" width="4.875" style="1625" customWidth="1"/>
    <col min="3330" max="3330" width="13.25" style="1625" customWidth="1"/>
    <col min="3331" max="3331" width="15.625" style="1625" customWidth="1"/>
    <col min="3332" max="3332" width="9.375" style="1625" bestFit="1" customWidth="1"/>
    <col min="3333" max="3333" width="13.5" style="1625" customWidth="1"/>
    <col min="3334" max="3334" width="9" style="1625"/>
    <col min="3335" max="3335" width="9.375" style="1625" bestFit="1" customWidth="1"/>
    <col min="3336" max="3337" width="9" style="1625"/>
    <col min="3338" max="3338" width="9.375" style="1625" bestFit="1" customWidth="1"/>
    <col min="3339" max="3339" width="4" style="1625" customWidth="1"/>
    <col min="3340" max="3340" width="5.125" style="1625" customWidth="1"/>
    <col min="3341" max="3341" width="13.75" style="1625" customWidth="1"/>
    <col min="3342" max="3584" width="9" style="1625"/>
    <col min="3585" max="3585" width="4.875" style="1625" customWidth="1"/>
    <col min="3586" max="3586" width="13.25" style="1625" customWidth="1"/>
    <col min="3587" max="3587" width="15.625" style="1625" customWidth="1"/>
    <col min="3588" max="3588" width="9.375" style="1625" bestFit="1" customWidth="1"/>
    <col min="3589" max="3589" width="13.5" style="1625" customWidth="1"/>
    <col min="3590" max="3590" width="9" style="1625"/>
    <col min="3591" max="3591" width="9.375" style="1625" bestFit="1" customWidth="1"/>
    <col min="3592" max="3593" width="9" style="1625"/>
    <col min="3594" max="3594" width="9.375" style="1625" bestFit="1" customWidth="1"/>
    <col min="3595" max="3595" width="4" style="1625" customWidth="1"/>
    <col min="3596" max="3596" width="5.125" style="1625" customWidth="1"/>
    <col min="3597" max="3597" width="13.75" style="1625" customWidth="1"/>
    <col min="3598" max="3840" width="9" style="1625"/>
    <col min="3841" max="3841" width="4.875" style="1625" customWidth="1"/>
    <col min="3842" max="3842" width="13.25" style="1625" customWidth="1"/>
    <col min="3843" max="3843" width="15.625" style="1625" customWidth="1"/>
    <col min="3844" max="3844" width="9.375" style="1625" bestFit="1" customWidth="1"/>
    <col min="3845" max="3845" width="13.5" style="1625" customWidth="1"/>
    <col min="3846" max="3846" width="9" style="1625"/>
    <col min="3847" max="3847" width="9.375" style="1625" bestFit="1" customWidth="1"/>
    <col min="3848" max="3849" width="9" style="1625"/>
    <col min="3850" max="3850" width="9.375" style="1625" bestFit="1" customWidth="1"/>
    <col min="3851" max="3851" width="4" style="1625" customWidth="1"/>
    <col min="3852" max="3852" width="5.125" style="1625" customWidth="1"/>
    <col min="3853" max="3853" width="13.75" style="1625" customWidth="1"/>
    <col min="3854" max="4096" width="9" style="1625"/>
    <col min="4097" max="4097" width="4.875" style="1625" customWidth="1"/>
    <col min="4098" max="4098" width="13.25" style="1625" customWidth="1"/>
    <col min="4099" max="4099" width="15.625" style="1625" customWidth="1"/>
    <col min="4100" max="4100" width="9.375" style="1625" bestFit="1" customWidth="1"/>
    <col min="4101" max="4101" width="13.5" style="1625" customWidth="1"/>
    <col min="4102" max="4102" width="9" style="1625"/>
    <col min="4103" max="4103" width="9.375" style="1625" bestFit="1" customWidth="1"/>
    <col min="4104" max="4105" width="9" style="1625"/>
    <col min="4106" max="4106" width="9.375" style="1625" bestFit="1" customWidth="1"/>
    <col min="4107" max="4107" width="4" style="1625" customWidth="1"/>
    <col min="4108" max="4108" width="5.125" style="1625" customWidth="1"/>
    <col min="4109" max="4109" width="13.75" style="1625" customWidth="1"/>
    <col min="4110" max="4352" width="9" style="1625"/>
    <col min="4353" max="4353" width="4.875" style="1625" customWidth="1"/>
    <col min="4354" max="4354" width="13.25" style="1625" customWidth="1"/>
    <col min="4355" max="4355" width="15.625" style="1625" customWidth="1"/>
    <col min="4356" max="4356" width="9.375" style="1625" bestFit="1" customWidth="1"/>
    <col min="4357" max="4357" width="13.5" style="1625" customWidth="1"/>
    <col min="4358" max="4358" width="9" style="1625"/>
    <col min="4359" max="4359" width="9.375" style="1625" bestFit="1" customWidth="1"/>
    <col min="4360" max="4361" width="9" style="1625"/>
    <col min="4362" max="4362" width="9.375" style="1625" bestFit="1" customWidth="1"/>
    <col min="4363" max="4363" width="4" style="1625" customWidth="1"/>
    <col min="4364" max="4364" width="5.125" style="1625" customWidth="1"/>
    <col min="4365" max="4365" width="13.75" style="1625" customWidth="1"/>
    <col min="4366" max="4608" width="9" style="1625"/>
    <col min="4609" max="4609" width="4.875" style="1625" customWidth="1"/>
    <col min="4610" max="4610" width="13.25" style="1625" customWidth="1"/>
    <col min="4611" max="4611" width="15.625" style="1625" customWidth="1"/>
    <col min="4612" max="4612" width="9.375" style="1625" bestFit="1" customWidth="1"/>
    <col min="4613" max="4613" width="13.5" style="1625" customWidth="1"/>
    <col min="4614" max="4614" width="9" style="1625"/>
    <col min="4615" max="4615" width="9.375" style="1625" bestFit="1" customWidth="1"/>
    <col min="4616" max="4617" width="9" style="1625"/>
    <col min="4618" max="4618" width="9.375" style="1625" bestFit="1" customWidth="1"/>
    <col min="4619" max="4619" width="4" style="1625" customWidth="1"/>
    <col min="4620" max="4620" width="5.125" style="1625" customWidth="1"/>
    <col min="4621" max="4621" width="13.75" style="1625" customWidth="1"/>
    <col min="4622" max="4864" width="9" style="1625"/>
    <col min="4865" max="4865" width="4.875" style="1625" customWidth="1"/>
    <col min="4866" max="4866" width="13.25" style="1625" customWidth="1"/>
    <col min="4867" max="4867" width="15.625" style="1625" customWidth="1"/>
    <col min="4868" max="4868" width="9.375" style="1625" bestFit="1" customWidth="1"/>
    <col min="4869" max="4869" width="13.5" style="1625" customWidth="1"/>
    <col min="4870" max="4870" width="9" style="1625"/>
    <col min="4871" max="4871" width="9.375" style="1625" bestFit="1" customWidth="1"/>
    <col min="4872" max="4873" width="9" style="1625"/>
    <col min="4874" max="4874" width="9.375" style="1625" bestFit="1" customWidth="1"/>
    <col min="4875" max="4875" width="4" style="1625" customWidth="1"/>
    <col min="4876" max="4876" width="5.125" style="1625" customWidth="1"/>
    <col min="4877" max="4877" width="13.75" style="1625" customWidth="1"/>
    <col min="4878" max="5120" width="9" style="1625"/>
    <col min="5121" max="5121" width="4.875" style="1625" customWidth="1"/>
    <col min="5122" max="5122" width="13.25" style="1625" customWidth="1"/>
    <col min="5123" max="5123" width="15.625" style="1625" customWidth="1"/>
    <col min="5124" max="5124" width="9.375" style="1625" bestFit="1" customWidth="1"/>
    <col min="5125" max="5125" width="13.5" style="1625" customWidth="1"/>
    <col min="5126" max="5126" width="9" style="1625"/>
    <col min="5127" max="5127" width="9.375" style="1625" bestFit="1" customWidth="1"/>
    <col min="5128" max="5129" width="9" style="1625"/>
    <col min="5130" max="5130" width="9.375" style="1625" bestFit="1" customWidth="1"/>
    <col min="5131" max="5131" width="4" style="1625" customWidth="1"/>
    <col min="5132" max="5132" width="5.125" style="1625" customWidth="1"/>
    <col min="5133" max="5133" width="13.75" style="1625" customWidth="1"/>
    <col min="5134" max="5376" width="9" style="1625"/>
    <col min="5377" max="5377" width="4.875" style="1625" customWidth="1"/>
    <col min="5378" max="5378" width="13.25" style="1625" customWidth="1"/>
    <col min="5379" max="5379" width="15.625" style="1625" customWidth="1"/>
    <col min="5380" max="5380" width="9.375" style="1625" bestFit="1" customWidth="1"/>
    <col min="5381" max="5381" width="13.5" style="1625" customWidth="1"/>
    <col min="5382" max="5382" width="9" style="1625"/>
    <col min="5383" max="5383" width="9.375" style="1625" bestFit="1" customWidth="1"/>
    <col min="5384" max="5385" width="9" style="1625"/>
    <col min="5386" max="5386" width="9.375" style="1625" bestFit="1" customWidth="1"/>
    <col min="5387" max="5387" width="4" style="1625" customWidth="1"/>
    <col min="5388" max="5388" width="5.125" style="1625" customWidth="1"/>
    <col min="5389" max="5389" width="13.75" style="1625" customWidth="1"/>
    <col min="5390" max="5632" width="9" style="1625"/>
    <col min="5633" max="5633" width="4.875" style="1625" customWidth="1"/>
    <col min="5634" max="5634" width="13.25" style="1625" customWidth="1"/>
    <col min="5635" max="5635" width="15.625" style="1625" customWidth="1"/>
    <col min="5636" max="5636" width="9.375" style="1625" bestFit="1" customWidth="1"/>
    <col min="5637" max="5637" width="13.5" style="1625" customWidth="1"/>
    <col min="5638" max="5638" width="9" style="1625"/>
    <col min="5639" max="5639" width="9.375" style="1625" bestFit="1" customWidth="1"/>
    <col min="5640" max="5641" width="9" style="1625"/>
    <col min="5642" max="5642" width="9.375" style="1625" bestFit="1" customWidth="1"/>
    <col min="5643" max="5643" width="4" style="1625" customWidth="1"/>
    <col min="5644" max="5644" width="5.125" style="1625" customWidth="1"/>
    <col min="5645" max="5645" width="13.75" style="1625" customWidth="1"/>
    <col min="5646" max="5888" width="9" style="1625"/>
    <col min="5889" max="5889" width="4.875" style="1625" customWidth="1"/>
    <col min="5890" max="5890" width="13.25" style="1625" customWidth="1"/>
    <col min="5891" max="5891" width="15.625" style="1625" customWidth="1"/>
    <col min="5892" max="5892" width="9.375" style="1625" bestFit="1" customWidth="1"/>
    <col min="5893" max="5893" width="13.5" style="1625" customWidth="1"/>
    <col min="5894" max="5894" width="9" style="1625"/>
    <col min="5895" max="5895" width="9.375" style="1625" bestFit="1" customWidth="1"/>
    <col min="5896" max="5897" width="9" style="1625"/>
    <col min="5898" max="5898" width="9.375" style="1625" bestFit="1" customWidth="1"/>
    <col min="5899" max="5899" width="4" style="1625" customWidth="1"/>
    <col min="5900" max="5900" width="5.125" style="1625" customWidth="1"/>
    <col min="5901" max="5901" width="13.75" style="1625" customWidth="1"/>
    <col min="5902" max="6144" width="9" style="1625"/>
    <col min="6145" max="6145" width="4.875" style="1625" customWidth="1"/>
    <col min="6146" max="6146" width="13.25" style="1625" customWidth="1"/>
    <col min="6147" max="6147" width="15.625" style="1625" customWidth="1"/>
    <col min="6148" max="6148" width="9.375" style="1625" bestFit="1" customWidth="1"/>
    <col min="6149" max="6149" width="13.5" style="1625" customWidth="1"/>
    <col min="6150" max="6150" width="9" style="1625"/>
    <col min="6151" max="6151" width="9.375" style="1625" bestFit="1" customWidth="1"/>
    <col min="6152" max="6153" width="9" style="1625"/>
    <col min="6154" max="6154" width="9.375" style="1625" bestFit="1" customWidth="1"/>
    <col min="6155" max="6155" width="4" style="1625" customWidth="1"/>
    <col min="6156" max="6156" width="5.125" style="1625" customWidth="1"/>
    <col min="6157" max="6157" width="13.75" style="1625" customWidth="1"/>
    <col min="6158" max="6400" width="9" style="1625"/>
    <col min="6401" max="6401" width="4.875" style="1625" customWidth="1"/>
    <col min="6402" max="6402" width="13.25" style="1625" customWidth="1"/>
    <col min="6403" max="6403" width="15.625" style="1625" customWidth="1"/>
    <col min="6404" max="6404" width="9.375" style="1625" bestFit="1" customWidth="1"/>
    <col min="6405" max="6405" width="13.5" style="1625" customWidth="1"/>
    <col min="6406" max="6406" width="9" style="1625"/>
    <col min="6407" max="6407" width="9.375" style="1625" bestFit="1" customWidth="1"/>
    <col min="6408" max="6409" width="9" style="1625"/>
    <col min="6410" max="6410" width="9.375" style="1625" bestFit="1" customWidth="1"/>
    <col min="6411" max="6411" width="4" style="1625" customWidth="1"/>
    <col min="6412" max="6412" width="5.125" style="1625" customWidth="1"/>
    <col min="6413" max="6413" width="13.75" style="1625" customWidth="1"/>
    <col min="6414" max="6656" width="9" style="1625"/>
    <col min="6657" max="6657" width="4.875" style="1625" customWidth="1"/>
    <col min="6658" max="6658" width="13.25" style="1625" customWidth="1"/>
    <col min="6659" max="6659" width="15.625" style="1625" customWidth="1"/>
    <col min="6660" max="6660" width="9.375" style="1625" bestFit="1" customWidth="1"/>
    <col min="6661" max="6661" width="13.5" style="1625" customWidth="1"/>
    <col min="6662" max="6662" width="9" style="1625"/>
    <col min="6663" max="6663" width="9.375" style="1625" bestFit="1" customWidth="1"/>
    <col min="6664" max="6665" width="9" style="1625"/>
    <col min="6666" max="6666" width="9.375" style="1625" bestFit="1" customWidth="1"/>
    <col min="6667" max="6667" width="4" style="1625" customWidth="1"/>
    <col min="6668" max="6668" width="5.125" style="1625" customWidth="1"/>
    <col min="6669" max="6669" width="13.75" style="1625" customWidth="1"/>
    <col min="6670" max="6912" width="9" style="1625"/>
    <col min="6913" max="6913" width="4.875" style="1625" customWidth="1"/>
    <col min="6914" max="6914" width="13.25" style="1625" customWidth="1"/>
    <col min="6915" max="6915" width="15.625" style="1625" customWidth="1"/>
    <col min="6916" max="6916" width="9.375" style="1625" bestFit="1" customWidth="1"/>
    <col min="6917" max="6917" width="13.5" style="1625" customWidth="1"/>
    <col min="6918" max="6918" width="9" style="1625"/>
    <col min="6919" max="6919" width="9.375" style="1625" bestFit="1" customWidth="1"/>
    <col min="6920" max="6921" width="9" style="1625"/>
    <col min="6922" max="6922" width="9.375" style="1625" bestFit="1" customWidth="1"/>
    <col min="6923" max="6923" width="4" style="1625" customWidth="1"/>
    <col min="6924" max="6924" width="5.125" style="1625" customWidth="1"/>
    <col min="6925" max="6925" width="13.75" style="1625" customWidth="1"/>
    <col min="6926" max="7168" width="9" style="1625"/>
    <col min="7169" max="7169" width="4.875" style="1625" customWidth="1"/>
    <col min="7170" max="7170" width="13.25" style="1625" customWidth="1"/>
    <col min="7171" max="7171" width="15.625" style="1625" customWidth="1"/>
    <col min="7172" max="7172" width="9.375" style="1625" bestFit="1" customWidth="1"/>
    <col min="7173" max="7173" width="13.5" style="1625" customWidth="1"/>
    <col min="7174" max="7174" width="9" style="1625"/>
    <col min="7175" max="7175" width="9.375" style="1625" bestFit="1" customWidth="1"/>
    <col min="7176" max="7177" width="9" style="1625"/>
    <col min="7178" max="7178" width="9.375" style="1625" bestFit="1" customWidth="1"/>
    <col min="7179" max="7179" width="4" style="1625" customWidth="1"/>
    <col min="7180" max="7180" width="5.125" style="1625" customWidth="1"/>
    <col min="7181" max="7181" width="13.75" style="1625" customWidth="1"/>
    <col min="7182" max="7424" width="9" style="1625"/>
    <col min="7425" max="7425" width="4.875" style="1625" customWidth="1"/>
    <col min="7426" max="7426" width="13.25" style="1625" customWidth="1"/>
    <col min="7427" max="7427" width="15.625" style="1625" customWidth="1"/>
    <col min="7428" max="7428" width="9.375" style="1625" bestFit="1" customWidth="1"/>
    <col min="7429" max="7429" width="13.5" style="1625" customWidth="1"/>
    <col min="7430" max="7430" width="9" style="1625"/>
    <col min="7431" max="7431" width="9.375" style="1625" bestFit="1" customWidth="1"/>
    <col min="7432" max="7433" width="9" style="1625"/>
    <col min="7434" max="7434" width="9.375" style="1625" bestFit="1" customWidth="1"/>
    <col min="7435" max="7435" width="4" style="1625" customWidth="1"/>
    <col min="7436" max="7436" width="5.125" style="1625" customWidth="1"/>
    <col min="7437" max="7437" width="13.75" style="1625" customWidth="1"/>
    <col min="7438" max="7680" width="9" style="1625"/>
    <col min="7681" max="7681" width="4.875" style="1625" customWidth="1"/>
    <col min="7682" max="7682" width="13.25" style="1625" customWidth="1"/>
    <col min="7683" max="7683" width="15.625" style="1625" customWidth="1"/>
    <col min="7684" max="7684" width="9.375" style="1625" bestFit="1" customWidth="1"/>
    <col min="7685" max="7685" width="13.5" style="1625" customWidth="1"/>
    <col min="7686" max="7686" width="9" style="1625"/>
    <col min="7687" max="7687" width="9.375" style="1625" bestFit="1" customWidth="1"/>
    <col min="7688" max="7689" width="9" style="1625"/>
    <col min="7690" max="7690" width="9.375" style="1625" bestFit="1" customWidth="1"/>
    <col min="7691" max="7691" width="4" style="1625" customWidth="1"/>
    <col min="7692" max="7692" width="5.125" style="1625" customWidth="1"/>
    <col min="7693" max="7693" width="13.75" style="1625" customWidth="1"/>
    <col min="7694" max="7936" width="9" style="1625"/>
    <col min="7937" max="7937" width="4.875" style="1625" customWidth="1"/>
    <col min="7938" max="7938" width="13.25" style="1625" customWidth="1"/>
    <col min="7939" max="7939" width="15.625" style="1625" customWidth="1"/>
    <col min="7940" max="7940" width="9.375" style="1625" bestFit="1" customWidth="1"/>
    <col min="7941" max="7941" width="13.5" style="1625" customWidth="1"/>
    <col min="7942" max="7942" width="9" style="1625"/>
    <col min="7943" max="7943" width="9.375" style="1625" bestFit="1" customWidth="1"/>
    <col min="7944" max="7945" width="9" style="1625"/>
    <col min="7946" max="7946" width="9.375" style="1625" bestFit="1" customWidth="1"/>
    <col min="7947" max="7947" width="4" style="1625" customWidth="1"/>
    <col min="7948" max="7948" width="5.125" style="1625" customWidth="1"/>
    <col min="7949" max="7949" width="13.75" style="1625" customWidth="1"/>
    <col min="7950" max="8192" width="9" style="1625"/>
    <col min="8193" max="8193" width="4.875" style="1625" customWidth="1"/>
    <col min="8194" max="8194" width="13.25" style="1625" customWidth="1"/>
    <col min="8195" max="8195" width="15.625" style="1625" customWidth="1"/>
    <col min="8196" max="8196" width="9.375" style="1625" bestFit="1" customWidth="1"/>
    <col min="8197" max="8197" width="13.5" style="1625" customWidth="1"/>
    <col min="8198" max="8198" width="9" style="1625"/>
    <col min="8199" max="8199" width="9.375" style="1625" bestFit="1" customWidth="1"/>
    <col min="8200" max="8201" width="9" style="1625"/>
    <col min="8202" max="8202" width="9.375" style="1625" bestFit="1" customWidth="1"/>
    <col min="8203" max="8203" width="4" style="1625" customWidth="1"/>
    <col min="8204" max="8204" width="5.125" style="1625" customWidth="1"/>
    <col min="8205" max="8205" width="13.75" style="1625" customWidth="1"/>
    <col min="8206" max="8448" width="9" style="1625"/>
    <col min="8449" max="8449" width="4.875" style="1625" customWidth="1"/>
    <col min="8450" max="8450" width="13.25" style="1625" customWidth="1"/>
    <col min="8451" max="8451" width="15.625" style="1625" customWidth="1"/>
    <col min="8452" max="8452" width="9.375" style="1625" bestFit="1" customWidth="1"/>
    <col min="8453" max="8453" width="13.5" style="1625" customWidth="1"/>
    <col min="8454" max="8454" width="9" style="1625"/>
    <col min="8455" max="8455" width="9.375" style="1625" bestFit="1" customWidth="1"/>
    <col min="8456" max="8457" width="9" style="1625"/>
    <col min="8458" max="8458" width="9.375" style="1625" bestFit="1" customWidth="1"/>
    <col min="8459" max="8459" width="4" style="1625" customWidth="1"/>
    <col min="8460" max="8460" width="5.125" style="1625" customWidth="1"/>
    <col min="8461" max="8461" width="13.75" style="1625" customWidth="1"/>
    <col min="8462" max="8704" width="9" style="1625"/>
    <col min="8705" max="8705" width="4.875" style="1625" customWidth="1"/>
    <col min="8706" max="8706" width="13.25" style="1625" customWidth="1"/>
    <col min="8707" max="8707" width="15.625" style="1625" customWidth="1"/>
    <col min="8708" max="8708" width="9.375" style="1625" bestFit="1" customWidth="1"/>
    <col min="8709" max="8709" width="13.5" style="1625" customWidth="1"/>
    <col min="8710" max="8710" width="9" style="1625"/>
    <col min="8711" max="8711" width="9.375" style="1625" bestFit="1" customWidth="1"/>
    <col min="8712" max="8713" width="9" style="1625"/>
    <col min="8714" max="8714" width="9.375" style="1625" bestFit="1" customWidth="1"/>
    <col min="8715" max="8715" width="4" style="1625" customWidth="1"/>
    <col min="8716" max="8716" width="5.125" style="1625" customWidth="1"/>
    <col min="8717" max="8717" width="13.75" style="1625" customWidth="1"/>
    <col min="8718" max="8960" width="9" style="1625"/>
    <col min="8961" max="8961" width="4.875" style="1625" customWidth="1"/>
    <col min="8962" max="8962" width="13.25" style="1625" customWidth="1"/>
    <col min="8963" max="8963" width="15.625" style="1625" customWidth="1"/>
    <col min="8964" max="8964" width="9.375" style="1625" bestFit="1" customWidth="1"/>
    <col min="8965" max="8965" width="13.5" style="1625" customWidth="1"/>
    <col min="8966" max="8966" width="9" style="1625"/>
    <col min="8967" max="8967" width="9.375" style="1625" bestFit="1" customWidth="1"/>
    <col min="8968" max="8969" width="9" style="1625"/>
    <col min="8970" max="8970" width="9.375" style="1625" bestFit="1" customWidth="1"/>
    <col min="8971" max="8971" width="4" style="1625" customWidth="1"/>
    <col min="8972" max="8972" width="5.125" style="1625" customWidth="1"/>
    <col min="8973" max="8973" width="13.75" style="1625" customWidth="1"/>
    <col min="8974" max="9216" width="9" style="1625"/>
    <col min="9217" max="9217" width="4.875" style="1625" customWidth="1"/>
    <col min="9218" max="9218" width="13.25" style="1625" customWidth="1"/>
    <col min="9219" max="9219" width="15.625" style="1625" customWidth="1"/>
    <col min="9220" max="9220" width="9.375" style="1625" bestFit="1" customWidth="1"/>
    <col min="9221" max="9221" width="13.5" style="1625" customWidth="1"/>
    <col min="9222" max="9222" width="9" style="1625"/>
    <col min="9223" max="9223" width="9.375" style="1625" bestFit="1" customWidth="1"/>
    <col min="9224" max="9225" width="9" style="1625"/>
    <col min="9226" max="9226" width="9.375" style="1625" bestFit="1" customWidth="1"/>
    <col min="9227" max="9227" width="4" style="1625" customWidth="1"/>
    <col min="9228" max="9228" width="5.125" style="1625" customWidth="1"/>
    <col min="9229" max="9229" width="13.75" style="1625" customWidth="1"/>
    <col min="9230" max="9472" width="9" style="1625"/>
    <col min="9473" max="9473" width="4.875" style="1625" customWidth="1"/>
    <col min="9474" max="9474" width="13.25" style="1625" customWidth="1"/>
    <col min="9475" max="9475" width="15.625" style="1625" customWidth="1"/>
    <col min="9476" max="9476" width="9.375" style="1625" bestFit="1" customWidth="1"/>
    <col min="9477" max="9477" width="13.5" style="1625" customWidth="1"/>
    <col min="9478" max="9478" width="9" style="1625"/>
    <col min="9479" max="9479" width="9.375" style="1625" bestFit="1" customWidth="1"/>
    <col min="9480" max="9481" width="9" style="1625"/>
    <col min="9482" max="9482" width="9.375" style="1625" bestFit="1" customWidth="1"/>
    <col min="9483" max="9483" width="4" style="1625" customWidth="1"/>
    <col min="9484" max="9484" width="5.125" style="1625" customWidth="1"/>
    <col min="9485" max="9485" width="13.75" style="1625" customWidth="1"/>
    <col min="9486" max="9728" width="9" style="1625"/>
    <col min="9729" max="9729" width="4.875" style="1625" customWidth="1"/>
    <col min="9730" max="9730" width="13.25" style="1625" customWidth="1"/>
    <col min="9731" max="9731" width="15.625" style="1625" customWidth="1"/>
    <col min="9732" max="9732" width="9.375" style="1625" bestFit="1" customWidth="1"/>
    <col min="9733" max="9733" width="13.5" style="1625" customWidth="1"/>
    <col min="9734" max="9734" width="9" style="1625"/>
    <col min="9735" max="9735" width="9.375" style="1625" bestFit="1" customWidth="1"/>
    <col min="9736" max="9737" width="9" style="1625"/>
    <col min="9738" max="9738" width="9.375" style="1625" bestFit="1" customWidth="1"/>
    <col min="9739" max="9739" width="4" style="1625" customWidth="1"/>
    <col min="9740" max="9740" width="5.125" style="1625" customWidth="1"/>
    <col min="9741" max="9741" width="13.75" style="1625" customWidth="1"/>
    <col min="9742" max="9984" width="9" style="1625"/>
    <col min="9985" max="9985" width="4.875" style="1625" customWidth="1"/>
    <col min="9986" max="9986" width="13.25" style="1625" customWidth="1"/>
    <col min="9987" max="9987" width="15.625" style="1625" customWidth="1"/>
    <col min="9988" max="9988" width="9.375" style="1625" bestFit="1" customWidth="1"/>
    <col min="9989" max="9989" width="13.5" style="1625" customWidth="1"/>
    <col min="9990" max="9990" width="9" style="1625"/>
    <col min="9991" max="9991" width="9.375" style="1625" bestFit="1" customWidth="1"/>
    <col min="9992" max="9993" width="9" style="1625"/>
    <col min="9994" max="9994" width="9.375" style="1625" bestFit="1" customWidth="1"/>
    <col min="9995" max="9995" width="4" style="1625" customWidth="1"/>
    <col min="9996" max="9996" width="5.125" style="1625" customWidth="1"/>
    <col min="9997" max="9997" width="13.75" style="1625" customWidth="1"/>
    <col min="9998" max="10240" width="9" style="1625"/>
    <col min="10241" max="10241" width="4.875" style="1625" customWidth="1"/>
    <col min="10242" max="10242" width="13.25" style="1625" customWidth="1"/>
    <col min="10243" max="10243" width="15.625" style="1625" customWidth="1"/>
    <col min="10244" max="10244" width="9.375" style="1625" bestFit="1" customWidth="1"/>
    <col min="10245" max="10245" width="13.5" style="1625" customWidth="1"/>
    <col min="10246" max="10246" width="9" style="1625"/>
    <col min="10247" max="10247" width="9.375" style="1625" bestFit="1" customWidth="1"/>
    <col min="10248" max="10249" width="9" style="1625"/>
    <col min="10250" max="10250" width="9.375" style="1625" bestFit="1" customWidth="1"/>
    <col min="10251" max="10251" width="4" style="1625" customWidth="1"/>
    <col min="10252" max="10252" width="5.125" style="1625" customWidth="1"/>
    <col min="10253" max="10253" width="13.75" style="1625" customWidth="1"/>
    <col min="10254" max="10496" width="9" style="1625"/>
    <col min="10497" max="10497" width="4.875" style="1625" customWidth="1"/>
    <col min="10498" max="10498" width="13.25" style="1625" customWidth="1"/>
    <col min="10499" max="10499" width="15.625" style="1625" customWidth="1"/>
    <col min="10500" max="10500" width="9.375" style="1625" bestFit="1" customWidth="1"/>
    <col min="10501" max="10501" width="13.5" style="1625" customWidth="1"/>
    <col min="10502" max="10502" width="9" style="1625"/>
    <col min="10503" max="10503" width="9.375" style="1625" bestFit="1" customWidth="1"/>
    <col min="10504" max="10505" width="9" style="1625"/>
    <col min="10506" max="10506" width="9.375" style="1625" bestFit="1" customWidth="1"/>
    <col min="10507" max="10507" width="4" style="1625" customWidth="1"/>
    <col min="10508" max="10508" width="5.125" style="1625" customWidth="1"/>
    <col min="10509" max="10509" width="13.75" style="1625" customWidth="1"/>
    <col min="10510" max="10752" width="9" style="1625"/>
    <col min="10753" max="10753" width="4.875" style="1625" customWidth="1"/>
    <col min="10754" max="10754" width="13.25" style="1625" customWidth="1"/>
    <col min="10755" max="10755" width="15.625" style="1625" customWidth="1"/>
    <col min="10756" max="10756" width="9.375" style="1625" bestFit="1" customWidth="1"/>
    <col min="10757" max="10757" width="13.5" style="1625" customWidth="1"/>
    <col min="10758" max="10758" width="9" style="1625"/>
    <col min="10759" max="10759" width="9.375" style="1625" bestFit="1" customWidth="1"/>
    <col min="10760" max="10761" width="9" style="1625"/>
    <col min="10762" max="10762" width="9.375" style="1625" bestFit="1" customWidth="1"/>
    <col min="10763" max="10763" width="4" style="1625" customWidth="1"/>
    <col min="10764" max="10764" width="5.125" style="1625" customWidth="1"/>
    <col min="10765" max="10765" width="13.75" style="1625" customWidth="1"/>
    <col min="10766" max="11008" width="9" style="1625"/>
    <col min="11009" max="11009" width="4.875" style="1625" customWidth="1"/>
    <col min="11010" max="11010" width="13.25" style="1625" customWidth="1"/>
    <col min="11011" max="11011" width="15.625" style="1625" customWidth="1"/>
    <col min="11012" max="11012" width="9.375" style="1625" bestFit="1" customWidth="1"/>
    <col min="11013" max="11013" width="13.5" style="1625" customWidth="1"/>
    <col min="11014" max="11014" width="9" style="1625"/>
    <col min="11015" max="11015" width="9.375" style="1625" bestFit="1" customWidth="1"/>
    <col min="11016" max="11017" width="9" style="1625"/>
    <col min="11018" max="11018" width="9.375" style="1625" bestFit="1" customWidth="1"/>
    <col min="11019" max="11019" width="4" style="1625" customWidth="1"/>
    <col min="11020" max="11020" width="5.125" style="1625" customWidth="1"/>
    <col min="11021" max="11021" width="13.75" style="1625" customWidth="1"/>
    <col min="11022" max="11264" width="9" style="1625"/>
    <col min="11265" max="11265" width="4.875" style="1625" customWidth="1"/>
    <col min="11266" max="11266" width="13.25" style="1625" customWidth="1"/>
    <col min="11267" max="11267" width="15.625" style="1625" customWidth="1"/>
    <col min="11268" max="11268" width="9.375" style="1625" bestFit="1" customWidth="1"/>
    <col min="11269" max="11269" width="13.5" style="1625" customWidth="1"/>
    <col min="11270" max="11270" width="9" style="1625"/>
    <col min="11271" max="11271" width="9.375" style="1625" bestFit="1" customWidth="1"/>
    <col min="11272" max="11273" width="9" style="1625"/>
    <col min="11274" max="11274" width="9.375" style="1625" bestFit="1" customWidth="1"/>
    <col min="11275" max="11275" width="4" style="1625" customWidth="1"/>
    <col min="11276" max="11276" width="5.125" style="1625" customWidth="1"/>
    <col min="11277" max="11277" width="13.75" style="1625" customWidth="1"/>
    <col min="11278" max="11520" width="9" style="1625"/>
    <col min="11521" max="11521" width="4.875" style="1625" customWidth="1"/>
    <col min="11522" max="11522" width="13.25" style="1625" customWidth="1"/>
    <col min="11523" max="11523" width="15.625" style="1625" customWidth="1"/>
    <col min="11524" max="11524" width="9.375" style="1625" bestFit="1" customWidth="1"/>
    <col min="11525" max="11525" width="13.5" style="1625" customWidth="1"/>
    <col min="11526" max="11526" width="9" style="1625"/>
    <col min="11527" max="11527" width="9.375" style="1625" bestFit="1" customWidth="1"/>
    <col min="11528" max="11529" width="9" style="1625"/>
    <col min="11530" max="11530" width="9.375" style="1625" bestFit="1" customWidth="1"/>
    <col min="11531" max="11531" width="4" style="1625" customWidth="1"/>
    <col min="11532" max="11532" width="5.125" style="1625" customWidth="1"/>
    <col min="11533" max="11533" width="13.75" style="1625" customWidth="1"/>
    <col min="11534" max="11776" width="9" style="1625"/>
    <col min="11777" max="11777" width="4.875" style="1625" customWidth="1"/>
    <col min="11778" max="11778" width="13.25" style="1625" customWidth="1"/>
    <col min="11779" max="11779" width="15.625" style="1625" customWidth="1"/>
    <col min="11780" max="11780" width="9.375" style="1625" bestFit="1" customWidth="1"/>
    <col min="11781" max="11781" width="13.5" style="1625" customWidth="1"/>
    <col min="11782" max="11782" width="9" style="1625"/>
    <col min="11783" max="11783" width="9.375" style="1625" bestFit="1" customWidth="1"/>
    <col min="11784" max="11785" width="9" style="1625"/>
    <col min="11786" max="11786" width="9.375" style="1625" bestFit="1" customWidth="1"/>
    <col min="11787" max="11787" width="4" style="1625" customWidth="1"/>
    <col min="11788" max="11788" width="5.125" style="1625" customWidth="1"/>
    <col min="11789" max="11789" width="13.75" style="1625" customWidth="1"/>
    <col min="11790" max="12032" width="9" style="1625"/>
    <col min="12033" max="12033" width="4.875" style="1625" customWidth="1"/>
    <col min="12034" max="12034" width="13.25" style="1625" customWidth="1"/>
    <col min="12035" max="12035" width="15.625" style="1625" customWidth="1"/>
    <col min="12036" max="12036" width="9.375" style="1625" bestFit="1" customWidth="1"/>
    <col min="12037" max="12037" width="13.5" style="1625" customWidth="1"/>
    <col min="12038" max="12038" width="9" style="1625"/>
    <col min="12039" max="12039" width="9.375" style="1625" bestFit="1" customWidth="1"/>
    <col min="12040" max="12041" width="9" style="1625"/>
    <col min="12042" max="12042" width="9.375" style="1625" bestFit="1" customWidth="1"/>
    <col min="12043" max="12043" width="4" style="1625" customWidth="1"/>
    <col min="12044" max="12044" width="5.125" style="1625" customWidth="1"/>
    <col min="12045" max="12045" width="13.75" style="1625" customWidth="1"/>
    <col min="12046" max="12288" width="9" style="1625"/>
    <col min="12289" max="12289" width="4.875" style="1625" customWidth="1"/>
    <col min="12290" max="12290" width="13.25" style="1625" customWidth="1"/>
    <col min="12291" max="12291" width="15.625" style="1625" customWidth="1"/>
    <col min="12292" max="12292" width="9.375" style="1625" bestFit="1" customWidth="1"/>
    <col min="12293" max="12293" width="13.5" style="1625" customWidth="1"/>
    <col min="12294" max="12294" width="9" style="1625"/>
    <col min="12295" max="12295" width="9.375" style="1625" bestFit="1" customWidth="1"/>
    <col min="12296" max="12297" width="9" style="1625"/>
    <col min="12298" max="12298" width="9.375" style="1625" bestFit="1" customWidth="1"/>
    <col min="12299" max="12299" width="4" style="1625" customWidth="1"/>
    <col min="12300" max="12300" width="5.125" style="1625" customWidth="1"/>
    <col min="12301" max="12301" width="13.75" style="1625" customWidth="1"/>
    <col min="12302" max="12544" width="9" style="1625"/>
    <col min="12545" max="12545" width="4.875" style="1625" customWidth="1"/>
    <col min="12546" max="12546" width="13.25" style="1625" customWidth="1"/>
    <col min="12547" max="12547" width="15.625" style="1625" customWidth="1"/>
    <col min="12548" max="12548" width="9.375" style="1625" bestFit="1" customWidth="1"/>
    <col min="12549" max="12549" width="13.5" style="1625" customWidth="1"/>
    <col min="12550" max="12550" width="9" style="1625"/>
    <col min="12551" max="12551" width="9.375" style="1625" bestFit="1" customWidth="1"/>
    <col min="12552" max="12553" width="9" style="1625"/>
    <col min="12554" max="12554" width="9.375" style="1625" bestFit="1" customWidth="1"/>
    <col min="12555" max="12555" width="4" style="1625" customWidth="1"/>
    <col min="12556" max="12556" width="5.125" style="1625" customWidth="1"/>
    <col min="12557" max="12557" width="13.75" style="1625" customWidth="1"/>
    <col min="12558" max="12800" width="9" style="1625"/>
    <col min="12801" max="12801" width="4.875" style="1625" customWidth="1"/>
    <col min="12802" max="12802" width="13.25" style="1625" customWidth="1"/>
    <col min="12803" max="12803" width="15.625" style="1625" customWidth="1"/>
    <col min="12804" max="12804" width="9.375" style="1625" bestFit="1" customWidth="1"/>
    <col min="12805" max="12805" width="13.5" style="1625" customWidth="1"/>
    <col min="12806" max="12806" width="9" style="1625"/>
    <col min="12807" max="12807" width="9.375" style="1625" bestFit="1" customWidth="1"/>
    <col min="12808" max="12809" width="9" style="1625"/>
    <col min="12810" max="12810" width="9.375" style="1625" bestFit="1" customWidth="1"/>
    <col min="12811" max="12811" width="4" style="1625" customWidth="1"/>
    <col min="12812" max="12812" width="5.125" style="1625" customWidth="1"/>
    <col min="12813" max="12813" width="13.75" style="1625" customWidth="1"/>
    <col min="12814" max="13056" width="9" style="1625"/>
    <col min="13057" max="13057" width="4.875" style="1625" customWidth="1"/>
    <col min="13058" max="13058" width="13.25" style="1625" customWidth="1"/>
    <col min="13059" max="13059" width="15.625" style="1625" customWidth="1"/>
    <col min="13060" max="13060" width="9.375" style="1625" bestFit="1" customWidth="1"/>
    <col min="13061" max="13061" width="13.5" style="1625" customWidth="1"/>
    <col min="13062" max="13062" width="9" style="1625"/>
    <col min="13063" max="13063" width="9.375" style="1625" bestFit="1" customWidth="1"/>
    <col min="13064" max="13065" width="9" style="1625"/>
    <col min="13066" max="13066" width="9.375" style="1625" bestFit="1" customWidth="1"/>
    <col min="13067" max="13067" width="4" style="1625" customWidth="1"/>
    <col min="13068" max="13068" width="5.125" style="1625" customWidth="1"/>
    <col min="13069" max="13069" width="13.75" style="1625" customWidth="1"/>
    <col min="13070" max="13312" width="9" style="1625"/>
    <col min="13313" max="13313" width="4.875" style="1625" customWidth="1"/>
    <col min="13314" max="13314" width="13.25" style="1625" customWidth="1"/>
    <col min="13315" max="13315" width="15.625" style="1625" customWidth="1"/>
    <col min="13316" max="13316" width="9.375" style="1625" bestFit="1" customWidth="1"/>
    <col min="13317" max="13317" width="13.5" style="1625" customWidth="1"/>
    <col min="13318" max="13318" width="9" style="1625"/>
    <col min="13319" max="13319" width="9.375" style="1625" bestFit="1" customWidth="1"/>
    <col min="13320" max="13321" width="9" style="1625"/>
    <col min="13322" max="13322" width="9.375" style="1625" bestFit="1" customWidth="1"/>
    <col min="13323" max="13323" width="4" style="1625" customWidth="1"/>
    <col min="13324" max="13324" width="5.125" style="1625" customWidth="1"/>
    <col min="13325" max="13325" width="13.75" style="1625" customWidth="1"/>
    <col min="13326" max="13568" width="9" style="1625"/>
    <col min="13569" max="13569" width="4.875" style="1625" customWidth="1"/>
    <col min="13570" max="13570" width="13.25" style="1625" customWidth="1"/>
    <col min="13571" max="13571" width="15.625" style="1625" customWidth="1"/>
    <col min="13572" max="13572" width="9.375" style="1625" bestFit="1" customWidth="1"/>
    <col min="13573" max="13573" width="13.5" style="1625" customWidth="1"/>
    <col min="13574" max="13574" width="9" style="1625"/>
    <col min="13575" max="13575" width="9.375" style="1625" bestFit="1" customWidth="1"/>
    <col min="13576" max="13577" width="9" style="1625"/>
    <col min="13578" max="13578" width="9.375" style="1625" bestFit="1" customWidth="1"/>
    <col min="13579" max="13579" width="4" style="1625" customWidth="1"/>
    <col min="13580" max="13580" width="5.125" style="1625" customWidth="1"/>
    <col min="13581" max="13581" width="13.75" style="1625" customWidth="1"/>
    <col min="13582" max="13824" width="9" style="1625"/>
    <col min="13825" max="13825" width="4.875" style="1625" customWidth="1"/>
    <col min="13826" max="13826" width="13.25" style="1625" customWidth="1"/>
    <col min="13827" max="13827" width="15.625" style="1625" customWidth="1"/>
    <col min="13828" max="13828" width="9.375" style="1625" bestFit="1" customWidth="1"/>
    <col min="13829" max="13829" width="13.5" style="1625" customWidth="1"/>
    <col min="13830" max="13830" width="9" style="1625"/>
    <col min="13831" max="13831" width="9.375" style="1625" bestFit="1" customWidth="1"/>
    <col min="13832" max="13833" width="9" style="1625"/>
    <col min="13834" max="13834" width="9.375" style="1625" bestFit="1" customWidth="1"/>
    <col min="13835" max="13835" width="4" style="1625" customWidth="1"/>
    <col min="13836" max="13836" width="5.125" style="1625" customWidth="1"/>
    <col min="13837" max="13837" width="13.75" style="1625" customWidth="1"/>
    <col min="13838" max="14080" width="9" style="1625"/>
    <col min="14081" max="14081" width="4.875" style="1625" customWidth="1"/>
    <col min="14082" max="14082" width="13.25" style="1625" customWidth="1"/>
    <col min="14083" max="14083" width="15.625" style="1625" customWidth="1"/>
    <col min="14084" max="14084" width="9.375" style="1625" bestFit="1" customWidth="1"/>
    <col min="14085" max="14085" width="13.5" style="1625" customWidth="1"/>
    <col min="14086" max="14086" width="9" style="1625"/>
    <col min="14087" max="14087" width="9.375" style="1625" bestFit="1" customWidth="1"/>
    <col min="14088" max="14089" width="9" style="1625"/>
    <col min="14090" max="14090" width="9.375" style="1625" bestFit="1" customWidth="1"/>
    <col min="14091" max="14091" width="4" style="1625" customWidth="1"/>
    <col min="14092" max="14092" width="5.125" style="1625" customWidth="1"/>
    <col min="14093" max="14093" width="13.75" style="1625" customWidth="1"/>
    <col min="14094" max="14336" width="9" style="1625"/>
    <col min="14337" max="14337" width="4.875" style="1625" customWidth="1"/>
    <col min="14338" max="14338" width="13.25" style="1625" customWidth="1"/>
    <col min="14339" max="14339" width="15.625" style="1625" customWidth="1"/>
    <col min="14340" max="14340" width="9.375" style="1625" bestFit="1" customWidth="1"/>
    <col min="14341" max="14341" width="13.5" style="1625" customWidth="1"/>
    <col min="14342" max="14342" width="9" style="1625"/>
    <col min="14343" max="14343" width="9.375" style="1625" bestFit="1" customWidth="1"/>
    <col min="14344" max="14345" width="9" style="1625"/>
    <col min="14346" max="14346" width="9.375" style="1625" bestFit="1" customWidth="1"/>
    <col min="14347" max="14347" width="4" style="1625" customWidth="1"/>
    <col min="14348" max="14348" width="5.125" style="1625" customWidth="1"/>
    <col min="14349" max="14349" width="13.75" style="1625" customWidth="1"/>
    <col min="14350" max="14592" width="9" style="1625"/>
    <col min="14593" max="14593" width="4.875" style="1625" customWidth="1"/>
    <col min="14594" max="14594" width="13.25" style="1625" customWidth="1"/>
    <col min="14595" max="14595" width="15.625" style="1625" customWidth="1"/>
    <col min="14596" max="14596" width="9.375" style="1625" bestFit="1" customWidth="1"/>
    <col min="14597" max="14597" width="13.5" style="1625" customWidth="1"/>
    <col min="14598" max="14598" width="9" style="1625"/>
    <col min="14599" max="14599" width="9.375" style="1625" bestFit="1" customWidth="1"/>
    <col min="14600" max="14601" width="9" style="1625"/>
    <col min="14602" max="14602" width="9.375" style="1625" bestFit="1" customWidth="1"/>
    <col min="14603" max="14603" width="4" style="1625" customWidth="1"/>
    <col min="14604" max="14604" width="5.125" style="1625" customWidth="1"/>
    <col min="14605" max="14605" width="13.75" style="1625" customWidth="1"/>
    <col min="14606" max="14848" width="9" style="1625"/>
    <col min="14849" max="14849" width="4.875" style="1625" customWidth="1"/>
    <col min="14850" max="14850" width="13.25" style="1625" customWidth="1"/>
    <col min="14851" max="14851" width="15.625" style="1625" customWidth="1"/>
    <col min="14852" max="14852" width="9.375" style="1625" bestFit="1" customWidth="1"/>
    <col min="14853" max="14853" width="13.5" style="1625" customWidth="1"/>
    <col min="14854" max="14854" width="9" style="1625"/>
    <col min="14855" max="14855" width="9.375" style="1625" bestFit="1" customWidth="1"/>
    <col min="14856" max="14857" width="9" style="1625"/>
    <col min="14858" max="14858" width="9.375" style="1625" bestFit="1" customWidth="1"/>
    <col min="14859" max="14859" width="4" style="1625" customWidth="1"/>
    <col min="14860" max="14860" width="5.125" style="1625" customWidth="1"/>
    <col min="14861" max="14861" width="13.75" style="1625" customWidth="1"/>
    <col min="14862" max="15104" width="9" style="1625"/>
    <col min="15105" max="15105" width="4.875" style="1625" customWidth="1"/>
    <col min="15106" max="15106" width="13.25" style="1625" customWidth="1"/>
    <col min="15107" max="15107" width="15.625" style="1625" customWidth="1"/>
    <col min="15108" max="15108" width="9.375" style="1625" bestFit="1" customWidth="1"/>
    <col min="15109" max="15109" width="13.5" style="1625" customWidth="1"/>
    <col min="15110" max="15110" width="9" style="1625"/>
    <col min="15111" max="15111" width="9.375" style="1625" bestFit="1" customWidth="1"/>
    <col min="15112" max="15113" width="9" style="1625"/>
    <col min="15114" max="15114" width="9.375" style="1625" bestFit="1" customWidth="1"/>
    <col min="15115" max="15115" width="4" style="1625" customWidth="1"/>
    <col min="15116" max="15116" width="5.125" style="1625" customWidth="1"/>
    <col min="15117" max="15117" width="13.75" style="1625" customWidth="1"/>
    <col min="15118" max="15360" width="9" style="1625"/>
    <col min="15361" max="15361" width="4.875" style="1625" customWidth="1"/>
    <col min="15362" max="15362" width="13.25" style="1625" customWidth="1"/>
    <col min="15363" max="15363" width="15.625" style="1625" customWidth="1"/>
    <col min="15364" max="15364" width="9.375" style="1625" bestFit="1" customWidth="1"/>
    <col min="15365" max="15365" width="13.5" style="1625" customWidth="1"/>
    <col min="15366" max="15366" width="9" style="1625"/>
    <col min="15367" max="15367" width="9.375" style="1625" bestFit="1" customWidth="1"/>
    <col min="15368" max="15369" width="9" style="1625"/>
    <col min="15370" max="15370" width="9.375" style="1625" bestFit="1" customWidth="1"/>
    <col min="15371" max="15371" width="4" style="1625" customWidth="1"/>
    <col min="15372" max="15372" width="5.125" style="1625" customWidth="1"/>
    <col min="15373" max="15373" width="13.75" style="1625" customWidth="1"/>
    <col min="15374" max="15616" width="9" style="1625"/>
    <col min="15617" max="15617" width="4.875" style="1625" customWidth="1"/>
    <col min="15618" max="15618" width="13.25" style="1625" customWidth="1"/>
    <col min="15619" max="15619" width="15.625" style="1625" customWidth="1"/>
    <col min="15620" max="15620" width="9.375" style="1625" bestFit="1" customWidth="1"/>
    <col min="15621" max="15621" width="13.5" style="1625" customWidth="1"/>
    <col min="15622" max="15622" width="9" style="1625"/>
    <col min="15623" max="15623" width="9.375" style="1625" bestFit="1" customWidth="1"/>
    <col min="15624" max="15625" width="9" style="1625"/>
    <col min="15626" max="15626" width="9.375" style="1625" bestFit="1" customWidth="1"/>
    <col min="15627" max="15627" width="4" style="1625" customWidth="1"/>
    <col min="15628" max="15628" width="5.125" style="1625" customWidth="1"/>
    <col min="15629" max="15629" width="13.75" style="1625" customWidth="1"/>
    <col min="15630" max="15872" width="9" style="1625"/>
    <col min="15873" max="15873" width="4.875" style="1625" customWidth="1"/>
    <col min="15874" max="15874" width="13.25" style="1625" customWidth="1"/>
    <col min="15875" max="15875" width="15.625" style="1625" customWidth="1"/>
    <col min="15876" max="15876" width="9.375" style="1625" bestFit="1" customWidth="1"/>
    <col min="15877" max="15877" width="13.5" style="1625" customWidth="1"/>
    <col min="15878" max="15878" width="9" style="1625"/>
    <col min="15879" max="15879" width="9.375" style="1625" bestFit="1" customWidth="1"/>
    <col min="15880" max="15881" width="9" style="1625"/>
    <col min="15882" max="15882" width="9.375" style="1625" bestFit="1" customWidth="1"/>
    <col min="15883" max="15883" width="4" style="1625" customWidth="1"/>
    <col min="15884" max="15884" width="5.125" style="1625" customWidth="1"/>
    <col min="15885" max="15885" width="13.75" style="1625" customWidth="1"/>
    <col min="15886" max="16128" width="9" style="1625"/>
    <col min="16129" max="16129" width="4.875" style="1625" customWidth="1"/>
    <col min="16130" max="16130" width="13.25" style="1625" customWidth="1"/>
    <col min="16131" max="16131" width="15.625" style="1625" customWidth="1"/>
    <col min="16132" max="16132" width="9.375" style="1625" bestFit="1" customWidth="1"/>
    <col min="16133" max="16133" width="13.5" style="1625" customWidth="1"/>
    <col min="16134" max="16134" width="9" style="1625"/>
    <col min="16135" max="16135" width="9.375" style="1625" bestFit="1" customWidth="1"/>
    <col min="16136" max="16137" width="9" style="1625"/>
    <col min="16138" max="16138" width="9.375" style="1625" bestFit="1" customWidth="1"/>
    <col min="16139" max="16139" width="4" style="1625" customWidth="1"/>
    <col min="16140" max="16140" width="5.125" style="1625" customWidth="1"/>
    <col min="16141" max="16141" width="13.75" style="1625" customWidth="1"/>
    <col min="16142" max="16384" width="9" style="1625"/>
  </cols>
  <sheetData>
    <row r="1" spans="1:257" s="1689" customFormat="1" ht="14.25" thickBot="1">
      <c r="A1" s="1683"/>
      <c r="B1" s="1690" t="s">
        <v>1301</v>
      </c>
      <c r="C1" s="1684">
        <f>项目基本情况!D3</f>
        <v>43028</v>
      </c>
      <c r="D1" s="1690" t="s">
        <v>1302</v>
      </c>
      <c r="E1" s="1685">
        <f>'数据-取费表'!B22</f>
        <v>2.5</v>
      </c>
      <c r="F1" s="1690" t="s">
        <v>1303</v>
      </c>
      <c r="G1" s="1686">
        <f ca="1">INDIRECT("d"&amp;$K$1)/100</f>
        <v>4.7500000000000001E-2</v>
      </c>
      <c r="H1" s="1690" t="s">
        <v>1333</v>
      </c>
      <c r="I1" s="1686">
        <f ca="1">F4/100</f>
        <v>1.4999999999999999E-2</v>
      </c>
      <c r="J1" s="1691">
        <f>IF(C1&gt;C13,0,MATCH(C1,C$13:C$100,-1))+IF(SUMIF(C13:C100,C1,D13:D100)=0,13,12)</f>
        <v>13</v>
      </c>
      <c r="K1" s="1691">
        <f>MATCH(E1,C3:C7,1)+IF(SUMIF(C3:C7,E1,D3:D7)=0,2,1)</f>
        <v>5</v>
      </c>
      <c r="L1" s="1691">
        <f>IF(C1&gt;M13,0,MATCH(C1,M$13:M$100,-1))+IF(SUMIF(M13:M100,C1,N13:N100)=0,13,12)</f>
        <v>13</v>
      </c>
      <c r="M1" s="1683"/>
      <c r="N1" s="1683"/>
      <c r="O1" s="1683"/>
      <c r="P1" s="1683"/>
      <c r="Q1" s="1683"/>
      <c r="R1" s="1683"/>
      <c r="S1" s="1683"/>
      <c r="T1" s="1683"/>
      <c r="U1" s="1683"/>
      <c r="V1" s="1683"/>
      <c r="W1" s="1683"/>
      <c r="X1" s="1683"/>
      <c r="Y1" s="1683"/>
      <c r="Z1" s="1683"/>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687"/>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c r="BU1" s="1687"/>
      <c r="BV1" s="1687"/>
      <c r="BW1" s="1687"/>
      <c r="BX1" s="1687"/>
      <c r="BY1" s="1687"/>
      <c r="BZ1" s="1687"/>
      <c r="CA1" s="1687"/>
      <c r="CB1" s="1687"/>
      <c r="CC1" s="1687"/>
      <c r="CD1" s="1687"/>
      <c r="CE1" s="1687"/>
      <c r="CF1" s="1687"/>
      <c r="CG1" s="1687"/>
      <c r="CH1" s="1687"/>
      <c r="CI1" s="1687"/>
      <c r="CJ1" s="1687"/>
      <c r="CK1" s="1687"/>
      <c r="CL1" s="1687"/>
      <c r="CM1" s="1687"/>
      <c r="CN1" s="1687"/>
      <c r="CO1" s="1687"/>
      <c r="CP1" s="1687"/>
      <c r="CQ1" s="1687"/>
      <c r="CR1" s="1687"/>
      <c r="CS1" s="1687"/>
      <c r="CT1" s="1687"/>
      <c r="CU1" s="1687"/>
      <c r="CV1" s="1687"/>
      <c r="CW1" s="1687"/>
      <c r="CX1" s="1687"/>
      <c r="CY1" s="1687"/>
      <c r="CZ1" s="1687"/>
      <c r="DA1" s="1687"/>
      <c r="DB1" s="1687"/>
      <c r="DC1" s="1687"/>
      <c r="DD1" s="1687"/>
      <c r="DE1" s="1687"/>
      <c r="DF1" s="1687"/>
      <c r="DG1" s="1687"/>
      <c r="DH1" s="1687"/>
      <c r="DI1" s="1687"/>
      <c r="DJ1" s="1687"/>
      <c r="DK1" s="1687"/>
      <c r="DL1" s="1687"/>
      <c r="DM1" s="1687"/>
      <c r="DN1" s="1687"/>
      <c r="DO1" s="1687"/>
      <c r="DP1" s="1687"/>
      <c r="DQ1" s="1687"/>
      <c r="DR1" s="1687"/>
      <c r="DS1" s="1687"/>
      <c r="DT1" s="1687"/>
      <c r="DU1" s="1687"/>
      <c r="DV1" s="1687"/>
      <c r="DW1" s="1687"/>
      <c r="DX1" s="1687"/>
      <c r="DY1" s="1687"/>
      <c r="DZ1" s="1687"/>
      <c r="EA1" s="1687"/>
      <c r="EB1" s="1687"/>
      <c r="EC1" s="1687"/>
      <c r="ED1" s="1687"/>
      <c r="EE1" s="1687"/>
      <c r="EF1" s="1687"/>
      <c r="EG1" s="1687"/>
      <c r="EH1" s="1687"/>
      <c r="EI1" s="1687"/>
      <c r="EJ1" s="1687"/>
      <c r="EK1" s="1687"/>
      <c r="EL1" s="1687"/>
      <c r="EM1" s="1687"/>
      <c r="EN1" s="1687"/>
      <c r="EO1" s="1687"/>
      <c r="EP1" s="1687"/>
      <c r="EQ1" s="1687"/>
      <c r="ER1" s="1687"/>
      <c r="ES1" s="1687"/>
      <c r="ET1" s="1687"/>
      <c r="EU1" s="1687"/>
      <c r="EV1" s="1687"/>
      <c r="EW1" s="1687"/>
      <c r="EX1" s="1687"/>
      <c r="EY1" s="1687"/>
      <c r="EZ1" s="1687"/>
      <c r="FA1" s="1687"/>
      <c r="FB1" s="1687"/>
      <c r="FC1" s="1687"/>
      <c r="FD1" s="1687"/>
      <c r="FE1" s="1687"/>
      <c r="FF1" s="1687"/>
      <c r="FG1" s="1687"/>
      <c r="FH1" s="1687"/>
      <c r="FI1" s="1687"/>
      <c r="FJ1" s="1687"/>
      <c r="FK1" s="1687"/>
      <c r="FL1" s="1687"/>
      <c r="FM1" s="1687"/>
      <c r="FN1" s="1687"/>
      <c r="FO1" s="1687"/>
      <c r="FP1" s="1687"/>
      <c r="FQ1" s="1687"/>
      <c r="FR1" s="1687"/>
      <c r="FS1" s="1687"/>
      <c r="FT1" s="1687"/>
      <c r="FU1" s="1687"/>
      <c r="FV1" s="1687"/>
      <c r="FW1" s="1687"/>
      <c r="FX1" s="1687"/>
      <c r="FY1" s="1687"/>
      <c r="FZ1" s="1687"/>
      <c r="GA1" s="1687"/>
      <c r="GB1" s="1687"/>
      <c r="GC1" s="1687"/>
      <c r="GD1" s="1687"/>
      <c r="GE1" s="1687"/>
      <c r="GF1" s="1687"/>
      <c r="GG1" s="1687"/>
      <c r="GH1" s="1687"/>
      <c r="GI1" s="1687"/>
      <c r="GJ1" s="1687"/>
      <c r="GK1" s="1687"/>
      <c r="GL1" s="1687"/>
      <c r="GM1" s="1687"/>
      <c r="GN1" s="1687"/>
      <c r="GO1" s="1687"/>
      <c r="GP1" s="1687"/>
      <c r="GQ1" s="1687"/>
      <c r="GR1" s="1687"/>
      <c r="GS1" s="1687"/>
      <c r="GT1" s="1687"/>
      <c r="GU1" s="1687"/>
      <c r="GV1" s="1687"/>
      <c r="GW1" s="1687"/>
      <c r="GX1" s="1687"/>
      <c r="GY1" s="1687"/>
      <c r="GZ1" s="1687"/>
      <c r="HA1" s="1687"/>
      <c r="HB1" s="1687"/>
      <c r="HC1" s="1687"/>
      <c r="HD1" s="1687"/>
      <c r="HE1" s="1687"/>
      <c r="HF1" s="1687"/>
      <c r="HG1" s="1687"/>
      <c r="HH1" s="1687"/>
      <c r="HI1" s="1687"/>
      <c r="HJ1" s="1687"/>
      <c r="HK1" s="1687"/>
      <c r="HL1" s="1687"/>
      <c r="HM1" s="1687"/>
      <c r="HN1" s="1687"/>
      <c r="HO1" s="1687"/>
      <c r="HP1" s="1687"/>
      <c r="HQ1" s="1687"/>
      <c r="HR1" s="1687"/>
      <c r="HS1" s="1687"/>
      <c r="HT1" s="1687"/>
      <c r="HU1" s="1687"/>
      <c r="HV1" s="1687"/>
      <c r="HW1" s="1687"/>
      <c r="HX1" s="1687"/>
      <c r="HY1" s="1687"/>
      <c r="HZ1" s="1687"/>
      <c r="IA1" s="1687"/>
      <c r="IB1" s="1687"/>
      <c r="IC1" s="1687"/>
      <c r="ID1" s="1687"/>
      <c r="IE1" s="1687"/>
      <c r="IF1" s="1687"/>
      <c r="IG1" s="1687"/>
      <c r="IH1" s="1687"/>
      <c r="II1" s="1687"/>
      <c r="IJ1" s="1687"/>
      <c r="IK1" s="1687"/>
      <c r="IL1" s="1687"/>
      <c r="IM1" s="1687"/>
      <c r="IN1" s="1687"/>
      <c r="IO1" s="1687"/>
      <c r="IP1" s="1687"/>
      <c r="IQ1" s="1687"/>
      <c r="IR1" s="1687"/>
      <c r="IS1" s="1687"/>
      <c r="IT1" s="1687"/>
      <c r="IU1" s="1687"/>
      <c r="IV1" s="1687"/>
      <c r="IW1" s="1688"/>
    </row>
    <row r="2" spans="1:257" ht="15" thickTop="1" thickBot="1">
      <c r="A2" s="1626"/>
      <c r="B2" s="1626"/>
      <c r="C2" s="1626"/>
      <c r="D2" s="1626" t="s">
        <v>1304</v>
      </c>
      <c r="E2" s="1626"/>
      <c r="F2" s="1626" t="s">
        <v>1305</v>
      </c>
      <c r="G2" s="1627"/>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c r="AO2" s="1626"/>
      <c r="AP2" s="1626"/>
      <c r="AQ2" s="1626"/>
      <c r="AR2" s="1626"/>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c r="BP2" s="1626"/>
      <c r="BQ2" s="1626"/>
      <c r="BR2" s="1626"/>
      <c r="BS2" s="1626"/>
      <c r="BT2" s="1626"/>
      <c r="BU2" s="1626"/>
      <c r="BV2" s="1626"/>
      <c r="BW2" s="1626"/>
      <c r="BX2" s="1626"/>
      <c r="BY2" s="1626"/>
      <c r="BZ2" s="1626"/>
      <c r="CA2" s="1626"/>
      <c r="CB2" s="1626"/>
      <c r="CC2" s="1626"/>
      <c r="CD2" s="1626"/>
      <c r="CE2" s="1626"/>
      <c r="CF2" s="1626"/>
      <c r="CG2" s="1626"/>
      <c r="CH2" s="1626"/>
      <c r="CI2" s="1626"/>
      <c r="CJ2" s="1626"/>
      <c r="CK2" s="1626"/>
      <c r="CL2" s="1626"/>
      <c r="CM2" s="1626"/>
      <c r="CN2" s="1626"/>
      <c r="CO2" s="1626"/>
      <c r="CP2" s="1626"/>
      <c r="CQ2" s="1626"/>
      <c r="CR2" s="1626"/>
      <c r="CS2" s="1626"/>
      <c r="CT2" s="1626"/>
      <c r="CU2" s="1626"/>
      <c r="CV2" s="1626"/>
      <c r="CW2" s="1626"/>
      <c r="CX2" s="1626"/>
      <c r="CY2" s="1626"/>
      <c r="CZ2" s="1626"/>
      <c r="DA2" s="1626"/>
      <c r="DB2" s="1626"/>
      <c r="DC2" s="1626"/>
      <c r="DD2" s="1626"/>
      <c r="DE2" s="1626"/>
      <c r="DF2" s="1626"/>
      <c r="DG2" s="1626"/>
      <c r="DH2" s="1626"/>
      <c r="DI2" s="1626"/>
      <c r="DJ2" s="1626"/>
      <c r="DK2" s="1626"/>
      <c r="DL2" s="1626"/>
      <c r="DM2" s="1626"/>
      <c r="DN2" s="1626"/>
      <c r="DO2" s="1626"/>
      <c r="DP2" s="1626"/>
      <c r="DQ2" s="1626"/>
      <c r="DR2" s="1626"/>
      <c r="DS2" s="1626"/>
      <c r="DT2" s="1626"/>
      <c r="DU2" s="1626"/>
      <c r="DV2" s="1626"/>
      <c r="DW2" s="1626"/>
      <c r="DX2" s="1626"/>
      <c r="DY2" s="1626"/>
      <c r="DZ2" s="1626"/>
      <c r="EA2" s="1626"/>
      <c r="EB2" s="1626"/>
      <c r="EC2" s="1626"/>
      <c r="ED2" s="1626"/>
      <c r="EE2" s="1626"/>
      <c r="EF2" s="1626"/>
      <c r="EG2" s="1626"/>
      <c r="EH2" s="1626"/>
      <c r="EI2" s="1626"/>
      <c r="EJ2" s="1626"/>
      <c r="EK2" s="1626"/>
      <c r="EL2" s="1626"/>
      <c r="EM2" s="1626"/>
      <c r="EN2" s="1626"/>
      <c r="EO2" s="1626"/>
      <c r="EP2" s="1626"/>
      <c r="EQ2" s="1626"/>
      <c r="ER2" s="1626"/>
      <c r="ES2" s="1626"/>
      <c r="ET2" s="1626"/>
      <c r="EU2" s="1626"/>
      <c r="EV2" s="1626"/>
      <c r="EW2" s="1626"/>
      <c r="EX2" s="1626"/>
      <c r="EY2" s="1626"/>
      <c r="EZ2" s="1626"/>
      <c r="FA2" s="1626"/>
      <c r="FB2" s="1626"/>
      <c r="FC2" s="1626"/>
      <c r="FD2" s="1626"/>
      <c r="FE2" s="1626"/>
      <c r="FF2" s="1626"/>
      <c r="FG2" s="1626"/>
      <c r="FH2" s="1626"/>
      <c r="FI2" s="1626"/>
      <c r="FJ2" s="1626"/>
      <c r="FK2" s="1626"/>
      <c r="FL2" s="1626"/>
      <c r="FM2" s="1626"/>
      <c r="FN2" s="1626"/>
      <c r="FO2" s="1626"/>
      <c r="FP2" s="1626"/>
      <c r="FQ2" s="1626"/>
      <c r="FR2" s="1626"/>
      <c r="FS2" s="1626"/>
      <c r="FT2" s="1626"/>
      <c r="FU2" s="1626"/>
      <c r="FV2" s="1626"/>
      <c r="FW2" s="1626"/>
      <c r="FX2" s="1626"/>
      <c r="FY2" s="1626"/>
      <c r="FZ2" s="1626"/>
      <c r="GA2" s="1626"/>
      <c r="GB2" s="1626"/>
      <c r="GC2" s="1626"/>
      <c r="GD2" s="1626"/>
      <c r="GE2" s="1626"/>
      <c r="GF2" s="1626"/>
      <c r="GG2" s="1626"/>
      <c r="GH2" s="1626"/>
      <c r="GI2" s="1626"/>
      <c r="GJ2" s="1626"/>
      <c r="GK2" s="1626"/>
      <c r="GL2" s="1626"/>
      <c r="GM2" s="1626"/>
      <c r="GN2" s="1626"/>
      <c r="GO2" s="1626"/>
      <c r="GP2" s="1626"/>
      <c r="GQ2" s="1626"/>
      <c r="GR2" s="1626"/>
      <c r="GS2" s="1626"/>
      <c r="GT2" s="1626"/>
      <c r="GU2" s="1626"/>
      <c r="GV2" s="1626"/>
      <c r="GW2" s="1626"/>
      <c r="GX2" s="1626"/>
      <c r="GY2" s="1626"/>
      <c r="GZ2" s="1626"/>
      <c r="HA2" s="1626"/>
      <c r="HB2" s="1626"/>
      <c r="HC2" s="1626"/>
      <c r="HD2" s="1626"/>
      <c r="HE2" s="1626"/>
      <c r="HF2" s="1626"/>
      <c r="HG2" s="1626"/>
      <c r="HH2" s="1626"/>
      <c r="HI2" s="1626"/>
      <c r="HJ2" s="1626"/>
      <c r="HK2" s="1626"/>
      <c r="HL2" s="1626"/>
      <c r="HM2" s="1626"/>
      <c r="HN2" s="1626"/>
      <c r="HO2" s="1626"/>
      <c r="HP2" s="1626"/>
      <c r="HQ2" s="1626"/>
      <c r="HR2" s="1626"/>
      <c r="HS2" s="1626"/>
      <c r="HT2" s="1626"/>
      <c r="HU2" s="1626"/>
      <c r="HV2" s="1626"/>
      <c r="HW2" s="1626"/>
      <c r="HX2" s="1626"/>
      <c r="HY2" s="1626"/>
      <c r="HZ2" s="1626"/>
      <c r="IA2" s="1626"/>
      <c r="IB2" s="1626"/>
      <c r="IC2" s="1626"/>
      <c r="ID2" s="1626"/>
      <c r="IE2" s="1626"/>
      <c r="IF2" s="1626"/>
      <c r="IG2" s="1626"/>
      <c r="IH2" s="1626"/>
      <c r="II2" s="1626"/>
      <c r="IJ2" s="1626"/>
      <c r="IK2" s="1626"/>
      <c r="IL2" s="1626"/>
      <c r="IM2" s="1626"/>
      <c r="IN2" s="1626"/>
      <c r="IO2" s="1626"/>
      <c r="IP2" s="1626"/>
      <c r="IQ2" s="1626"/>
      <c r="IR2" s="1626"/>
      <c r="IS2" s="1626"/>
      <c r="IT2" s="1626"/>
      <c r="IU2" s="1626"/>
      <c r="IV2" s="1626"/>
      <c r="IW2" s="1626"/>
    </row>
    <row r="3" spans="1:257">
      <c r="B3" s="1629" t="s">
        <v>1306</v>
      </c>
      <c r="C3" s="1630">
        <v>0</v>
      </c>
      <c r="D3" s="1631">
        <f ca="1">INDIRECT("d"&amp;$J$1)</f>
        <v>4.3499999999999996</v>
      </c>
      <c r="E3" s="1632">
        <v>0.5</v>
      </c>
      <c r="F3" s="1633">
        <f ca="1">INDIRECT("p"&amp;$L$1)</f>
        <v>1.3</v>
      </c>
      <c r="G3" s="1628"/>
      <c r="H3" s="1628"/>
      <c r="I3" s="1628"/>
      <c r="J3" s="1628"/>
      <c r="L3" s="1628"/>
      <c r="M3" s="1628"/>
      <c r="N3" s="1628"/>
      <c r="O3" s="1628"/>
      <c r="P3" s="1628"/>
      <c r="Q3" s="1628"/>
      <c r="R3" s="1628"/>
      <c r="S3" s="1628"/>
      <c r="T3" s="1628"/>
      <c r="U3" s="1628"/>
      <c r="V3" s="1628"/>
      <c r="W3" s="1628"/>
      <c r="X3" s="1628"/>
      <c r="Y3" s="1628"/>
      <c r="Z3" s="1628"/>
    </row>
    <row r="4" spans="1:257">
      <c r="B4" s="1635" t="s">
        <v>1307</v>
      </c>
      <c r="C4" s="1636">
        <v>0.5</v>
      </c>
      <c r="D4" s="1637">
        <f ca="1">INDIRECT("e"&amp;$J$1)</f>
        <v>4.3499999999999996</v>
      </c>
      <c r="E4" s="1638">
        <v>1</v>
      </c>
      <c r="F4" s="1639">
        <f ca="1">INDIRECT("q"&amp;$L$1)</f>
        <v>1.5</v>
      </c>
      <c r="G4" s="1628"/>
      <c r="H4" s="1628"/>
      <c r="I4" s="1628"/>
      <c r="J4" s="1628"/>
      <c r="L4" s="1628"/>
      <c r="M4" s="1628"/>
      <c r="N4" s="1628"/>
      <c r="O4" s="1628"/>
      <c r="P4" s="1628"/>
      <c r="Q4" s="1628"/>
      <c r="R4" s="1628"/>
      <c r="S4" s="1628"/>
      <c r="T4" s="1628"/>
      <c r="U4" s="1628"/>
      <c r="V4" s="1628"/>
      <c r="W4" s="1628"/>
      <c r="X4" s="1628"/>
      <c r="Y4" s="1628"/>
      <c r="Z4" s="1628"/>
    </row>
    <row r="5" spans="1:257">
      <c r="B5" s="1635" t="s">
        <v>1308</v>
      </c>
      <c r="C5" s="1636">
        <v>1</v>
      </c>
      <c r="D5" s="1637">
        <f ca="1">INDIRECT("f"&amp;$J$1)</f>
        <v>4.75</v>
      </c>
      <c r="E5" s="1638">
        <v>2</v>
      </c>
      <c r="F5" s="1639">
        <f ca="1">INDIRECT("r"&amp;$L$1)</f>
        <v>2.1</v>
      </c>
      <c r="G5" s="1628"/>
      <c r="H5" s="1628"/>
      <c r="I5" s="1628"/>
      <c r="J5" s="1628"/>
      <c r="L5" s="1628"/>
      <c r="M5" s="1628"/>
      <c r="N5" s="1628"/>
      <c r="O5" s="1628"/>
      <c r="P5" s="1628"/>
      <c r="Q5" s="1628"/>
      <c r="R5" s="1628"/>
      <c r="S5" s="1628"/>
      <c r="T5" s="1628"/>
      <c r="U5" s="1628"/>
      <c r="V5" s="1628"/>
      <c r="W5" s="1628"/>
      <c r="X5" s="1628"/>
      <c r="Y5" s="1628"/>
      <c r="Z5" s="1628"/>
    </row>
    <row r="6" spans="1:257">
      <c r="B6" s="1635" t="s">
        <v>1309</v>
      </c>
      <c r="C6" s="1636">
        <v>3</v>
      </c>
      <c r="D6" s="1637">
        <f ca="1">INDIRECT("g"&amp;$J$1)</f>
        <v>4.75</v>
      </c>
      <c r="E6" s="1638">
        <v>3</v>
      </c>
      <c r="F6" s="1639">
        <f ca="1">INDIRECT("s"&amp;$L$1)</f>
        <v>2.75</v>
      </c>
      <c r="G6" s="1628"/>
      <c r="H6" s="1628"/>
      <c r="I6" s="1628"/>
      <c r="J6" s="1628"/>
      <c r="L6" s="1628"/>
      <c r="M6" s="1628"/>
      <c r="N6" s="1628"/>
      <c r="O6" s="1628"/>
      <c r="P6" s="1628"/>
      <c r="Q6" s="1628"/>
      <c r="R6" s="1628"/>
      <c r="S6" s="1628"/>
      <c r="T6" s="1628"/>
      <c r="U6" s="1628"/>
      <c r="V6" s="1628"/>
      <c r="W6" s="1628"/>
      <c r="X6" s="1628"/>
      <c r="Y6" s="1628"/>
      <c r="Z6" s="1628"/>
    </row>
    <row r="7" spans="1:257" ht="14.25" thickBot="1">
      <c r="B7" s="1640" t="s">
        <v>1310</v>
      </c>
      <c r="C7" s="1641">
        <v>5</v>
      </c>
      <c r="D7" s="1642">
        <f ca="1">INDIRECT("h"&amp;$J$1)</f>
        <v>4.9000000000000004</v>
      </c>
      <c r="E7" s="1643">
        <v>5</v>
      </c>
      <c r="F7" s="1644">
        <f ca="1">INDIRECT("t"&amp;$L$1)</f>
        <v>0</v>
      </c>
      <c r="G7" s="1628"/>
      <c r="H7" s="1628"/>
      <c r="I7" s="1628"/>
      <c r="J7" s="1628"/>
      <c r="L7" s="1628"/>
      <c r="M7" s="1628"/>
      <c r="N7" s="1628"/>
      <c r="O7" s="1628"/>
      <c r="P7" s="1628"/>
      <c r="Q7" s="1628"/>
      <c r="R7" s="1628"/>
      <c r="S7" s="1628"/>
      <c r="T7" s="1628"/>
      <c r="U7" s="1628"/>
      <c r="V7" s="1628"/>
      <c r="W7" s="1628"/>
      <c r="X7" s="1628"/>
      <c r="Y7" s="1628"/>
      <c r="Z7" s="1628"/>
    </row>
    <row r="8" spans="1:257">
      <c r="A8" s="1645"/>
      <c r="B8" s="1646"/>
      <c r="C8" s="1647"/>
      <c r="D8" s="1628"/>
      <c r="E8" s="1628"/>
      <c r="F8" s="1628"/>
      <c r="G8" s="1628"/>
      <c r="H8" s="1628"/>
      <c r="I8" s="1628"/>
      <c r="J8" s="1628"/>
      <c r="L8" s="1628"/>
      <c r="M8" s="1628"/>
      <c r="N8" s="1628"/>
      <c r="O8" s="1628"/>
      <c r="P8" s="1628"/>
      <c r="Q8" s="1628"/>
      <c r="R8" s="1628"/>
      <c r="S8" s="1628"/>
      <c r="T8" s="1628"/>
      <c r="U8" s="1628"/>
      <c r="V8" s="1628"/>
      <c r="W8" s="1628"/>
      <c r="X8" s="1628"/>
      <c r="Y8" s="1628"/>
      <c r="Z8" s="1628"/>
    </row>
    <row r="9" spans="1:257" ht="20.25">
      <c r="A9" s="1648"/>
      <c r="B9" s="1649" t="s">
        <v>1311</v>
      </c>
      <c r="C9" s="1650"/>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2"/>
      <c r="BR9" s="1652"/>
      <c r="BS9" s="1652"/>
      <c r="BT9" s="1652"/>
      <c r="BU9" s="1652"/>
      <c r="BV9" s="1652"/>
      <c r="BW9" s="1652"/>
      <c r="BX9" s="1652"/>
      <c r="BY9" s="1652"/>
      <c r="BZ9" s="1652"/>
      <c r="CA9" s="1652"/>
      <c r="CB9" s="1652"/>
      <c r="CC9" s="1652"/>
      <c r="CD9" s="1652"/>
      <c r="CE9" s="1652"/>
      <c r="CF9" s="1652"/>
      <c r="CG9" s="1652"/>
      <c r="CH9" s="1652"/>
      <c r="CI9" s="1652"/>
      <c r="CJ9" s="1652"/>
      <c r="CK9" s="1652"/>
      <c r="CL9" s="1652"/>
      <c r="CM9" s="1652"/>
      <c r="CN9" s="1652"/>
      <c r="CO9" s="1652"/>
      <c r="CP9" s="1652"/>
      <c r="CQ9" s="1652"/>
      <c r="CR9" s="1652"/>
      <c r="CS9" s="1652"/>
      <c r="CT9" s="1652"/>
      <c r="CU9" s="1652"/>
      <c r="CV9" s="1652"/>
      <c r="CW9" s="1652"/>
      <c r="CX9" s="1652"/>
      <c r="CY9" s="1652"/>
      <c r="CZ9" s="1652"/>
      <c r="DA9" s="1652"/>
      <c r="DB9" s="1652"/>
      <c r="DC9" s="1652"/>
      <c r="DD9" s="1652"/>
      <c r="DE9" s="1652"/>
      <c r="DF9" s="1652"/>
      <c r="DG9" s="1652"/>
      <c r="DH9" s="1652"/>
      <c r="DI9" s="1652"/>
      <c r="DJ9" s="1652"/>
      <c r="DK9" s="1652"/>
      <c r="DL9" s="1652"/>
      <c r="DM9" s="1652"/>
      <c r="DN9" s="1652"/>
      <c r="DO9" s="1652"/>
      <c r="DP9" s="1652"/>
      <c r="DQ9" s="1652"/>
      <c r="DR9" s="1652"/>
      <c r="DS9" s="1652"/>
      <c r="DT9" s="1652"/>
      <c r="DU9" s="1652"/>
      <c r="DV9" s="1652"/>
      <c r="DW9" s="1652"/>
      <c r="DX9" s="1652"/>
      <c r="DY9" s="1652"/>
      <c r="DZ9" s="1652"/>
      <c r="EA9" s="1652"/>
      <c r="EB9" s="1652"/>
      <c r="EC9" s="1652"/>
      <c r="ED9" s="1652"/>
      <c r="EE9" s="1652"/>
      <c r="EF9" s="1652"/>
      <c r="EG9" s="1652"/>
      <c r="EH9" s="1652"/>
      <c r="EI9" s="1652"/>
      <c r="EJ9" s="1652"/>
      <c r="EK9" s="1652"/>
      <c r="EL9" s="1652"/>
      <c r="EM9" s="1652"/>
      <c r="EN9" s="1652"/>
      <c r="EO9" s="1652"/>
      <c r="EP9" s="1652"/>
      <c r="EQ9" s="1652"/>
      <c r="ER9" s="1652"/>
      <c r="ES9" s="1652"/>
      <c r="ET9" s="1652"/>
      <c r="EU9" s="1652"/>
      <c r="EV9" s="1652"/>
      <c r="EW9" s="1652"/>
      <c r="EX9" s="1652"/>
      <c r="EY9" s="1652"/>
      <c r="EZ9" s="1652"/>
      <c r="FA9" s="1652"/>
      <c r="FB9" s="1652"/>
      <c r="FC9" s="1652"/>
      <c r="FD9" s="1652"/>
      <c r="FE9" s="1652"/>
      <c r="FF9" s="1652"/>
      <c r="FG9" s="1652"/>
      <c r="FH9" s="1652"/>
      <c r="FI9" s="1652"/>
      <c r="FJ9" s="1652"/>
      <c r="FK9" s="1652"/>
      <c r="FL9" s="1652"/>
      <c r="FM9" s="1652"/>
      <c r="FN9" s="1652"/>
      <c r="FO9" s="1652"/>
      <c r="FP9" s="1652"/>
      <c r="FQ9" s="1652"/>
      <c r="FR9" s="1652"/>
      <c r="FS9" s="1652"/>
      <c r="FT9" s="1652"/>
      <c r="FU9" s="1652"/>
      <c r="FV9" s="1652"/>
      <c r="FW9" s="1652"/>
      <c r="FX9" s="1652"/>
      <c r="FY9" s="1652"/>
      <c r="FZ9" s="1652"/>
      <c r="GA9" s="1652"/>
      <c r="GB9" s="1652"/>
      <c r="GC9" s="1652"/>
      <c r="GD9" s="1652"/>
      <c r="GE9" s="1652"/>
      <c r="GF9" s="1652"/>
      <c r="GG9" s="1652"/>
      <c r="GH9" s="1652"/>
      <c r="GI9" s="1652"/>
      <c r="GJ9" s="1652"/>
      <c r="GK9" s="1652"/>
      <c r="GL9" s="1652"/>
      <c r="GM9" s="1652"/>
      <c r="GN9" s="1652"/>
      <c r="GO9" s="1652"/>
      <c r="GP9" s="1652"/>
      <c r="GQ9" s="1652"/>
      <c r="GR9" s="1652"/>
      <c r="GS9" s="1652"/>
      <c r="GT9" s="1652"/>
      <c r="GU9" s="1652"/>
      <c r="GV9" s="1652"/>
      <c r="GW9" s="1652"/>
      <c r="GX9" s="1652"/>
      <c r="GY9" s="1652"/>
      <c r="GZ9" s="1652"/>
      <c r="HA9" s="1652"/>
      <c r="HB9" s="1652"/>
      <c r="HC9" s="1652"/>
      <c r="HD9" s="1652"/>
      <c r="HE9" s="1652"/>
      <c r="HF9" s="1652"/>
      <c r="HG9" s="1652"/>
      <c r="HH9" s="1652"/>
      <c r="HI9" s="1652"/>
      <c r="HJ9" s="1652"/>
      <c r="HK9" s="1652"/>
      <c r="HL9" s="1652"/>
      <c r="HM9" s="1652"/>
      <c r="HN9" s="1652"/>
      <c r="HO9" s="1652"/>
      <c r="HP9" s="1652"/>
      <c r="HQ9" s="1652"/>
      <c r="HR9" s="1652"/>
      <c r="HS9" s="1652"/>
      <c r="HT9" s="1652"/>
      <c r="HU9" s="1652"/>
      <c r="HV9" s="1652"/>
      <c r="HW9" s="1652"/>
      <c r="HX9" s="1652"/>
      <c r="HY9" s="1652"/>
      <c r="HZ9" s="1652"/>
      <c r="IA9" s="1652"/>
      <c r="IB9" s="1652"/>
      <c r="IC9" s="1652"/>
      <c r="ID9" s="1652"/>
      <c r="IE9" s="1652"/>
      <c r="IF9" s="1652"/>
      <c r="IG9" s="1652"/>
      <c r="IH9" s="1652"/>
      <c r="II9" s="1652"/>
      <c r="IJ9" s="1652"/>
      <c r="IK9" s="1652"/>
      <c r="IL9" s="1652"/>
      <c r="IM9" s="1652"/>
      <c r="IN9" s="1652"/>
      <c r="IO9" s="1652"/>
      <c r="IP9" s="1652"/>
      <c r="IQ9" s="1652"/>
      <c r="IR9" s="1652"/>
      <c r="IS9" s="1652"/>
      <c r="IT9" s="1652"/>
      <c r="IU9" s="1652"/>
      <c r="IV9" s="1652"/>
      <c r="IW9" s="1653"/>
    </row>
    <row r="10" spans="1:257" ht="22.5">
      <c r="A10" s="1654"/>
      <c r="B10" s="1655" t="s">
        <v>1312</v>
      </c>
      <c r="C10" s="1654"/>
      <c r="D10" s="1654"/>
      <c r="E10" s="1654"/>
      <c r="F10" s="1654"/>
      <c r="G10" s="1654"/>
      <c r="H10" s="1654"/>
      <c r="I10" s="1628"/>
      <c r="J10" s="1628"/>
      <c r="K10" s="1654"/>
      <c r="L10" s="1655" t="s">
        <v>1313</v>
      </c>
      <c r="M10" s="1654"/>
      <c r="N10" s="1654"/>
      <c r="O10" s="1654"/>
      <c r="P10" s="1654"/>
      <c r="Q10" s="1654"/>
      <c r="R10" s="1654"/>
      <c r="S10" s="1654"/>
      <c r="T10" s="1654"/>
      <c r="U10" s="1654"/>
      <c r="V10" s="1654"/>
      <c r="W10" s="1654"/>
      <c r="X10" s="1654"/>
      <c r="Y10" s="1654"/>
      <c r="Z10" s="1654"/>
      <c r="AA10" s="1656"/>
      <c r="AB10" s="1656"/>
      <c r="AC10" s="1656"/>
      <c r="AD10" s="1656"/>
      <c r="AE10" s="1656"/>
      <c r="AF10" s="1656"/>
      <c r="AG10" s="1656"/>
      <c r="AH10" s="1656"/>
      <c r="AI10" s="1656"/>
      <c r="AJ10" s="1656"/>
      <c r="AK10" s="1656"/>
      <c r="AL10" s="1656"/>
      <c r="AM10" s="1656"/>
      <c r="AN10" s="1656"/>
      <c r="AO10" s="1656"/>
      <c r="AP10" s="1656"/>
      <c r="AQ10" s="1656"/>
      <c r="AR10" s="1656"/>
      <c r="AS10" s="1656"/>
      <c r="AT10" s="1656"/>
      <c r="AU10" s="1656"/>
      <c r="AV10" s="1656"/>
      <c r="AW10" s="1656"/>
      <c r="AX10" s="1656"/>
      <c r="AY10" s="1656"/>
      <c r="AZ10" s="1656"/>
      <c r="BA10" s="1656"/>
      <c r="BB10" s="1656"/>
      <c r="BC10" s="1656"/>
      <c r="BD10" s="1656"/>
      <c r="BE10" s="1656"/>
      <c r="BF10" s="1656"/>
      <c r="BG10" s="1656"/>
      <c r="BH10" s="1656"/>
      <c r="BI10" s="1656"/>
      <c r="BJ10" s="1656"/>
      <c r="BK10" s="1656"/>
      <c r="BL10" s="1656"/>
      <c r="BM10" s="1656"/>
      <c r="BN10" s="1656"/>
      <c r="BO10" s="1656"/>
      <c r="BP10" s="1656"/>
      <c r="BQ10" s="1656"/>
      <c r="BR10" s="1656"/>
      <c r="BS10" s="1656"/>
      <c r="BT10" s="1656"/>
      <c r="BU10" s="1656"/>
      <c r="BV10" s="1656"/>
      <c r="BW10" s="1656"/>
      <c r="BX10" s="1656"/>
      <c r="BY10" s="1656"/>
      <c r="BZ10" s="1656"/>
      <c r="CA10" s="1656"/>
      <c r="CB10" s="1656"/>
      <c r="CC10" s="1656"/>
      <c r="CD10" s="1656"/>
      <c r="CE10" s="1656"/>
      <c r="CF10" s="1656"/>
      <c r="CG10" s="1656"/>
      <c r="CH10" s="1656"/>
      <c r="CI10" s="1656"/>
      <c r="CJ10" s="1656"/>
      <c r="CK10" s="1656"/>
      <c r="CL10" s="1656"/>
      <c r="CM10" s="1656"/>
      <c r="CN10" s="1656"/>
      <c r="CO10" s="1656"/>
      <c r="CP10" s="1656"/>
      <c r="CQ10" s="1656"/>
      <c r="CR10" s="1656"/>
      <c r="CS10" s="1656"/>
      <c r="CT10" s="1656"/>
      <c r="CU10" s="1656"/>
      <c r="CV10" s="1656"/>
      <c r="CW10" s="1656"/>
      <c r="CX10" s="1656"/>
      <c r="CY10" s="1656"/>
      <c r="CZ10" s="1656"/>
      <c r="DA10" s="1656"/>
      <c r="DB10" s="1656"/>
      <c r="DC10" s="1656"/>
      <c r="DD10" s="1656"/>
      <c r="DE10" s="1656"/>
      <c r="DF10" s="1656"/>
      <c r="DG10" s="1656"/>
      <c r="DH10" s="1656"/>
      <c r="DI10" s="1656"/>
      <c r="DJ10" s="1656"/>
      <c r="DK10" s="1656"/>
      <c r="DL10" s="1656"/>
      <c r="DM10" s="1656"/>
      <c r="DN10" s="1656"/>
      <c r="DO10" s="1656"/>
      <c r="DP10" s="1656"/>
      <c r="DQ10" s="1656"/>
      <c r="DR10" s="1656"/>
      <c r="DS10" s="1656"/>
      <c r="DT10" s="1656"/>
      <c r="DU10" s="1656"/>
      <c r="DV10" s="1656"/>
      <c r="DW10" s="1656"/>
      <c r="DX10" s="1656"/>
      <c r="DY10" s="1656"/>
      <c r="DZ10" s="1656"/>
      <c r="EA10" s="1656"/>
      <c r="EB10" s="1656"/>
      <c r="EC10" s="1656"/>
      <c r="ED10" s="1656"/>
      <c r="EE10" s="1656"/>
      <c r="EF10" s="1656"/>
      <c r="EG10" s="1656"/>
      <c r="EH10" s="1656"/>
      <c r="EI10" s="1656"/>
      <c r="EJ10" s="1656"/>
      <c r="EK10" s="1656"/>
      <c r="EL10" s="1656"/>
      <c r="EM10" s="1656"/>
      <c r="EN10" s="1656"/>
      <c r="EO10" s="1656"/>
      <c r="EP10" s="1656"/>
      <c r="EQ10" s="1656"/>
      <c r="ER10" s="1656"/>
      <c r="ES10" s="1656"/>
      <c r="ET10" s="1656"/>
      <c r="EU10" s="1656"/>
      <c r="EV10" s="1656"/>
      <c r="EW10" s="1656"/>
      <c r="EX10" s="1656"/>
      <c r="EY10" s="1656"/>
      <c r="EZ10" s="1656"/>
      <c r="FA10" s="1656"/>
      <c r="FB10" s="1656"/>
      <c r="FC10" s="1656"/>
      <c r="FD10" s="1656"/>
      <c r="FE10" s="1656"/>
      <c r="FF10" s="1656"/>
      <c r="FG10" s="1656"/>
      <c r="FH10" s="1656"/>
      <c r="FI10" s="1656"/>
      <c r="FJ10" s="1656"/>
      <c r="FK10" s="1656"/>
      <c r="FL10" s="1656"/>
      <c r="FM10" s="1656"/>
      <c r="FN10" s="1656"/>
      <c r="FO10" s="1656"/>
      <c r="FP10" s="1656"/>
      <c r="FQ10" s="1656"/>
      <c r="FR10" s="1656"/>
      <c r="FS10" s="1656"/>
      <c r="FT10" s="1656"/>
      <c r="FU10" s="1656"/>
      <c r="FV10" s="1656"/>
      <c r="FW10" s="1656"/>
      <c r="FX10" s="1656"/>
      <c r="FY10" s="1656"/>
      <c r="FZ10" s="1656"/>
      <c r="GA10" s="1656"/>
      <c r="GB10" s="1656"/>
      <c r="GC10" s="1656"/>
      <c r="GD10" s="1656"/>
      <c r="GE10" s="1656"/>
      <c r="GF10" s="1656"/>
      <c r="GG10" s="1656"/>
      <c r="GH10" s="1656"/>
      <c r="GI10" s="1656"/>
      <c r="GJ10" s="1656"/>
      <c r="GK10" s="1656"/>
      <c r="GL10" s="1656"/>
      <c r="GM10" s="1656"/>
      <c r="GN10" s="1656"/>
      <c r="GO10" s="1656"/>
      <c r="GP10" s="1656"/>
      <c r="GQ10" s="1656"/>
      <c r="GR10" s="1656"/>
      <c r="GS10" s="1656"/>
      <c r="GT10" s="1656"/>
      <c r="GU10" s="1656"/>
      <c r="GV10" s="1656"/>
      <c r="GW10" s="1656"/>
      <c r="GX10" s="1656"/>
      <c r="GY10" s="1656"/>
      <c r="GZ10" s="1656"/>
      <c r="HA10" s="1656"/>
      <c r="HB10" s="1656"/>
      <c r="HC10" s="1656"/>
      <c r="HD10" s="1656"/>
      <c r="HE10" s="1656"/>
      <c r="HF10" s="1656"/>
      <c r="HG10" s="1656"/>
      <c r="HH10" s="1656"/>
      <c r="HI10" s="1656"/>
      <c r="HJ10" s="1656"/>
      <c r="HK10" s="1656"/>
      <c r="HL10" s="1656"/>
      <c r="HM10" s="1656"/>
      <c r="HN10" s="1656"/>
      <c r="HO10" s="1656"/>
      <c r="HP10" s="1656"/>
      <c r="HQ10" s="1656"/>
      <c r="HR10" s="1656"/>
      <c r="HS10" s="1656"/>
      <c r="HT10" s="1656"/>
      <c r="HU10" s="1656"/>
      <c r="HV10" s="1656"/>
      <c r="HW10" s="1656"/>
      <c r="HX10" s="1656"/>
      <c r="HY10" s="1656"/>
      <c r="HZ10" s="1656"/>
      <c r="IA10" s="1656"/>
      <c r="IB10" s="1656"/>
      <c r="IC10" s="1656"/>
      <c r="ID10" s="1656"/>
      <c r="IE10" s="1656"/>
      <c r="IF10" s="1656"/>
      <c r="IG10" s="1656"/>
      <c r="IH10" s="1656"/>
      <c r="II10" s="1656"/>
      <c r="IJ10" s="1656"/>
      <c r="IK10" s="1656"/>
      <c r="IL10" s="1656"/>
      <c r="IM10" s="1656"/>
      <c r="IN10" s="1656"/>
      <c r="IO10" s="1656"/>
      <c r="IP10" s="1656"/>
      <c r="IQ10" s="1656"/>
      <c r="IR10" s="1656"/>
      <c r="IS10" s="1656"/>
      <c r="IT10" s="1656"/>
      <c r="IU10" s="1656"/>
      <c r="IV10" s="1656"/>
    </row>
    <row r="11" spans="1:257">
      <c r="A11" s="1657"/>
      <c r="B11" s="1658" t="s">
        <v>1314</v>
      </c>
      <c r="C11" s="1659" t="s">
        <v>1315</v>
      </c>
      <c r="D11" s="1660" t="s">
        <v>1316</v>
      </c>
      <c r="E11" s="1661"/>
      <c r="F11" s="1660" t="s">
        <v>1317</v>
      </c>
      <c r="G11" s="1662"/>
      <c r="H11" s="1661"/>
      <c r="I11" s="1660" t="s">
        <v>1318</v>
      </c>
      <c r="J11" s="1661"/>
      <c r="K11" s="1657"/>
      <c r="L11" s="1658" t="s">
        <v>1314</v>
      </c>
      <c r="M11" s="1659" t="s">
        <v>1315</v>
      </c>
      <c r="N11" s="1658" t="s">
        <v>1319</v>
      </c>
      <c r="O11" s="1660" t="s">
        <v>1320</v>
      </c>
      <c r="P11" s="1662"/>
      <c r="Q11" s="1662"/>
      <c r="R11" s="1662"/>
      <c r="S11" s="1662"/>
      <c r="T11" s="1661"/>
      <c r="U11" s="1660" t="s">
        <v>1321</v>
      </c>
      <c r="V11" s="1662"/>
      <c r="W11" s="1661"/>
      <c r="X11" s="1658" t="s">
        <v>1322</v>
      </c>
      <c r="Y11" s="1658" t="s">
        <v>1323</v>
      </c>
      <c r="Z11" s="1658" t="s">
        <v>1324</v>
      </c>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3"/>
      <c r="AW11" s="1663"/>
      <c r="AX11" s="1663"/>
      <c r="AY11" s="1663"/>
      <c r="AZ11" s="1663"/>
      <c r="BA11" s="1663"/>
      <c r="BB11" s="1663"/>
      <c r="BC11" s="1663"/>
      <c r="BD11" s="1663"/>
      <c r="BE11" s="1663"/>
      <c r="BF11" s="1663"/>
      <c r="BG11" s="1663"/>
      <c r="BH11" s="1663"/>
      <c r="BI11" s="1663"/>
      <c r="BJ11" s="1663"/>
      <c r="BK11" s="1663"/>
      <c r="BL11" s="1663"/>
      <c r="BM11" s="1663"/>
      <c r="BN11" s="1663"/>
      <c r="BO11" s="1663"/>
      <c r="BP11" s="1663"/>
      <c r="BQ11" s="1663"/>
      <c r="BR11" s="1663"/>
      <c r="BS11" s="1663"/>
      <c r="BT11" s="1663"/>
      <c r="BU11" s="1663"/>
      <c r="BV11" s="1663"/>
      <c r="BW11" s="1663"/>
      <c r="BX11" s="1663"/>
      <c r="BY11" s="1663"/>
      <c r="BZ11" s="1663"/>
      <c r="CA11" s="1663"/>
      <c r="CB11" s="1663"/>
      <c r="CC11" s="1663"/>
      <c r="CD11" s="1663"/>
      <c r="CE11" s="1663"/>
      <c r="CF11" s="1663"/>
      <c r="CG11" s="1663"/>
      <c r="CH11" s="1663"/>
      <c r="CI11" s="1663"/>
      <c r="CJ11" s="1663"/>
      <c r="CK11" s="1663"/>
      <c r="CL11" s="1663"/>
      <c r="CM11" s="1663"/>
      <c r="CN11" s="1663"/>
      <c r="CO11" s="1663"/>
      <c r="CP11" s="1663"/>
      <c r="CQ11" s="1663"/>
      <c r="CR11" s="1663"/>
      <c r="CS11" s="1663"/>
      <c r="CT11" s="1663"/>
      <c r="CU11" s="1663"/>
      <c r="CV11" s="1663"/>
      <c r="CW11" s="1663"/>
      <c r="CX11" s="1663"/>
      <c r="CY11" s="1663"/>
      <c r="CZ11" s="1663"/>
      <c r="DA11" s="1663"/>
      <c r="DB11" s="1663"/>
      <c r="DC11" s="1663"/>
      <c r="DD11" s="1663"/>
      <c r="DE11" s="1663"/>
      <c r="DF11" s="1663"/>
      <c r="DG11" s="1663"/>
      <c r="DH11" s="1663"/>
      <c r="DI11" s="1663"/>
      <c r="DJ11" s="1663"/>
      <c r="DK11" s="1663"/>
      <c r="DL11" s="1663"/>
      <c r="DM11" s="1663"/>
      <c r="DN11" s="1663"/>
      <c r="DO11" s="1663"/>
      <c r="DP11" s="1663"/>
      <c r="DQ11" s="1663"/>
      <c r="DR11" s="1663"/>
      <c r="DS11" s="1663"/>
      <c r="DT11" s="1663"/>
      <c r="DU11" s="1663"/>
      <c r="DV11" s="1663"/>
      <c r="DW11" s="1663"/>
      <c r="DX11" s="1663"/>
      <c r="DY11" s="1663"/>
      <c r="DZ11" s="1663"/>
      <c r="EA11" s="1663"/>
      <c r="EB11" s="1663"/>
      <c r="EC11" s="1663"/>
      <c r="ED11" s="1663"/>
      <c r="EE11" s="1663"/>
      <c r="EF11" s="1663"/>
      <c r="EG11" s="1663"/>
      <c r="EH11" s="1663"/>
      <c r="EI11" s="1663"/>
      <c r="EJ11" s="1663"/>
      <c r="EK11" s="1663"/>
      <c r="EL11" s="1663"/>
      <c r="EM11" s="1663"/>
      <c r="EN11" s="1663"/>
      <c r="EO11" s="1663"/>
      <c r="EP11" s="1663"/>
      <c r="EQ11" s="1663"/>
      <c r="ER11" s="1663"/>
      <c r="ES11" s="1663"/>
      <c r="ET11" s="1663"/>
      <c r="EU11" s="1663"/>
      <c r="EV11" s="1663"/>
      <c r="EW11" s="1663"/>
      <c r="EX11" s="1663"/>
      <c r="EY11" s="1663"/>
      <c r="EZ11" s="1663"/>
      <c r="FA11" s="1663"/>
      <c r="FB11" s="1663"/>
      <c r="FC11" s="1663"/>
      <c r="FD11" s="1663"/>
      <c r="FE11" s="1663"/>
      <c r="FF11" s="1663"/>
      <c r="FG11" s="1663"/>
      <c r="FH11" s="1663"/>
      <c r="FI11" s="1663"/>
      <c r="FJ11" s="1663"/>
      <c r="FK11" s="1663"/>
      <c r="FL11" s="1663"/>
      <c r="FM11" s="1663"/>
      <c r="FN11" s="1663"/>
      <c r="FO11" s="1663"/>
      <c r="FP11" s="1663"/>
      <c r="FQ11" s="1663"/>
      <c r="FR11" s="1663"/>
      <c r="FS11" s="1663"/>
      <c r="FT11" s="1663"/>
      <c r="FU11" s="1663"/>
      <c r="FV11" s="1663"/>
      <c r="FW11" s="1663"/>
      <c r="FX11" s="1663"/>
      <c r="FY11" s="1663"/>
      <c r="FZ11" s="1663"/>
      <c r="GA11" s="1663"/>
      <c r="GB11" s="1663"/>
      <c r="GC11" s="1663"/>
      <c r="GD11" s="1663"/>
      <c r="GE11" s="1663"/>
      <c r="GF11" s="1663"/>
      <c r="GG11" s="1663"/>
      <c r="GH11" s="1663"/>
      <c r="GI11" s="1663"/>
      <c r="GJ11" s="1663"/>
      <c r="GK11" s="1663"/>
      <c r="GL11" s="1663"/>
      <c r="GM11" s="1663"/>
      <c r="GN11" s="1663"/>
      <c r="GO11" s="1663"/>
      <c r="GP11" s="1663"/>
      <c r="GQ11" s="1663"/>
      <c r="GR11" s="1663"/>
      <c r="GS11" s="1663"/>
      <c r="GT11" s="1663"/>
      <c r="GU11" s="1663"/>
      <c r="GV11" s="1663"/>
      <c r="GW11" s="1663"/>
      <c r="GX11" s="1663"/>
      <c r="GY11" s="1663"/>
      <c r="GZ11" s="1663"/>
      <c r="HA11" s="1663"/>
      <c r="HB11" s="1663"/>
      <c r="HC11" s="1663"/>
      <c r="HD11" s="1663"/>
      <c r="HE11" s="1663"/>
      <c r="HF11" s="1663"/>
      <c r="HG11" s="1663"/>
      <c r="HH11" s="1663"/>
      <c r="HI11" s="1663"/>
      <c r="HJ11" s="1663"/>
      <c r="HK11" s="1663"/>
      <c r="HL11" s="1663"/>
      <c r="HM11" s="1663"/>
      <c r="HN11" s="1663"/>
      <c r="HO11" s="1663"/>
      <c r="HP11" s="1663"/>
      <c r="HQ11" s="1663"/>
      <c r="HR11" s="1663"/>
      <c r="HS11" s="1663"/>
      <c r="HT11" s="1663"/>
      <c r="HU11" s="1663"/>
      <c r="HV11" s="1663"/>
      <c r="HW11" s="1663"/>
      <c r="HX11" s="1663"/>
      <c r="HY11" s="1663"/>
      <c r="HZ11" s="1663"/>
      <c r="IA11" s="1663"/>
      <c r="IB11" s="1663"/>
      <c r="IC11" s="1663"/>
      <c r="ID11" s="1663"/>
      <c r="IE11" s="1663"/>
      <c r="IF11" s="1663"/>
      <c r="IG11" s="1663"/>
      <c r="IH11" s="1663"/>
      <c r="II11" s="1663"/>
      <c r="IJ11" s="1663"/>
      <c r="IK11" s="1663"/>
      <c r="IL11" s="1663"/>
      <c r="IM11" s="1663"/>
      <c r="IN11" s="1663"/>
      <c r="IO11" s="1663"/>
      <c r="IP11" s="1663"/>
      <c r="IQ11" s="1663"/>
      <c r="IR11" s="1663"/>
      <c r="IS11" s="1663"/>
      <c r="IT11" s="1663"/>
      <c r="IU11" s="1663"/>
      <c r="IV11" s="1663"/>
    </row>
    <row r="12" spans="1:257">
      <c r="A12" s="1664"/>
      <c r="B12" s="1665"/>
      <c r="C12" s="1666"/>
      <c r="D12" s="1667" t="s">
        <v>1325</v>
      </c>
      <c r="E12" s="1667" t="s">
        <v>1326</v>
      </c>
      <c r="F12" s="1667" t="s">
        <v>1327</v>
      </c>
      <c r="G12" s="1667" t="s">
        <v>1328</v>
      </c>
      <c r="H12" s="1667" t="s">
        <v>1310</v>
      </c>
      <c r="I12" s="1668" t="s">
        <v>1329</v>
      </c>
      <c r="J12" s="1668" t="s">
        <v>1329</v>
      </c>
      <c r="K12" s="1664"/>
      <c r="L12" s="1665"/>
      <c r="M12" s="1666"/>
      <c r="N12" s="1665"/>
      <c r="O12" s="1668" t="s">
        <v>1330</v>
      </c>
      <c r="P12" s="1668">
        <v>0.5</v>
      </c>
      <c r="Q12" s="1668">
        <v>1</v>
      </c>
      <c r="R12" s="1668">
        <v>2</v>
      </c>
      <c r="S12" s="1668">
        <v>3</v>
      </c>
      <c r="T12" s="1668">
        <v>5</v>
      </c>
      <c r="U12" s="1668">
        <v>1</v>
      </c>
      <c r="V12" s="1668">
        <v>3</v>
      </c>
      <c r="W12" s="1668">
        <v>5</v>
      </c>
      <c r="X12" s="1665"/>
      <c r="Y12" s="1665"/>
      <c r="Z12" s="1665"/>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1669"/>
      <c r="AV12" s="1669"/>
      <c r="AW12" s="1669"/>
      <c r="AX12" s="1669"/>
      <c r="AY12" s="1669"/>
      <c r="AZ12" s="1669"/>
      <c r="BA12" s="1669"/>
      <c r="BB12" s="1669"/>
      <c r="BC12" s="1669"/>
      <c r="BD12" s="1669"/>
      <c r="BE12" s="1669"/>
      <c r="BF12" s="1669"/>
      <c r="BG12" s="1669"/>
      <c r="BH12" s="1669"/>
      <c r="BI12" s="1669"/>
      <c r="BJ12" s="1669"/>
      <c r="BK12" s="1669"/>
      <c r="BL12" s="1669"/>
      <c r="BM12" s="1669"/>
      <c r="BN12" s="1669"/>
      <c r="BO12" s="1669"/>
      <c r="BP12" s="1669"/>
      <c r="BQ12" s="1669"/>
      <c r="BR12" s="1669"/>
      <c r="BS12" s="1669"/>
      <c r="BT12" s="1669"/>
      <c r="BU12" s="1669"/>
      <c r="BV12" s="1669"/>
      <c r="BW12" s="1669"/>
      <c r="BX12" s="1669"/>
      <c r="BY12" s="1669"/>
      <c r="BZ12" s="1669"/>
      <c r="CA12" s="1669"/>
      <c r="CB12" s="1669"/>
      <c r="CC12" s="1669"/>
      <c r="CD12" s="1669"/>
      <c r="CE12" s="1669"/>
      <c r="CF12" s="1669"/>
      <c r="CG12" s="1669"/>
      <c r="CH12" s="1669"/>
      <c r="CI12" s="1669"/>
      <c r="CJ12" s="1669"/>
      <c r="CK12" s="1669"/>
      <c r="CL12" s="1669"/>
      <c r="CM12" s="1669"/>
      <c r="CN12" s="1669"/>
      <c r="CO12" s="1669"/>
      <c r="CP12" s="1669"/>
      <c r="CQ12" s="1669"/>
      <c r="CR12" s="1669"/>
      <c r="CS12" s="1669"/>
      <c r="CT12" s="1669"/>
      <c r="CU12" s="1669"/>
      <c r="CV12" s="1669"/>
      <c r="CW12" s="1669"/>
      <c r="CX12" s="1669"/>
      <c r="CY12" s="1669"/>
      <c r="CZ12" s="1669"/>
      <c r="DA12" s="1669"/>
      <c r="DB12" s="1669"/>
      <c r="DC12" s="1669"/>
      <c r="DD12" s="1669"/>
      <c r="DE12" s="1669"/>
      <c r="DF12" s="1669"/>
      <c r="DG12" s="1669"/>
      <c r="DH12" s="1669"/>
      <c r="DI12" s="1669"/>
      <c r="DJ12" s="1669"/>
      <c r="DK12" s="1669"/>
      <c r="DL12" s="1669"/>
      <c r="DM12" s="1669"/>
      <c r="DN12" s="1669"/>
      <c r="DO12" s="1669"/>
      <c r="DP12" s="1669"/>
      <c r="DQ12" s="1669"/>
      <c r="DR12" s="1669"/>
      <c r="DS12" s="1669"/>
      <c r="DT12" s="1669"/>
      <c r="DU12" s="1669"/>
      <c r="DV12" s="1669"/>
      <c r="DW12" s="1669"/>
      <c r="DX12" s="1669"/>
      <c r="DY12" s="1669"/>
      <c r="DZ12" s="1669"/>
      <c r="EA12" s="1669"/>
      <c r="EB12" s="1669"/>
      <c r="EC12" s="1669"/>
      <c r="ED12" s="1669"/>
      <c r="EE12" s="1669"/>
      <c r="EF12" s="1669"/>
      <c r="EG12" s="1669"/>
      <c r="EH12" s="1669"/>
      <c r="EI12" s="1669"/>
      <c r="EJ12" s="1669"/>
      <c r="EK12" s="1669"/>
      <c r="EL12" s="1669"/>
      <c r="EM12" s="1669"/>
      <c r="EN12" s="1669"/>
      <c r="EO12" s="1669"/>
      <c r="EP12" s="1669"/>
      <c r="EQ12" s="1669"/>
      <c r="ER12" s="1669"/>
      <c r="ES12" s="1669"/>
      <c r="ET12" s="1669"/>
      <c r="EU12" s="1669"/>
      <c r="EV12" s="1669"/>
      <c r="EW12" s="1669"/>
      <c r="EX12" s="1669"/>
      <c r="EY12" s="1669"/>
      <c r="EZ12" s="1669"/>
      <c r="FA12" s="1669"/>
      <c r="FB12" s="1669"/>
      <c r="FC12" s="1669"/>
      <c r="FD12" s="1669"/>
      <c r="FE12" s="1669"/>
      <c r="FF12" s="1669"/>
      <c r="FG12" s="1669"/>
      <c r="FH12" s="1669"/>
      <c r="FI12" s="1669"/>
      <c r="FJ12" s="1669"/>
      <c r="FK12" s="1669"/>
      <c r="FL12" s="1669"/>
      <c r="FM12" s="1669"/>
      <c r="FN12" s="1669"/>
      <c r="FO12" s="1669"/>
      <c r="FP12" s="1669"/>
      <c r="FQ12" s="1669"/>
      <c r="FR12" s="1669"/>
      <c r="FS12" s="1669"/>
      <c r="FT12" s="1669"/>
      <c r="FU12" s="1669"/>
      <c r="FV12" s="1669"/>
      <c r="FW12" s="1669"/>
      <c r="FX12" s="1669"/>
      <c r="FY12" s="1669"/>
      <c r="FZ12" s="1669"/>
      <c r="GA12" s="1669"/>
      <c r="GB12" s="1669"/>
      <c r="GC12" s="1669"/>
      <c r="GD12" s="1669"/>
      <c r="GE12" s="1669"/>
      <c r="GF12" s="1669"/>
      <c r="GG12" s="1669"/>
      <c r="GH12" s="1669"/>
      <c r="GI12" s="1669"/>
      <c r="GJ12" s="1669"/>
      <c r="GK12" s="1669"/>
      <c r="GL12" s="1669"/>
      <c r="GM12" s="1669"/>
      <c r="GN12" s="1669"/>
      <c r="GO12" s="1669"/>
      <c r="GP12" s="1669"/>
      <c r="GQ12" s="1669"/>
      <c r="GR12" s="1669"/>
      <c r="GS12" s="1669"/>
      <c r="GT12" s="1669"/>
      <c r="GU12" s="1669"/>
      <c r="GV12" s="1669"/>
      <c r="GW12" s="1669"/>
      <c r="GX12" s="1669"/>
      <c r="GY12" s="1669"/>
      <c r="GZ12" s="1669"/>
      <c r="HA12" s="1669"/>
      <c r="HB12" s="1669"/>
      <c r="HC12" s="1669"/>
      <c r="HD12" s="1669"/>
      <c r="HE12" s="1669"/>
      <c r="HF12" s="1669"/>
      <c r="HG12" s="1669"/>
      <c r="HH12" s="1669"/>
      <c r="HI12" s="1669"/>
      <c r="HJ12" s="1669"/>
      <c r="HK12" s="1669"/>
      <c r="HL12" s="1669"/>
      <c r="HM12" s="1669"/>
      <c r="HN12" s="1669"/>
      <c r="HO12" s="1669"/>
      <c r="HP12" s="1669"/>
      <c r="HQ12" s="1669"/>
      <c r="HR12" s="1669"/>
      <c r="HS12" s="1669"/>
      <c r="HT12" s="1669"/>
      <c r="HU12" s="1669"/>
      <c r="HV12" s="1669"/>
      <c r="HW12" s="1669"/>
      <c r="HX12" s="1669"/>
      <c r="HY12" s="1669"/>
      <c r="HZ12" s="1669"/>
      <c r="IA12" s="1669"/>
      <c r="IB12" s="1669"/>
      <c r="IC12" s="1669"/>
      <c r="ID12" s="1669"/>
      <c r="IE12" s="1669"/>
      <c r="IF12" s="1669"/>
      <c r="IG12" s="1669"/>
      <c r="IH12" s="1669"/>
      <c r="II12" s="1669"/>
      <c r="IJ12" s="1669"/>
      <c r="IK12" s="1669"/>
      <c r="IL12" s="1669"/>
      <c r="IM12" s="1669"/>
      <c r="IN12" s="1669"/>
      <c r="IO12" s="1669"/>
      <c r="IP12" s="1669"/>
      <c r="IQ12" s="1669"/>
      <c r="IR12" s="1669"/>
      <c r="IS12" s="1669"/>
      <c r="IT12" s="1669"/>
      <c r="IU12" s="1669"/>
      <c r="IV12" s="1669"/>
    </row>
    <row r="13" spans="1:257" ht="14.25">
      <c r="A13" s="1670"/>
      <c r="B13" s="1671" t="s">
        <v>1331</v>
      </c>
      <c r="C13" s="1672">
        <v>42301</v>
      </c>
      <c r="D13" s="1673">
        <v>4.3499999999999996</v>
      </c>
      <c r="E13" s="1673">
        <v>4.3499999999999996</v>
      </c>
      <c r="F13" s="1673">
        <v>4.75</v>
      </c>
      <c r="G13" s="1673">
        <v>4.75</v>
      </c>
      <c r="H13" s="1673">
        <v>4.9000000000000004</v>
      </c>
      <c r="I13" s="1673">
        <v>2.75</v>
      </c>
      <c r="J13" s="1673">
        <v>3.25</v>
      </c>
      <c r="K13" s="1670"/>
      <c r="L13" s="1671" t="s">
        <v>1331</v>
      </c>
      <c r="M13" s="1674">
        <v>42301</v>
      </c>
      <c r="N13" s="1673">
        <v>0.35</v>
      </c>
      <c r="O13" s="1673">
        <v>1.1000000000000001</v>
      </c>
      <c r="P13" s="1673">
        <v>1.3</v>
      </c>
      <c r="Q13" s="1673">
        <v>1.5</v>
      </c>
      <c r="R13" s="1673">
        <v>2.1</v>
      </c>
      <c r="S13" s="1673">
        <v>2.75</v>
      </c>
      <c r="T13" s="1673"/>
      <c r="U13" s="1673"/>
      <c r="V13" s="1673"/>
      <c r="W13" s="1673"/>
      <c r="X13" s="1673"/>
      <c r="Y13" s="1673"/>
      <c r="Z13" s="1673"/>
      <c r="AA13" s="1675"/>
      <c r="AB13" s="1675"/>
      <c r="AC13" s="1675"/>
      <c r="AD13" s="1675"/>
      <c r="AE13" s="1675"/>
      <c r="AF13" s="1675"/>
      <c r="AG13" s="1675"/>
      <c r="AH13" s="1675"/>
      <c r="AI13" s="1675"/>
      <c r="AJ13" s="1675"/>
      <c r="AK13" s="1675"/>
      <c r="AL13" s="1675"/>
      <c r="AM13" s="1675"/>
      <c r="AN13" s="1675"/>
      <c r="AO13" s="1675"/>
      <c r="AP13" s="1675"/>
      <c r="AQ13" s="1675"/>
      <c r="AR13" s="1675"/>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c r="BP13" s="1675"/>
      <c r="BQ13" s="1675"/>
      <c r="BR13" s="1675"/>
      <c r="BS13" s="1675"/>
      <c r="BT13" s="1675"/>
      <c r="BU13" s="1675"/>
      <c r="BV13" s="1675"/>
      <c r="BW13" s="1675"/>
      <c r="BX13" s="1675"/>
      <c r="BY13" s="1675"/>
      <c r="BZ13" s="1675"/>
      <c r="CA13" s="1675"/>
      <c r="CB13" s="1675"/>
      <c r="CC13" s="1675"/>
      <c r="CD13" s="1675"/>
      <c r="CE13" s="1675"/>
      <c r="CF13" s="1675"/>
      <c r="CG13" s="1675"/>
      <c r="CH13" s="1675"/>
      <c r="CI13" s="1675"/>
      <c r="CJ13" s="1675"/>
      <c r="CK13" s="1675"/>
      <c r="CL13" s="1675"/>
      <c r="CM13" s="1675"/>
      <c r="CN13" s="1675"/>
      <c r="CO13" s="1675"/>
      <c r="CP13" s="1675"/>
      <c r="CQ13" s="1675"/>
      <c r="CR13" s="1675"/>
      <c r="CS13" s="1675"/>
      <c r="CT13" s="1675"/>
      <c r="CU13" s="1675"/>
      <c r="CV13" s="1675"/>
      <c r="CW13" s="1675"/>
      <c r="CX13" s="1675"/>
      <c r="CY13" s="1675"/>
      <c r="CZ13" s="1675"/>
      <c r="DA13" s="1675"/>
      <c r="DB13" s="1675"/>
      <c r="DC13" s="1675"/>
      <c r="DD13" s="1675"/>
      <c r="DE13" s="1675"/>
      <c r="DF13" s="1675"/>
      <c r="DG13" s="1675"/>
      <c r="DH13" s="1675"/>
      <c r="DI13" s="1675"/>
      <c r="DJ13" s="1675"/>
      <c r="DK13" s="1675"/>
      <c r="DL13" s="1675"/>
      <c r="DM13" s="1675"/>
      <c r="DN13" s="1675"/>
      <c r="DO13" s="1675"/>
      <c r="DP13" s="1675"/>
      <c r="DQ13" s="1675"/>
      <c r="DR13" s="1675"/>
      <c r="DS13" s="1675"/>
      <c r="DT13" s="1675"/>
      <c r="DU13" s="1675"/>
      <c r="DV13" s="1675"/>
      <c r="DW13" s="1675"/>
      <c r="DX13" s="1675"/>
      <c r="DY13" s="1675"/>
      <c r="DZ13" s="1675"/>
      <c r="EA13" s="1675"/>
      <c r="EB13" s="1675"/>
      <c r="EC13" s="1675"/>
      <c r="ED13" s="1675"/>
      <c r="EE13" s="1675"/>
      <c r="EF13" s="1675"/>
      <c r="EG13" s="1675"/>
      <c r="EH13" s="1675"/>
      <c r="EI13" s="1675"/>
      <c r="EJ13" s="1675"/>
      <c r="EK13" s="1675"/>
      <c r="EL13" s="1675"/>
      <c r="EM13" s="1675"/>
      <c r="EN13" s="1675"/>
      <c r="EO13" s="1675"/>
      <c r="EP13" s="1675"/>
      <c r="EQ13" s="1675"/>
      <c r="ER13" s="1675"/>
      <c r="ES13" s="1675"/>
      <c r="ET13" s="1675"/>
      <c r="EU13" s="1675"/>
      <c r="EV13" s="1675"/>
      <c r="EW13" s="1675"/>
      <c r="EX13" s="1675"/>
      <c r="EY13" s="1675"/>
      <c r="EZ13" s="1675"/>
      <c r="FA13" s="1675"/>
      <c r="FB13" s="1675"/>
      <c r="FC13" s="1675"/>
      <c r="FD13" s="1675"/>
      <c r="FE13" s="1675"/>
      <c r="FF13" s="1675"/>
      <c r="FG13" s="1675"/>
      <c r="FH13" s="1675"/>
      <c r="FI13" s="1675"/>
      <c r="FJ13" s="1675"/>
      <c r="FK13" s="1675"/>
      <c r="FL13" s="1675"/>
      <c r="FM13" s="1675"/>
      <c r="FN13" s="1675"/>
      <c r="FO13" s="1675"/>
      <c r="FP13" s="1675"/>
      <c r="FQ13" s="1675"/>
      <c r="FR13" s="1675"/>
      <c r="FS13" s="1675"/>
      <c r="FT13" s="1675"/>
      <c r="FU13" s="1675"/>
      <c r="FV13" s="1675"/>
      <c r="FW13" s="1675"/>
      <c r="FX13" s="1675"/>
      <c r="FY13" s="1675"/>
      <c r="FZ13" s="1675"/>
      <c r="GA13" s="1675"/>
      <c r="GB13" s="1675"/>
      <c r="GC13" s="1675"/>
      <c r="GD13" s="1675"/>
      <c r="GE13" s="1675"/>
      <c r="GF13" s="1675"/>
      <c r="GG13" s="1675"/>
      <c r="GH13" s="1675"/>
      <c r="GI13" s="1675"/>
      <c r="GJ13" s="1675"/>
      <c r="GK13" s="1675"/>
      <c r="GL13" s="1675"/>
      <c r="GM13" s="1675"/>
      <c r="GN13" s="1675"/>
      <c r="GO13" s="1675"/>
      <c r="GP13" s="1675"/>
      <c r="GQ13" s="1675"/>
      <c r="GR13" s="1675"/>
      <c r="GS13" s="1675"/>
      <c r="GT13" s="1675"/>
      <c r="GU13" s="1675"/>
      <c r="GV13" s="1675"/>
      <c r="GW13" s="1675"/>
      <c r="GX13" s="1675"/>
      <c r="GY13" s="1675"/>
      <c r="GZ13" s="1675"/>
      <c r="HA13" s="1675"/>
      <c r="HB13" s="1675"/>
      <c r="HC13" s="1675"/>
      <c r="HD13" s="1675"/>
      <c r="HE13" s="1675"/>
      <c r="HF13" s="1675"/>
      <c r="HG13" s="1675"/>
      <c r="HH13" s="1675"/>
      <c r="HI13" s="1675"/>
      <c r="HJ13" s="1675"/>
      <c r="HK13" s="1675"/>
      <c r="HL13" s="1675"/>
      <c r="HM13" s="1675"/>
      <c r="HN13" s="1675"/>
      <c r="HO13" s="1675"/>
      <c r="HP13" s="1675"/>
      <c r="HQ13" s="1675"/>
      <c r="HR13" s="1675"/>
      <c r="HS13" s="1675"/>
      <c r="HT13" s="1675"/>
      <c r="HU13" s="1675"/>
      <c r="HV13" s="1675"/>
      <c r="HW13" s="1675"/>
      <c r="HX13" s="1675"/>
      <c r="HY13" s="1675"/>
      <c r="HZ13" s="1675"/>
      <c r="IA13" s="1675"/>
      <c r="IB13" s="1675"/>
      <c r="IC13" s="1675"/>
      <c r="ID13" s="1675"/>
      <c r="IE13" s="1675"/>
      <c r="IF13" s="1675"/>
      <c r="IG13" s="1675"/>
      <c r="IH13" s="1675"/>
      <c r="II13" s="1675"/>
      <c r="IJ13" s="1675"/>
      <c r="IK13" s="1675"/>
      <c r="IL13" s="1675"/>
      <c r="IM13" s="1675"/>
      <c r="IN13" s="1675"/>
      <c r="IO13" s="1675"/>
      <c r="IP13" s="1675"/>
      <c r="IQ13" s="1675"/>
      <c r="IR13" s="1675"/>
      <c r="IS13" s="1675"/>
      <c r="IT13" s="1675"/>
      <c r="IU13" s="1675"/>
      <c r="IV13" s="1675"/>
      <c r="IW13" s="1676"/>
    </row>
    <row r="14" spans="1:257">
      <c r="B14" s="1677"/>
      <c r="C14" s="1678">
        <v>42242</v>
      </c>
      <c r="D14" s="1677">
        <v>4.5999999999999996</v>
      </c>
      <c r="E14" s="1677">
        <v>4.5999999999999996</v>
      </c>
      <c r="F14" s="1677">
        <v>5</v>
      </c>
      <c r="G14" s="1677">
        <v>5</v>
      </c>
      <c r="H14" s="1677">
        <v>5.15</v>
      </c>
      <c r="I14" s="1677">
        <v>2.75</v>
      </c>
      <c r="J14" s="1677">
        <v>3.25</v>
      </c>
      <c r="L14" s="1677"/>
      <c r="M14" s="1678">
        <v>42242</v>
      </c>
      <c r="N14" s="1677">
        <v>0.35</v>
      </c>
      <c r="O14" s="1677">
        <v>1.35</v>
      </c>
      <c r="P14" s="1677">
        <v>1.55</v>
      </c>
      <c r="Q14" s="1677">
        <v>1.75</v>
      </c>
      <c r="R14" s="1677">
        <v>2.35</v>
      </c>
      <c r="S14" s="1677">
        <v>3</v>
      </c>
      <c r="T14" s="1677"/>
      <c r="U14" s="1677"/>
      <c r="V14" s="1677"/>
      <c r="W14" s="1677"/>
      <c r="X14" s="1677"/>
      <c r="Y14" s="1677"/>
      <c r="Z14" s="1677"/>
    </row>
    <row r="15" spans="1:257">
      <c r="B15" s="1677"/>
      <c r="C15" s="1678">
        <v>42183</v>
      </c>
      <c r="D15" s="1677">
        <v>4.8499999999999996</v>
      </c>
      <c r="E15" s="1677">
        <v>4.8499999999999996</v>
      </c>
      <c r="F15" s="1677">
        <v>5.25</v>
      </c>
      <c r="G15" s="1677">
        <v>5.25</v>
      </c>
      <c r="H15" s="1677">
        <v>5.4</v>
      </c>
      <c r="I15" s="1677">
        <v>3</v>
      </c>
      <c r="J15" s="1677">
        <v>3.5</v>
      </c>
      <c r="L15" s="1677"/>
      <c r="M15" s="1678">
        <v>42183</v>
      </c>
      <c r="N15" s="1677">
        <v>0.35</v>
      </c>
      <c r="O15" s="1677">
        <v>1.6</v>
      </c>
      <c r="P15" s="1677">
        <v>1.8</v>
      </c>
      <c r="Q15" s="1677">
        <v>2</v>
      </c>
      <c r="R15" s="1677">
        <v>2.6</v>
      </c>
      <c r="S15" s="1677">
        <v>3.25</v>
      </c>
      <c r="T15" s="1677"/>
      <c r="U15" s="1677"/>
      <c r="V15" s="1677"/>
      <c r="W15" s="1677"/>
      <c r="X15" s="1677"/>
      <c r="Y15" s="1677"/>
      <c r="Z15" s="1677"/>
    </row>
    <row r="16" spans="1:257">
      <c r="B16" s="1677"/>
      <c r="C16" s="1678">
        <v>42135</v>
      </c>
      <c r="D16" s="1677">
        <v>5.0999999999999996</v>
      </c>
      <c r="E16" s="1677">
        <v>5.0999999999999996</v>
      </c>
      <c r="F16" s="1677">
        <v>5.5</v>
      </c>
      <c r="G16" s="1677">
        <v>5.5</v>
      </c>
      <c r="H16" s="1677">
        <v>5.65</v>
      </c>
      <c r="I16" s="1677">
        <v>3.25</v>
      </c>
      <c r="J16" s="1677">
        <v>3.75</v>
      </c>
      <c r="L16" s="1677"/>
      <c r="M16" s="1678">
        <v>42135</v>
      </c>
      <c r="N16" s="1677">
        <v>0.35</v>
      </c>
      <c r="O16" s="1677">
        <v>1.85</v>
      </c>
      <c r="P16" s="1677">
        <v>2.0499999999999998</v>
      </c>
      <c r="Q16" s="1677">
        <v>2.25</v>
      </c>
      <c r="R16" s="1677">
        <v>2.85</v>
      </c>
      <c r="S16" s="1677">
        <v>3.5</v>
      </c>
      <c r="T16" s="1677"/>
      <c r="U16" s="1677"/>
      <c r="V16" s="1677"/>
      <c r="W16" s="1677"/>
      <c r="X16" s="1677"/>
      <c r="Y16" s="1677"/>
      <c r="Z16" s="1677"/>
    </row>
    <row r="17" spans="2:26">
      <c r="B17" s="1677"/>
      <c r="C17" s="1678">
        <v>42064</v>
      </c>
      <c r="D17" s="1677">
        <v>5.35</v>
      </c>
      <c r="E17" s="1677">
        <v>5.35</v>
      </c>
      <c r="F17" s="1677">
        <v>5.75</v>
      </c>
      <c r="G17" s="1677">
        <v>5.75</v>
      </c>
      <c r="H17" s="1677">
        <v>5.9</v>
      </c>
      <c r="I17" s="1677"/>
      <c r="J17" s="1677"/>
      <c r="L17" s="1677"/>
      <c r="M17" s="1678">
        <v>42064</v>
      </c>
      <c r="N17" s="1677">
        <v>0.35</v>
      </c>
      <c r="O17" s="1677">
        <v>2.1</v>
      </c>
      <c r="P17" s="1677">
        <v>2.2999999999999998</v>
      </c>
      <c r="Q17" s="1677">
        <v>2.5</v>
      </c>
      <c r="R17" s="1677">
        <v>3.1</v>
      </c>
      <c r="S17" s="1677">
        <v>3.75</v>
      </c>
      <c r="T17" s="1677">
        <v>4.5</v>
      </c>
      <c r="U17" s="1677">
        <v>2.35</v>
      </c>
      <c r="V17" s="1677">
        <v>2.5499999999999998</v>
      </c>
      <c r="W17" s="1677">
        <v>2.75</v>
      </c>
      <c r="X17" s="1677"/>
      <c r="Y17" s="1677">
        <v>0.8</v>
      </c>
      <c r="Z17" s="1677">
        <v>1.35</v>
      </c>
    </row>
    <row r="18" spans="2:26" ht="15">
      <c r="B18" s="1677"/>
      <c r="C18" s="1678">
        <v>41965</v>
      </c>
      <c r="D18" s="1677">
        <v>5.6</v>
      </c>
      <c r="E18" s="1677">
        <v>5.6</v>
      </c>
      <c r="F18" s="1677">
        <v>6</v>
      </c>
      <c r="G18" s="1677">
        <v>6</v>
      </c>
      <c r="H18" s="1677">
        <v>6.15</v>
      </c>
      <c r="I18" s="1677"/>
      <c r="J18" s="1677"/>
      <c r="L18" s="1677"/>
      <c r="M18" s="1678">
        <v>41965</v>
      </c>
      <c r="N18" s="1677">
        <v>0.35</v>
      </c>
      <c r="O18" s="1677">
        <v>2.35</v>
      </c>
      <c r="P18" s="1677">
        <v>2.5499999999999998</v>
      </c>
      <c r="Q18" s="1677">
        <v>2.75</v>
      </c>
      <c r="R18" s="1677">
        <v>3.35</v>
      </c>
      <c r="S18" s="1677">
        <v>4</v>
      </c>
      <c r="T18" s="1677">
        <v>4.75</v>
      </c>
      <c r="U18" s="1679">
        <v>2.35</v>
      </c>
      <c r="V18" s="1679">
        <v>2.5499999999999998</v>
      </c>
      <c r="W18" s="1679">
        <v>2.75</v>
      </c>
      <c r="X18" s="1677"/>
      <c r="Y18" s="1679">
        <v>0.8</v>
      </c>
      <c r="Z18" s="1679">
        <v>1.35</v>
      </c>
    </row>
    <row r="19" spans="2:26">
      <c r="B19" s="1677"/>
      <c r="C19" s="1678">
        <v>41096</v>
      </c>
      <c r="D19" s="1677">
        <v>5.6</v>
      </c>
      <c r="E19" s="1677">
        <v>6</v>
      </c>
      <c r="F19" s="1677">
        <v>6.15</v>
      </c>
      <c r="G19" s="1677">
        <v>6.4</v>
      </c>
      <c r="H19" s="1677">
        <v>6.55</v>
      </c>
      <c r="I19" s="1677">
        <v>4</v>
      </c>
      <c r="J19" s="1677">
        <v>4.5</v>
      </c>
      <c r="L19" s="1677"/>
      <c r="M19" s="1678">
        <v>41096</v>
      </c>
      <c r="N19" s="1677">
        <v>0.35</v>
      </c>
      <c r="O19" s="1677">
        <v>2.6</v>
      </c>
      <c r="P19" s="1677">
        <v>2.8</v>
      </c>
      <c r="Q19" s="1677">
        <v>3</v>
      </c>
      <c r="R19" s="1677">
        <v>3.75</v>
      </c>
      <c r="S19" s="1677">
        <v>4.25</v>
      </c>
      <c r="T19" s="1677">
        <v>4.75</v>
      </c>
      <c r="U19" s="1677">
        <v>2.85</v>
      </c>
      <c r="V19" s="1677">
        <v>2.9</v>
      </c>
      <c r="W19" s="1677">
        <v>3</v>
      </c>
      <c r="X19" s="1677">
        <v>1.1499999999999999</v>
      </c>
      <c r="Y19" s="1677">
        <v>0.8</v>
      </c>
      <c r="Z19" s="1677">
        <v>1.35</v>
      </c>
    </row>
    <row r="20" spans="2:26">
      <c r="B20" s="1677"/>
      <c r="C20" s="1678">
        <v>41068</v>
      </c>
      <c r="D20" s="1677">
        <v>5.85</v>
      </c>
      <c r="E20" s="1677">
        <v>6.31</v>
      </c>
      <c r="F20" s="1677">
        <v>6.4</v>
      </c>
      <c r="G20" s="1677">
        <v>6.65</v>
      </c>
      <c r="H20" s="1677">
        <v>6.8</v>
      </c>
      <c r="I20" s="1677">
        <v>4.2</v>
      </c>
      <c r="J20" s="1677">
        <v>4.7</v>
      </c>
      <c r="L20" s="1677"/>
      <c r="M20" s="1678">
        <v>41068</v>
      </c>
      <c r="N20" s="1677">
        <v>0.4</v>
      </c>
      <c r="O20" s="1677">
        <v>2.85</v>
      </c>
      <c r="P20" s="1677">
        <v>3.05</v>
      </c>
      <c r="Q20" s="1677">
        <v>3.25</v>
      </c>
      <c r="R20" s="1677">
        <v>4.0999999999999996</v>
      </c>
      <c r="S20" s="1677">
        <v>4.6500000000000004</v>
      </c>
      <c r="T20" s="1677">
        <v>5.0999999999999996</v>
      </c>
      <c r="U20" s="1677">
        <v>3.1</v>
      </c>
      <c r="V20" s="1677">
        <v>3.15</v>
      </c>
      <c r="W20" s="1677">
        <v>3.25</v>
      </c>
      <c r="X20" s="1677">
        <v>1.31</v>
      </c>
      <c r="Y20" s="1677">
        <v>0.94</v>
      </c>
      <c r="Z20" s="1677">
        <v>1.49</v>
      </c>
    </row>
    <row r="21" spans="2:26">
      <c r="B21" s="1677"/>
      <c r="C21" s="1678">
        <v>40731</v>
      </c>
      <c r="D21" s="1677">
        <v>6.1</v>
      </c>
      <c r="E21" s="1677">
        <v>6.56</v>
      </c>
      <c r="F21" s="1677">
        <v>6.65</v>
      </c>
      <c r="G21" s="1677">
        <v>6.9</v>
      </c>
      <c r="H21" s="1677">
        <v>7.05</v>
      </c>
      <c r="I21" s="1677">
        <v>4.45</v>
      </c>
      <c r="J21" s="1677">
        <v>4.9000000000000004</v>
      </c>
      <c r="L21" s="1677"/>
      <c r="M21" s="1678">
        <v>40731</v>
      </c>
      <c r="N21" s="1677">
        <v>0.5</v>
      </c>
      <c r="O21" s="1677">
        <v>3.1</v>
      </c>
      <c r="P21" s="1677">
        <v>3.3</v>
      </c>
      <c r="Q21" s="1677">
        <v>3.5</v>
      </c>
      <c r="R21" s="1677">
        <v>4.4000000000000004</v>
      </c>
      <c r="S21" s="1677">
        <v>5</v>
      </c>
      <c r="T21" s="1677">
        <v>5.5</v>
      </c>
      <c r="U21" s="1677">
        <v>3.1</v>
      </c>
      <c r="V21" s="1677">
        <v>3.3</v>
      </c>
      <c r="W21" s="1677">
        <v>3.5</v>
      </c>
      <c r="X21" s="1677">
        <v>1.31</v>
      </c>
      <c r="Y21" s="1677">
        <v>0.95</v>
      </c>
      <c r="Z21" s="1677">
        <v>1.49</v>
      </c>
    </row>
    <row r="22" spans="2:26">
      <c r="B22" s="1677"/>
      <c r="C22" s="1678">
        <v>40639</v>
      </c>
      <c r="D22" s="1677">
        <v>5.85</v>
      </c>
      <c r="E22" s="1677">
        <v>6.31</v>
      </c>
      <c r="F22" s="1677">
        <v>6.4</v>
      </c>
      <c r="G22" s="1677">
        <v>6.65</v>
      </c>
      <c r="H22" s="1677">
        <v>6.8</v>
      </c>
      <c r="I22" s="1677">
        <v>4.2</v>
      </c>
      <c r="J22" s="1677">
        <v>4.7</v>
      </c>
      <c r="L22" s="1677"/>
      <c r="M22" s="1678">
        <v>40639</v>
      </c>
      <c r="N22" s="1677">
        <v>0.5</v>
      </c>
      <c r="O22" s="1677">
        <v>2.85</v>
      </c>
      <c r="P22" s="1677">
        <v>3.05</v>
      </c>
      <c r="Q22" s="1677">
        <v>3.25</v>
      </c>
      <c r="R22" s="1677">
        <v>4.1500000000000004</v>
      </c>
      <c r="S22" s="1677">
        <v>4.75</v>
      </c>
      <c r="T22" s="1677">
        <v>5.25</v>
      </c>
      <c r="U22" s="1677">
        <v>2.85</v>
      </c>
      <c r="V22" s="1677">
        <v>3.05</v>
      </c>
      <c r="W22" s="1677">
        <v>3.25</v>
      </c>
      <c r="X22" s="1677">
        <v>1.31</v>
      </c>
      <c r="Y22" s="1677">
        <v>0.95</v>
      </c>
      <c r="Z22" s="1677">
        <v>1.49</v>
      </c>
    </row>
    <row r="23" spans="2:26">
      <c r="B23" s="1677"/>
      <c r="C23" s="1678">
        <v>40583</v>
      </c>
      <c r="D23" s="1677">
        <v>5.6</v>
      </c>
      <c r="E23" s="1677">
        <v>6.06</v>
      </c>
      <c r="F23" s="1677">
        <v>6.1</v>
      </c>
      <c r="G23" s="1677">
        <v>6.45</v>
      </c>
      <c r="H23" s="1677">
        <v>6.6</v>
      </c>
      <c r="I23" s="1677">
        <v>4</v>
      </c>
      <c r="J23" s="1677">
        <v>4.5</v>
      </c>
      <c r="L23" s="1677"/>
      <c r="M23" s="1678">
        <v>40583</v>
      </c>
      <c r="N23" s="1677">
        <v>0.4</v>
      </c>
      <c r="O23" s="1677">
        <v>2.6</v>
      </c>
      <c r="P23" s="1677">
        <v>2.8</v>
      </c>
      <c r="Q23" s="1677">
        <v>3</v>
      </c>
      <c r="R23" s="1677">
        <v>3.9</v>
      </c>
      <c r="S23" s="1677">
        <v>4.5</v>
      </c>
      <c r="T23" s="1677">
        <v>5</v>
      </c>
      <c r="U23" s="1677">
        <v>2.6</v>
      </c>
      <c r="V23" s="1677">
        <v>2.8</v>
      </c>
      <c r="W23" s="1677">
        <v>3</v>
      </c>
      <c r="X23" s="1677">
        <v>1.21</v>
      </c>
      <c r="Y23" s="1677">
        <v>0.85</v>
      </c>
      <c r="Z23" s="1677">
        <v>1.39</v>
      </c>
    </row>
    <row r="24" spans="2:26">
      <c r="B24" s="1677"/>
      <c r="C24" s="1678">
        <v>40538</v>
      </c>
      <c r="D24" s="1677">
        <v>5.35</v>
      </c>
      <c r="E24" s="1677">
        <v>5.81</v>
      </c>
      <c r="F24" s="1677">
        <v>5.85</v>
      </c>
      <c r="G24" s="1677">
        <v>6.22</v>
      </c>
      <c r="H24" s="1677">
        <v>6.4</v>
      </c>
      <c r="I24" s="1677">
        <v>3.75</v>
      </c>
      <c r="J24" s="1677">
        <v>4.3</v>
      </c>
      <c r="L24" s="1677"/>
      <c r="M24" s="1678">
        <v>40538</v>
      </c>
      <c r="N24" s="1677">
        <v>0.36</v>
      </c>
      <c r="O24" s="1677">
        <v>2.25</v>
      </c>
      <c r="P24" s="1677">
        <v>2.5</v>
      </c>
      <c r="Q24" s="1677">
        <v>2.75</v>
      </c>
      <c r="R24" s="1677">
        <v>3.55</v>
      </c>
      <c r="S24" s="1677">
        <v>4.1500000000000004</v>
      </c>
      <c r="T24" s="1677">
        <v>4.55</v>
      </c>
      <c r="U24" s="1677">
        <v>2.16</v>
      </c>
      <c r="V24" s="1677">
        <v>2.5</v>
      </c>
      <c r="W24" s="1677">
        <v>2.85</v>
      </c>
      <c r="X24" s="1677">
        <v>1.17</v>
      </c>
      <c r="Y24" s="1677">
        <v>0.81</v>
      </c>
      <c r="Z24" s="1677">
        <v>1.35</v>
      </c>
    </row>
    <row r="25" spans="2:26">
      <c r="B25" s="1677"/>
      <c r="C25" s="1678">
        <v>40471</v>
      </c>
      <c r="D25" s="1677">
        <v>5.0999999999999996</v>
      </c>
      <c r="E25" s="1677">
        <v>5.56</v>
      </c>
      <c r="F25" s="1677">
        <v>5.6</v>
      </c>
      <c r="G25" s="1677">
        <v>5.96</v>
      </c>
      <c r="H25" s="1677">
        <v>6.14</v>
      </c>
      <c r="I25" s="1677">
        <v>3.5</v>
      </c>
      <c r="J25" s="1677">
        <v>4.05</v>
      </c>
      <c r="L25" s="1677"/>
      <c r="M25" s="1678">
        <v>40471</v>
      </c>
      <c r="N25" s="1677">
        <v>0.36</v>
      </c>
      <c r="O25" s="1677">
        <v>1.91</v>
      </c>
      <c r="P25" s="1677">
        <v>2.2000000000000002</v>
      </c>
      <c r="Q25" s="1677">
        <v>2.5</v>
      </c>
      <c r="R25" s="1677">
        <v>3.25</v>
      </c>
      <c r="S25" s="1677">
        <v>3.85</v>
      </c>
      <c r="T25" s="1677">
        <v>4.2</v>
      </c>
      <c r="U25" s="1677">
        <v>1.91</v>
      </c>
      <c r="V25" s="1677">
        <v>2.2000000000000002</v>
      </c>
      <c r="W25" s="1677">
        <v>2.5</v>
      </c>
      <c r="X25" s="1677">
        <v>1.17</v>
      </c>
      <c r="Y25" s="1677">
        <v>0.81</v>
      </c>
      <c r="Z25" s="1677">
        <v>1.35</v>
      </c>
    </row>
    <row r="26" spans="2:26">
      <c r="B26" s="1677"/>
      <c r="C26" s="1678">
        <v>39805</v>
      </c>
      <c r="D26" s="1677">
        <v>4.8600000000000003</v>
      </c>
      <c r="E26" s="1677">
        <v>5.31</v>
      </c>
      <c r="F26" s="1677">
        <v>5.4</v>
      </c>
      <c r="G26" s="1677">
        <v>5.76</v>
      </c>
      <c r="H26" s="1677">
        <v>5.94</v>
      </c>
      <c r="I26" s="1677">
        <v>3.33</v>
      </c>
      <c r="J26" s="1677">
        <v>3.87</v>
      </c>
      <c r="L26" s="1677"/>
      <c r="M26" s="1678">
        <v>39805</v>
      </c>
      <c r="N26" s="1677">
        <v>0.36</v>
      </c>
      <c r="O26" s="1677">
        <v>1.71</v>
      </c>
      <c r="P26" s="1677">
        <v>1.98</v>
      </c>
      <c r="Q26" s="1677">
        <v>2.25</v>
      </c>
      <c r="R26" s="1677">
        <v>2.79</v>
      </c>
      <c r="S26" s="1677">
        <v>3.33</v>
      </c>
      <c r="T26" s="1677">
        <v>3.6</v>
      </c>
      <c r="U26" s="1677">
        <v>1.71</v>
      </c>
      <c r="V26" s="1677">
        <v>1.98</v>
      </c>
      <c r="W26" s="1677">
        <v>2.25</v>
      </c>
      <c r="X26" s="1677">
        <v>1.17</v>
      </c>
      <c r="Y26" s="1677">
        <v>0.81</v>
      </c>
      <c r="Z26" s="1677">
        <v>1.35</v>
      </c>
    </row>
    <row r="27" spans="2:26">
      <c r="B27" s="1677"/>
      <c r="C27" s="1678">
        <v>39779</v>
      </c>
      <c r="D27" s="1677">
        <v>5.04</v>
      </c>
      <c r="E27" s="1677">
        <v>5.58</v>
      </c>
      <c r="F27" s="1677">
        <v>5.67</v>
      </c>
      <c r="G27" s="1677">
        <v>5.94</v>
      </c>
      <c r="H27" s="1677">
        <v>6.12</v>
      </c>
      <c r="I27" s="1677">
        <v>3.51</v>
      </c>
      <c r="J27" s="1677">
        <v>4.05</v>
      </c>
      <c r="L27" s="1677"/>
      <c r="M27" s="1678">
        <v>39779</v>
      </c>
      <c r="N27" s="1677">
        <v>0.36</v>
      </c>
      <c r="O27" s="1677">
        <v>1.98</v>
      </c>
      <c r="P27" s="1677">
        <v>2.25</v>
      </c>
      <c r="Q27" s="1677">
        <v>2.52</v>
      </c>
      <c r="R27" s="1677">
        <v>3.06</v>
      </c>
      <c r="S27" s="1677">
        <v>3.6</v>
      </c>
      <c r="T27" s="1677">
        <v>3.87</v>
      </c>
      <c r="U27" s="1677">
        <v>1.98</v>
      </c>
      <c r="V27" s="1677">
        <v>2.25</v>
      </c>
      <c r="W27" s="1677">
        <v>2.52</v>
      </c>
      <c r="X27" s="1677">
        <v>1.17</v>
      </c>
      <c r="Y27" s="1677">
        <v>0.81</v>
      </c>
      <c r="Z27" s="1677">
        <v>1.35</v>
      </c>
    </row>
    <row r="28" spans="2:26">
      <c r="B28" s="1677"/>
      <c r="C28" s="1678">
        <v>39751</v>
      </c>
      <c r="D28" s="1677">
        <v>6.03</v>
      </c>
      <c r="E28" s="1677">
        <v>6.66</v>
      </c>
      <c r="F28" s="1677">
        <v>6.75</v>
      </c>
      <c r="G28" s="1677">
        <v>7.02</v>
      </c>
      <c r="H28" s="1677">
        <v>7.2</v>
      </c>
      <c r="I28" s="1677">
        <v>4.05</v>
      </c>
      <c r="J28" s="1677">
        <v>4.59</v>
      </c>
      <c r="L28" s="1677"/>
      <c r="M28" s="1678">
        <v>39751</v>
      </c>
      <c r="N28" s="1677">
        <v>0.72</v>
      </c>
      <c r="O28" s="1677">
        <v>2.88</v>
      </c>
      <c r="P28" s="1677">
        <v>3.24</v>
      </c>
      <c r="Q28" s="1677">
        <v>3.6</v>
      </c>
      <c r="R28" s="1677">
        <v>4.1399999999999997</v>
      </c>
      <c r="S28" s="1677">
        <v>4.7699999999999996</v>
      </c>
      <c r="T28" s="1677">
        <v>5.13</v>
      </c>
      <c r="U28" s="1677">
        <v>2.88</v>
      </c>
      <c r="V28" s="1677">
        <v>3.24</v>
      </c>
      <c r="W28" s="1677">
        <v>3.6</v>
      </c>
      <c r="X28" s="1677">
        <v>1.53</v>
      </c>
      <c r="Y28" s="1677">
        <v>1.17</v>
      </c>
      <c r="Z28" s="1677">
        <v>1.71</v>
      </c>
    </row>
    <row r="29" spans="2:26">
      <c r="B29" s="1677"/>
      <c r="C29" s="1680">
        <v>39748</v>
      </c>
      <c r="D29" s="1677">
        <v>6.12</v>
      </c>
      <c r="E29" s="1677">
        <v>6.93</v>
      </c>
      <c r="F29" s="1677">
        <v>7.02</v>
      </c>
      <c r="G29" s="1677">
        <v>7.29</v>
      </c>
      <c r="H29" s="1677">
        <v>7.47</v>
      </c>
      <c r="I29" s="1677">
        <v>4.05</v>
      </c>
      <c r="J29" s="1677">
        <v>4.59</v>
      </c>
      <c r="L29" s="1677"/>
      <c r="M29" s="1680">
        <v>39736</v>
      </c>
      <c r="N29" s="1677">
        <v>0.72</v>
      </c>
      <c r="O29" s="1677">
        <v>3.15</v>
      </c>
      <c r="P29" s="1677">
        <v>3.51</v>
      </c>
      <c r="Q29" s="1677">
        <v>3.87</v>
      </c>
      <c r="R29" s="1677">
        <v>4.41</v>
      </c>
      <c r="S29" s="1677">
        <v>5.13</v>
      </c>
      <c r="T29" s="1677">
        <v>5.58</v>
      </c>
      <c r="U29" s="1677">
        <v>3.15</v>
      </c>
      <c r="V29" s="1677">
        <v>3.51</v>
      </c>
      <c r="W29" s="1677">
        <v>3.87</v>
      </c>
      <c r="X29" s="1677">
        <v>1.53</v>
      </c>
      <c r="Y29" s="1677">
        <v>1.17</v>
      </c>
      <c r="Z29" s="1677">
        <v>1.71</v>
      </c>
    </row>
    <row r="30" spans="2:26">
      <c r="B30" s="1677"/>
      <c r="C30" s="1678">
        <v>39730</v>
      </c>
      <c r="D30" s="1677">
        <v>6.12</v>
      </c>
      <c r="E30" s="1677">
        <v>6.93</v>
      </c>
      <c r="F30" s="1677">
        <v>7.02</v>
      </c>
      <c r="G30" s="1677">
        <v>7.29</v>
      </c>
      <c r="H30" s="1677">
        <v>7.47</v>
      </c>
      <c r="I30" s="1677">
        <v>4.32</v>
      </c>
      <c r="J30" s="1677">
        <v>4.8600000000000003</v>
      </c>
      <c r="L30" s="1677"/>
      <c r="M30" s="1678">
        <v>39730</v>
      </c>
      <c r="N30" s="1677">
        <v>0.72</v>
      </c>
      <c r="O30" s="1677">
        <v>3.15</v>
      </c>
      <c r="P30" s="1677">
        <v>3.51</v>
      </c>
      <c r="Q30" s="1677">
        <v>3.87</v>
      </c>
      <c r="R30" s="1677">
        <v>4.41</v>
      </c>
      <c r="S30" s="1677">
        <v>5.13</v>
      </c>
      <c r="T30" s="1677">
        <v>5.58</v>
      </c>
      <c r="U30" s="1677">
        <v>3.15</v>
      </c>
      <c r="V30" s="1677">
        <v>3.51</v>
      </c>
      <c r="W30" s="1677">
        <v>3.87</v>
      </c>
      <c r="X30" s="1677">
        <v>1.53</v>
      </c>
      <c r="Y30" s="1677">
        <v>1.17</v>
      </c>
      <c r="Z30" s="1677">
        <v>1.71</v>
      </c>
    </row>
    <row r="31" spans="2:26">
      <c r="B31" s="1677"/>
      <c r="C31" s="1678">
        <v>39707</v>
      </c>
      <c r="D31" s="1677">
        <v>6.21</v>
      </c>
      <c r="E31" s="1677">
        <v>7.2</v>
      </c>
      <c r="F31" s="1677">
        <v>7.29</v>
      </c>
      <c r="G31" s="1677">
        <v>7.56</v>
      </c>
      <c r="H31" s="1677">
        <v>7.74</v>
      </c>
      <c r="I31" s="1677">
        <v>4.59</v>
      </c>
      <c r="J31" s="1677">
        <v>5.13</v>
      </c>
      <c r="L31" s="1677"/>
      <c r="M31" s="1678">
        <v>39437</v>
      </c>
      <c r="N31" s="1677">
        <v>0.72</v>
      </c>
      <c r="O31" s="1677">
        <v>3.33</v>
      </c>
      <c r="P31" s="1677">
        <v>3.78</v>
      </c>
      <c r="Q31" s="1677">
        <v>4.1399999999999997</v>
      </c>
      <c r="R31" s="1677">
        <v>4.68</v>
      </c>
      <c r="S31" s="1677">
        <v>5.4</v>
      </c>
      <c r="T31" s="1677">
        <v>5.85</v>
      </c>
      <c r="U31" s="1677">
        <v>3.33</v>
      </c>
      <c r="V31" s="1677">
        <v>3.78</v>
      </c>
      <c r="W31" s="1677">
        <v>4.1399999999999997</v>
      </c>
      <c r="X31" s="1677">
        <v>1.53</v>
      </c>
      <c r="Y31" s="1677">
        <v>1.17</v>
      </c>
      <c r="Z31" s="1677">
        <v>1.71</v>
      </c>
    </row>
    <row r="32" spans="2:26">
      <c r="B32" s="1677"/>
      <c r="C32" s="1678">
        <v>39437</v>
      </c>
      <c r="D32" s="1677">
        <v>6.57</v>
      </c>
      <c r="E32" s="1677">
        <v>7.47</v>
      </c>
      <c r="F32" s="1677">
        <v>7.56</v>
      </c>
      <c r="G32" s="1677">
        <v>7.74</v>
      </c>
      <c r="H32" s="1677">
        <v>7.83</v>
      </c>
      <c r="I32" s="1677">
        <v>4.7699999999999996</v>
      </c>
      <c r="J32" s="1677">
        <v>5.22</v>
      </c>
      <c r="L32" s="1677"/>
      <c r="M32" s="1678">
        <v>39340</v>
      </c>
      <c r="N32" s="1677">
        <v>0.81</v>
      </c>
      <c r="O32" s="1677">
        <v>2.88</v>
      </c>
      <c r="P32" s="1677">
        <v>3.42</v>
      </c>
      <c r="Q32" s="1677">
        <v>3.87</v>
      </c>
      <c r="R32" s="1677">
        <v>4.5</v>
      </c>
      <c r="S32" s="1677">
        <v>5.22</v>
      </c>
      <c r="T32" s="1677">
        <v>5.76</v>
      </c>
      <c r="U32" s="1677">
        <v>2.88</v>
      </c>
      <c r="V32" s="1677">
        <v>3.42</v>
      </c>
      <c r="W32" s="1677">
        <v>3.87</v>
      </c>
      <c r="X32" s="1677">
        <v>1.53</v>
      </c>
      <c r="Y32" s="1677">
        <v>1.17</v>
      </c>
      <c r="Z32" s="1677">
        <v>1.71</v>
      </c>
    </row>
    <row r="33" spans="2:26">
      <c r="B33" s="1677"/>
      <c r="C33" s="1678">
        <v>39340</v>
      </c>
      <c r="D33" s="1677">
        <v>6.48</v>
      </c>
      <c r="E33" s="1677">
        <v>7.29</v>
      </c>
      <c r="F33" s="1677">
        <v>7.47</v>
      </c>
      <c r="G33" s="1677">
        <v>7.65</v>
      </c>
      <c r="H33" s="1677">
        <v>7.83</v>
      </c>
      <c r="I33" s="1677">
        <v>4.7699999999999996</v>
      </c>
      <c r="J33" s="1677">
        <v>5.22</v>
      </c>
      <c r="L33" s="1677"/>
      <c r="M33" s="1678">
        <v>39316</v>
      </c>
      <c r="N33" s="1677">
        <v>0.81</v>
      </c>
      <c r="O33" s="1677">
        <v>2.61</v>
      </c>
      <c r="P33" s="1677">
        <v>3.15</v>
      </c>
      <c r="Q33" s="1677">
        <v>3.6</v>
      </c>
      <c r="R33" s="1677">
        <v>4.2300000000000004</v>
      </c>
      <c r="S33" s="1677">
        <v>4.95</v>
      </c>
      <c r="T33" s="1677">
        <v>5.49</v>
      </c>
      <c r="U33" s="1677">
        <v>2.61</v>
      </c>
      <c r="V33" s="1677">
        <v>3.15</v>
      </c>
      <c r="W33" s="1677">
        <v>3.6</v>
      </c>
      <c r="X33" s="1677">
        <v>1.53</v>
      </c>
      <c r="Y33" s="1677">
        <v>1.17</v>
      </c>
      <c r="Z33" s="1677">
        <v>1.71</v>
      </c>
    </row>
    <row r="34" spans="2:26">
      <c r="B34" s="1677"/>
      <c r="C34" s="1678">
        <v>39316</v>
      </c>
      <c r="D34" s="1677">
        <v>6.21</v>
      </c>
      <c r="E34" s="1677">
        <v>7.02</v>
      </c>
      <c r="F34" s="1677">
        <v>7.2</v>
      </c>
      <c r="G34" s="1677">
        <v>7.38</v>
      </c>
      <c r="H34" s="1677">
        <v>7.56</v>
      </c>
      <c r="I34" s="1677">
        <v>4.59</v>
      </c>
      <c r="J34" s="1677">
        <v>5.04</v>
      </c>
      <c r="L34" s="1677"/>
      <c r="M34" s="1678">
        <v>39284</v>
      </c>
      <c r="N34" s="1677">
        <v>0.81</v>
      </c>
      <c r="O34" s="1677">
        <v>2.34</v>
      </c>
      <c r="P34" s="1677">
        <v>2.88</v>
      </c>
      <c r="Q34" s="1677">
        <v>3.33</v>
      </c>
      <c r="R34" s="1677">
        <v>3.96</v>
      </c>
      <c r="S34" s="1677">
        <v>4.68</v>
      </c>
      <c r="T34" s="1677">
        <v>5.22</v>
      </c>
      <c r="U34" s="1677">
        <v>2.34</v>
      </c>
      <c r="V34" s="1677">
        <v>2.88</v>
      </c>
      <c r="W34" s="1677">
        <v>3.33</v>
      </c>
      <c r="X34" s="1677">
        <v>1.53</v>
      </c>
      <c r="Y34" s="1677">
        <v>1.17</v>
      </c>
      <c r="Z34" s="1677">
        <v>1.71</v>
      </c>
    </row>
    <row r="35" spans="2:26">
      <c r="B35" s="1677"/>
      <c r="C35" s="1678">
        <v>39284</v>
      </c>
      <c r="D35" s="1677">
        <v>6.03</v>
      </c>
      <c r="E35" s="1677">
        <v>6.84</v>
      </c>
      <c r="F35" s="1677">
        <v>7.02</v>
      </c>
      <c r="G35" s="1677">
        <v>7.2</v>
      </c>
      <c r="H35" s="1677">
        <v>7.38</v>
      </c>
      <c r="I35" s="1677">
        <v>4.5</v>
      </c>
      <c r="J35" s="1677">
        <v>4.95</v>
      </c>
      <c r="L35" s="1677"/>
      <c r="M35" s="1678">
        <v>39221</v>
      </c>
      <c r="N35" s="1677">
        <v>0.72</v>
      </c>
      <c r="O35" s="1677">
        <v>2.0699999999999998</v>
      </c>
      <c r="P35" s="1677">
        <v>2.61</v>
      </c>
      <c r="Q35" s="1677">
        <v>3.06</v>
      </c>
      <c r="R35" s="1677">
        <v>3.69</v>
      </c>
      <c r="S35" s="1677">
        <v>4.41</v>
      </c>
      <c r="T35" s="1677">
        <v>4.95</v>
      </c>
      <c r="U35" s="1677">
        <v>2.0699999999999998</v>
      </c>
      <c r="V35" s="1677">
        <v>2.61</v>
      </c>
      <c r="W35" s="1677">
        <v>3.06</v>
      </c>
      <c r="X35" s="1677">
        <v>1.44</v>
      </c>
      <c r="Y35" s="1677">
        <v>1.08</v>
      </c>
      <c r="Z35" s="1677">
        <v>1.62</v>
      </c>
    </row>
    <row r="36" spans="2:26">
      <c r="B36" s="1677"/>
      <c r="C36" s="1678">
        <v>39221</v>
      </c>
      <c r="D36" s="1677">
        <v>5.85</v>
      </c>
      <c r="E36" s="1677">
        <v>6.57</v>
      </c>
      <c r="F36" s="1677">
        <v>6.75</v>
      </c>
      <c r="G36" s="1677">
        <v>6.93</v>
      </c>
      <c r="H36" s="1677">
        <v>7.2</v>
      </c>
      <c r="I36" s="1677">
        <v>4.41</v>
      </c>
      <c r="J36" s="1677">
        <v>4.8600000000000003</v>
      </c>
      <c r="L36" s="1677"/>
      <c r="M36" s="1678">
        <v>39159</v>
      </c>
      <c r="N36" s="1677">
        <v>0.72</v>
      </c>
      <c r="O36" s="1677">
        <v>1.98</v>
      </c>
      <c r="P36" s="1677">
        <v>2.4300000000000002</v>
      </c>
      <c r="Q36" s="1677">
        <v>2.79</v>
      </c>
      <c r="R36" s="1677">
        <v>3.33</v>
      </c>
      <c r="S36" s="1677">
        <v>3.96</v>
      </c>
      <c r="T36" s="1677">
        <v>4.41</v>
      </c>
      <c r="U36" s="1677">
        <v>1.98</v>
      </c>
      <c r="V36" s="1677">
        <v>2.4300000000000002</v>
      </c>
      <c r="W36" s="1677">
        <v>2.79</v>
      </c>
      <c r="X36" s="1677">
        <v>1.44</v>
      </c>
      <c r="Y36" s="1677">
        <v>1.08</v>
      </c>
      <c r="Z36" s="1677">
        <v>1.62</v>
      </c>
    </row>
    <row r="37" spans="2:26">
      <c r="B37" s="1677"/>
      <c r="C37" s="1678">
        <v>39159</v>
      </c>
      <c r="D37" s="1677">
        <v>5.67</v>
      </c>
      <c r="E37" s="1677">
        <v>6.39</v>
      </c>
      <c r="F37" s="1677">
        <v>6.57</v>
      </c>
      <c r="G37" s="1677">
        <v>6.75</v>
      </c>
      <c r="H37" s="1677">
        <v>7.11</v>
      </c>
      <c r="I37" s="1677">
        <v>4.32</v>
      </c>
      <c r="J37" s="1677">
        <v>4.7699999999999996</v>
      </c>
      <c r="L37" s="1677"/>
      <c r="M37" s="1678">
        <v>38948</v>
      </c>
      <c r="N37" s="1677">
        <v>0.72</v>
      </c>
      <c r="O37" s="1677">
        <v>1.8</v>
      </c>
      <c r="P37" s="1677">
        <v>2.25</v>
      </c>
      <c r="Q37" s="1677">
        <v>2.52</v>
      </c>
      <c r="R37" s="1677">
        <v>3.06</v>
      </c>
      <c r="S37" s="1677">
        <v>3.69</v>
      </c>
      <c r="T37" s="1677">
        <v>4.1399999999999997</v>
      </c>
      <c r="U37" s="1677">
        <v>1.8</v>
      </c>
      <c r="V37" s="1677">
        <v>2.25</v>
      </c>
      <c r="W37" s="1677">
        <v>2.52</v>
      </c>
      <c r="X37" s="1677">
        <v>1.44</v>
      </c>
      <c r="Y37" s="1677">
        <v>1.08</v>
      </c>
      <c r="Z37" s="1677">
        <v>1.62</v>
      </c>
    </row>
    <row r="38" spans="2:26">
      <c r="B38" s="1677"/>
      <c r="C38" s="1678">
        <v>38948</v>
      </c>
      <c r="D38" s="1677">
        <v>5.58</v>
      </c>
      <c r="E38" s="1677">
        <v>6.12</v>
      </c>
      <c r="F38" s="1677">
        <v>6.3</v>
      </c>
      <c r="G38" s="1677">
        <v>6.48</v>
      </c>
      <c r="H38" s="1677">
        <v>6.84</v>
      </c>
      <c r="I38" s="1677">
        <v>4.1399999999999997</v>
      </c>
      <c r="J38" s="1677">
        <v>4.59</v>
      </c>
      <c r="L38" s="1677"/>
      <c r="M38" s="1678">
        <v>38289</v>
      </c>
      <c r="N38" s="1677">
        <v>0.72</v>
      </c>
      <c r="O38" s="1677">
        <v>1.71</v>
      </c>
      <c r="P38" s="1677">
        <v>2.0699999999999998</v>
      </c>
      <c r="Q38" s="1677">
        <v>2.25</v>
      </c>
      <c r="R38" s="1677">
        <v>2.7</v>
      </c>
      <c r="S38" s="1677">
        <v>3.24</v>
      </c>
      <c r="T38" s="1677">
        <v>3.6</v>
      </c>
      <c r="U38" s="1677">
        <v>1.71</v>
      </c>
      <c r="V38" s="1677">
        <v>2.0699999999999998</v>
      </c>
      <c r="W38" s="1677">
        <v>2.25</v>
      </c>
      <c r="X38" s="1677">
        <v>1.44</v>
      </c>
      <c r="Y38" s="1677">
        <v>1.08</v>
      </c>
      <c r="Z38" s="1677">
        <v>1.62</v>
      </c>
    </row>
    <row r="39" spans="2:26">
      <c r="B39" s="1677"/>
      <c r="C39" s="1678">
        <v>38835</v>
      </c>
      <c r="D39" s="1677">
        <v>5.4</v>
      </c>
      <c r="E39" s="1677">
        <v>5.85</v>
      </c>
      <c r="F39" s="1677">
        <v>6.03</v>
      </c>
      <c r="G39" s="1677">
        <v>6.12</v>
      </c>
      <c r="H39" s="1677">
        <v>6.39</v>
      </c>
      <c r="I39" s="1677">
        <v>4.1399999999999997</v>
      </c>
      <c r="J39" s="1677">
        <v>4.59</v>
      </c>
      <c r="L39" s="1677"/>
      <c r="M39" s="1678">
        <v>37308</v>
      </c>
      <c r="N39" s="1677">
        <v>0.72</v>
      </c>
      <c r="O39" s="1677">
        <v>1.71</v>
      </c>
      <c r="P39" s="1677">
        <v>1.89</v>
      </c>
      <c r="Q39" s="1677">
        <v>1.98</v>
      </c>
      <c r="R39" s="1677">
        <v>2.25</v>
      </c>
      <c r="S39" s="1677">
        <v>2.52</v>
      </c>
      <c r="T39" s="1677">
        <v>2.79</v>
      </c>
      <c r="U39" s="1677">
        <v>1.71</v>
      </c>
      <c r="V39" s="1677">
        <v>1.89</v>
      </c>
      <c r="W39" s="1677">
        <v>1.98</v>
      </c>
      <c r="X39" s="1677">
        <v>1.44</v>
      </c>
      <c r="Y39" s="1677">
        <v>1.08</v>
      </c>
      <c r="Z39" s="1677">
        <v>1.62</v>
      </c>
    </row>
    <row r="40" spans="2:26">
      <c r="B40" s="1677"/>
      <c r="C40" s="1678">
        <v>38428</v>
      </c>
      <c r="D40" s="1677">
        <v>5.22</v>
      </c>
      <c r="E40" s="1677">
        <v>5.58</v>
      </c>
      <c r="F40" s="1677">
        <v>5.76</v>
      </c>
      <c r="G40" s="1677">
        <v>5.85</v>
      </c>
      <c r="H40" s="1677">
        <v>6.12</v>
      </c>
      <c r="I40" s="1677">
        <v>3.96</v>
      </c>
      <c r="J40" s="1677">
        <v>4.41</v>
      </c>
      <c r="L40" s="1677"/>
      <c r="M40" s="1678">
        <v>36321</v>
      </c>
      <c r="N40" s="1677">
        <v>0.99</v>
      </c>
      <c r="O40" s="1677">
        <v>1.98</v>
      </c>
      <c r="P40" s="1677">
        <v>2.16</v>
      </c>
      <c r="Q40" s="1677">
        <v>2.25</v>
      </c>
      <c r="R40" s="1677">
        <v>2.4300000000000002</v>
      </c>
      <c r="S40" s="1677">
        <v>2.7</v>
      </c>
      <c r="T40" s="1677">
        <v>2.88</v>
      </c>
      <c r="U40" s="1677">
        <v>1.98</v>
      </c>
      <c r="V40" s="1677">
        <v>2.16</v>
      </c>
      <c r="W40" s="1677">
        <v>2.25</v>
      </c>
      <c r="X40" s="1677">
        <v>1.71</v>
      </c>
      <c r="Y40" s="1677">
        <v>1.35</v>
      </c>
      <c r="Z40" s="1677">
        <v>1.89</v>
      </c>
    </row>
    <row r="41" spans="2:26">
      <c r="B41" s="1677"/>
      <c r="C41" s="1678">
        <v>38289</v>
      </c>
      <c r="D41" s="1677">
        <v>5.22</v>
      </c>
      <c r="E41" s="1677">
        <v>5.58</v>
      </c>
      <c r="F41" s="1677">
        <v>5.76</v>
      </c>
      <c r="G41" s="1677">
        <v>5.85</v>
      </c>
      <c r="H41" s="1677">
        <v>6.12</v>
      </c>
      <c r="I41" s="1677">
        <v>3.78</v>
      </c>
      <c r="J41" s="1677">
        <v>4.2300000000000004</v>
      </c>
      <c r="L41" s="1677"/>
      <c r="M41" s="1678">
        <v>36136</v>
      </c>
      <c r="N41" s="1677">
        <v>1.44</v>
      </c>
      <c r="O41" s="1677">
        <v>2.79</v>
      </c>
      <c r="P41" s="1677">
        <v>3.33</v>
      </c>
      <c r="Q41" s="1677">
        <v>3.78</v>
      </c>
      <c r="R41" s="1677">
        <v>3.96</v>
      </c>
      <c r="S41" s="1677">
        <v>4.1399999999999997</v>
      </c>
      <c r="T41" s="1677">
        <v>4.5</v>
      </c>
      <c r="U41" s="1677">
        <v>3.33</v>
      </c>
      <c r="V41" s="1677">
        <v>3.78</v>
      </c>
      <c r="W41" s="1677">
        <v>4.1399999999999997</v>
      </c>
      <c r="X41" s="1677">
        <v>2.16</v>
      </c>
      <c r="Y41" s="1677">
        <v>1.8</v>
      </c>
      <c r="Z41" s="1677">
        <v>2.34</v>
      </c>
    </row>
    <row r="42" spans="2:26">
      <c r="B42" s="1677"/>
      <c r="C42" s="1678">
        <v>37308</v>
      </c>
      <c r="D42" s="1677">
        <v>5.04</v>
      </c>
      <c r="E42" s="1677">
        <v>5.31</v>
      </c>
      <c r="F42" s="1677">
        <v>5.49</v>
      </c>
      <c r="G42" s="1677">
        <v>5.58</v>
      </c>
      <c r="H42" s="1677">
        <v>5.76</v>
      </c>
      <c r="I42" s="1677">
        <v>3.6</v>
      </c>
      <c r="J42" s="1677">
        <v>4.05</v>
      </c>
      <c r="L42" s="1677"/>
      <c r="M42" s="1678">
        <v>35977</v>
      </c>
      <c r="N42" s="1677">
        <v>1.44</v>
      </c>
      <c r="O42" s="1677">
        <v>2.79</v>
      </c>
      <c r="P42" s="1677">
        <v>3.96</v>
      </c>
      <c r="Q42" s="1677">
        <v>4.7699999999999996</v>
      </c>
      <c r="R42" s="1677">
        <v>4.8600000000000003</v>
      </c>
      <c r="S42" s="1677">
        <v>4.95</v>
      </c>
      <c r="T42" s="1677">
        <v>5.22</v>
      </c>
      <c r="U42" s="1677">
        <v>3.96</v>
      </c>
      <c r="V42" s="1677">
        <v>4.7699999999999996</v>
      </c>
      <c r="W42" s="1677">
        <v>4.95</v>
      </c>
      <c r="X42" s="1677" t="s">
        <v>1332</v>
      </c>
      <c r="Y42" s="1677" t="s">
        <v>1332</v>
      </c>
      <c r="Z42" s="1677" t="s">
        <v>1332</v>
      </c>
    </row>
    <row r="43" spans="2:26">
      <c r="B43" s="1677"/>
      <c r="C43" s="1678">
        <v>36321</v>
      </c>
      <c r="D43" s="1677">
        <v>5.58</v>
      </c>
      <c r="E43" s="1677">
        <v>5.85</v>
      </c>
      <c r="F43" s="1677">
        <v>5.94</v>
      </c>
      <c r="G43" s="1677">
        <v>6.03</v>
      </c>
      <c r="H43" s="1677">
        <v>6.21</v>
      </c>
      <c r="I43" s="1677">
        <v>4.1399999999999997</v>
      </c>
      <c r="J43" s="1677">
        <v>4.59</v>
      </c>
      <c r="L43" s="1677"/>
      <c r="M43" s="1678">
        <v>35879</v>
      </c>
      <c r="N43" s="1677">
        <v>1.71</v>
      </c>
      <c r="O43" s="1677">
        <v>2.88</v>
      </c>
      <c r="P43" s="1677">
        <v>4.1399999999999997</v>
      </c>
      <c r="Q43" s="1677">
        <v>5.22</v>
      </c>
      <c r="R43" s="1677">
        <v>5.58</v>
      </c>
      <c r="S43" s="1677">
        <v>6.21</v>
      </c>
      <c r="T43" s="1677">
        <v>6.66</v>
      </c>
      <c r="U43" s="1677">
        <v>4.1399999999999997</v>
      </c>
      <c r="V43" s="1677">
        <v>5.22</v>
      </c>
      <c r="W43" s="1677">
        <v>6.21</v>
      </c>
      <c r="X43" s="1677" t="s">
        <v>1332</v>
      </c>
      <c r="Y43" s="1677" t="s">
        <v>1332</v>
      </c>
      <c r="Z43" s="1677" t="s">
        <v>1332</v>
      </c>
    </row>
    <row r="44" spans="2:26">
      <c r="B44" s="1677"/>
      <c r="C44" s="1678">
        <v>36136</v>
      </c>
      <c r="D44" s="1677">
        <v>6.12</v>
      </c>
      <c r="E44" s="1677">
        <v>6.39</v>
      </c>
      <c r="F44" s="1677">
        <v>6.66</v>
      </c>
      <c r="G44" s="1677">
        <v>7.2</v>
      </c>
      <c r="H44" s="1677">
        <v>7.56</v>
      </c>
      <c r="I44" s="1677">
        <v>0</v>
      </c>
      <c r="J44" s="1677">
        <v>0</v>
      </c>
      <c r="L44" s="1677"/>
      <c r="M44" s="1678">
        <v>35726</v>
      </c>
      <c r="N44" s="1677">
        <v>1.71</v>
      </c>
      <c r="O44" s="1677">
        <v>2.88</v>
      </c>
      <c r="P44" s="1677">
        <v>4.1399999999999997</v>
      </c>
      <c r="Q44" s="1677">
        <v>5.67</v>
      </c>
      <c r="R44" s="1677">
        <v>5.94</v>
      </c>
      <c r="S44" s="1677">
        <v>6.21</v>
      </c>
      <c r="T44" s="1677">
        <v>6.66</v>
      </c>
      <c r="U44" s="1677">
        <v>4.1399999999999997</v>
      </c>
      <c r="V44" s="1677">
        <v>5.67</v>
      </c>
      <c r="W44" s="1677">
        <v>6.21</v>
      </c>
      <c r="X44" s="1677" t="s">
        <v>1332</v>
      </c>
      <c r="Y44" s="1677" t="s">
        <v>1332</v>
      </c>
      <c r="Z44" s="1677" t="s">
        <v>1332</v>
      </c>
    </row>
    <row r="45" spans="2:26">
      <c r="B45" s="1677"/>
      <c r="C45" s="1678">
        <v>35977</v>
      </c>
      <c r="D45" s="1677">
        <v>6.57</v>
      </c>
      <c r="E45" s="1677">
        <v>6.93</v>
      </c>
      <c r="F45" s="1677">
        <v>7.11</v>
      </c>
      <c r="G45" s="1677">
        <v>7.65</v>
      </c>
      <c r="H45" s="1677">
        <v>8.01</v>
      </c>
      <c r="I45" s="1677">
        <v>0</v>
      </c>
      <c r="J45" s="1677">
        <v>0</v>
      </c>
      <c r="L45" s="1677"/>
      <c r="M45" s="1678">
        <v>35300</v>
      </c>
      <c r="N45" s="1677">
        <v>1.98</v>
      </c>
      <c r="O45" s="1677">
        <v>3.33</v>
      </c>
      <c r="P45" s="1677">
        <v>5.4</v>
      </c>
      <c r="Q45" s="1677">
        <v>7.47</v>
      </c>
      <c r="R45" s="1677">
        <v>7.92</v>
      </c>
      <c r="S45" s="1677">
        <v>8.2799999999999994</v>
      </c>
      <c r="T45" s="1677">
        <v>9</v>
      </c>
      <c r="U45" s="1677">
        <v>5.4</v>
      </c>
      <c r="V45" s="1677">
        <v>7.47</v>
      </c>
      <c r="W45" s="1677">
        <v>8.2799999999999994</v>
      </c>
      <c r="X45" s="1677" t="s">
        <v>1332</v>
      </c>
      <c r="Y45" s="1677" t="s">
        <v>1332</v>
      </c>
      <c r="Z45" s="1677" t="s">
        <v>1332</v>
      </c>
    </row>
    <row r="46" spans="2:26">
      <c r="B46" s="1677"/>
      <c r="C46" s="1678">
        <v>35879</v>
      </c>
      <c r="D46" s="1677">
        <v>7.02</v>
      </c>
      <c r="E46" s="1677">
        <v>7.92</v>
      </c>
      <c r="F46" s="1677">
        <v>9</v>
      </c>
      <c r="G46" s="1677">
        <v>9.7200000000000006</v>
      </c>
      <c r="H46" s="1677">
        <v>10.35</v>
      </c>
      <c r="I46" s="1677">
        <v>0</v>
      </c>
      <c r="J46" s="1677">
        <v>0</v>
      </c>
      <c r="L46" s="1677"/>
      <c r="M46" s="1678">
        <v>35186</v>
      </c>
      <c r="N46" s="1677">
        <v>2.97</v>
      </c>
      <c r="O46" s="1677">
        <v>4.8600000000000003</v>
      </c>
      <c r="P46" s="1677">
        <v>7.2</v>
      </c>
      <c r="Q46" s="1677">
        <v>9.18</v>
      </c>
      <c r="R46" s="1677">
        <v>9.9</v>
      </c>
      <c r="S46" s="1677">
        <v>10.8</v>
      </c>
      <c r="T46" s="1677">
        <v>12.06</v>
      </c>
      <c r="U46" s="1677">
        <v>7.2</v>
      </c>
      <c r="V46" s="1677">
        <v>9.18</v>
      </c>
      <c r="W46" s="1677">
        <v>10.8</v>
      </c>
      <c r="X46" s="1677" t="s">
        <v>1332</v>
      </c>
      <c r="Y46" s="1677" t="s">
        <v>1332</v>
      </c>
      <c r="Z46" s="1677" t="s">
        <v>1332</v>
      </c>
    </row>
    <row r="47" spans="2:26">
      <c r="B47" s="1677"/>
      <c r="C47" s="1678">
        <v>35726</v>
      </c>
      <c r="D47" s="1677">
        <v>7.65</v>
      </c>
      <c r="E47" s="1677">
        <v>8.64</v>
      </c>
      <c r="F47" s="1677">
        <v>9.36</v>
      </c>
      <c r="G47" s="1677">
        <v>9.9</v>
      </c>
      <c r="H47" s="1677">
        <v>10.53</v>
      </c>
      <c r="I47" s="1677">
        <v>0</v>
      </c>
      <c r="J47" s="1677">
        <v>0</v>
      </c>
      <c r="L47" s="1677"/>
      <c r="M47" s="1678">
        <v>34161</v>
      </c>
      <c r="N47" s="1677">
        <v>3.15</v>
      </c>
      <c r="O47" s="1677">
        <v>6.66</v>
      </c>
      <c r="P47" s="1677">
        <v>9</v>
      </c>
      <c r="Q47" s="1677">
        <v>10.98</v>
      </c>
      <c r="R47" s="1677">
        <v>11.7</v>
      </c>
      <c r="S47" s="1677">
        <v>12.24</v>
      </c>
      <c r="T47" s="1677">
        <v>13.86</v>
      </c>
      <c r="U47" s="1677">
        <v>9</v>
      </c>
      <c r="V47" s="1677">
        <v>10.98</v>
      </c>
      <c r="W47" s="1677">
        <v>12.24</v>
      </c>
      <c r="X47" s="1677" t="s">
        <v>1332</v>
      </c>
      <c r="Y47" s="1677" t="s">
        <v>1332</v>
      </c>
      <c r="Z47" s="1677" t="s">
        <v>1332</v>
      </c>
    </row>
    <row r="48" spans="2:26">
      <c r="B48" s="1677"/>
      <c r="C48" s="1678">
        <v>35300</v>
      </c>
      <c r="D48" s="1677">
        <v>9.18</v>
      </c>
      <c r="E48" s="1677">
        <v>10.08</v>
      </c>
      <c r="F48" s="1677">
        <v>10.98</v>
      </c>
      <c r="G48" s="1677">
        <v>11.7</v>
      </c>
      <c r="H48" s="1677">
        <v>12.42</v>
      </c>
      <c r="I48" s="1677">
        <v>0</v>
      </c>
      <c r="J48" s="1677">
        <v>0</v>
      </c>
      <c r="L48" s="1677"/>
      <c r="M48" s="1678">
        <v>34104</v>
      </c>
      <c r="N48" s="1677">
        <v>2.16</v>
      </c>
      <c r="O48" s="1677">
        <v>4.8600000000000003</v>
      </c>
      <c r="P48" s="1677">
        <v>7.2</v>
      </c>
      <c r="Q48" s="1677">
        <v>9.18</v>
      </c>
      <c r="R48" s="1677">
        <v>9.9</v>
      </c>
      <c r="S48" s="1677">
        <v>10.8</v>
      </c>
      <c r="T48" s="1677">
        <v>12.06</v>
      </c>
      <c r="U48" s="1677">
        <v>7.2</v>
      </c>
      <c r="V48" s="1677">
        <v>9.18</v>
      </c>
      <c r="W48" s="1677">
        <v>10.8</v>
      </c>
      <c r="X48" s="1677" t="s">
        <v>1332</v>
      </c>
      <c r="Y48" s="1677" t="s">
        <v>1332</v>
      </c>
      <c r="Z48" s="1677" t="s">
        <v>1332</v>
      </c>
    </row>
    <row r="49" spans="2:26">
      <c r="B49" s="1677"/>
      <c r="C49" s="1678">
        <v>35186</v>
      </c>
      <c r="D49" s="1677">
        <v>9.7200000000000006</v>
      </c>
      <c r="E49" s="1677">
        <v>10.98</v>
      </c>
      <c r="F49" s="1677">
        <v>13.14</v>
      </c>
      <c r="G49" s="1677">
        <v>14.94</v>
      </c>
      <c r="H49" s="1677">
        <v>15.12</v>
      </c>
      <c r="I49" s="1677">
        <v>0</v>
      </c>
      <c r="J49" s="1677">
        <v>0</v>
      </c>
      <c r="L49" s="1677"/>
      <c r="M49" s="1678">
        <v>33349</v>
      </c>
      <c r="N49" s="1677">
        <v>1.8</v>
      </c>
      <c r="O49" s="1677">
        <v>3.24</v>
      </c>
      <c r="P49" s="1677">
        <v>5.4</v>
      </c>
      <c r="Q49" s="1677">
        <v>7.56</v>
      </c>
      <c r="R49" s="1677">
        <v>7.92</v>
      </c>
      <c r="S49" s="1677">
        <v>8.2799999999999994</v>
      </c>
      <c r="T49" s="1677">
        <v>9</v>
      </c>
      <c r="U49" s="1677">
        <v>6.12</v>
      </c>
      <c r="V49" s="1677">
        <v>6.84</v>
      </c>
      <c r="W49" s="1677">
        <v>7.56</v>
      </c>
      <c r="X49" s="1677" t="s">
        <v>1332</v>
      </c>
      <c r="Y49" s="1677" t="s">
        <v>1332</v>
      </c>
      <c r="Z49" s="1677" t="s">
        <v>1332</v>
      </c>
    </row>
    <row r="50" spans="2:26">
      <c r="B50" s="1677"/>
      <c r="C50" s="1678">
        <v>34881</v>
      </c>
      <c r="D50" s="1677">
        <v>10.08</v>
      </c>
      <c r="E50" s="1677">
        <v>12.06</v>
      </c>
      <c r="F50" s="1677">
        <v>13.5</v>
      </c>
      <c r="G50" s="1677">
        <v>15.12</v>
      </c>
      <c r="H50" s="1677">
        <v>15.3</v>
      </c>
      <c r="I50" s="1677">
        <v>0</v>
      </c>
      <c r="J50" s="1677">
        <v>0</v>
      </c>
      <c r="L50" s="1677"/>
      <c r="M50" s="1678">
        <v>33106</v>
      </c>
      <c r="N50" s="1677">
        <v>2.16</v>
      </c>
      <c r="O50" s="1677">
        <v>4.32</v>
      </c>
      <c r="P50" s="1677">
        <v>6.48</v>
      </c>
      <c r="Q50" s="1677">
        <v>8.64</v>
      </c>
      <c r="R50" s="1677">
        <v>9.36</v>
      </c>
      <c r="S50" s="1677">
        <v>10.08</v>
      </c>
      <c r="T50" s="1677">
        <v>11.52</v>
      </c>
      <c r="U50" s="1677">
        <v>7.2</v>
      </c>
      <c r="V50" s="1677">
        <v>8.64</v>
      </c>
      <c r="W50" s="1677">
        <v>10.08</v>
      </c>
      <c r="X50" s="1677" t="s">
        <v>1332</v>
      </c>
      <c r="Y50" s="1677" t="s">
        <v>1332</v>
      </c>
      <c r="Z50" s="1677" t="s">
        <v>1332</v>
      </c>
    </row>
    <row r="51" spans="2:26">
      <c r="B51" s="1677"/>
      <c r="C51" s="1678">
        <v>34700</v>
      </c>
      <c r="D51" s="1677">
        <v>9</v>
      </c>
      <c r="E51" s="1677">
        <v>10.98</v>
      </c>
      <c r="F51" s="1677">
        <v>12.96</v>
      </c>
      <c r="G51" s="1677">
        <v>14.58</v>
      </c>
      <c r="H51" s="1677">
        <v>14.76</v>
      </c>
      <c r="I51" s="1677">
        <v>0</v>
      </c>
      <c r="J51" s="1677">
        <v>0</v>
      </c>
      <c r="L51" s="1677"/>
      <c r="M51" s="1678">
        <v>32978</v>
      </c>
      <c r="N51" s="1677">
        <v>2.88</v>
      </c>
      <c r="O51" s="1677">
        <v>6.3</v>
      </c>
      <c r="P51" s="1677">
        <v>7.74</v>
      </c>
      <c r="Q51" s="1677">
        <v>10.08</v>
      </c>
      <c r="R51" s="1677">
        <v>10.98</v>
      </c>
      <c r="S51" s="1677">
        <v>11.88</v>
      </c>
      <c r="T51" s="1677">
        <v>13.68</v>
      </c>
      <c r="U51" s="1677" t="s">
        <v>1332</v>
      </c>
      <c r="V51" s="1677" t="s">
        <v>1332</v>
      </c>
      <c r="W51" s="1677" t="s">
        <v>1332</v>
      </c>
      <c r="X51" s="1677" t="s">
        <v>1332</v>
      </c>
      <c r="Y51" s="1677" t="s">
        <v>1332</v>
      </c>
      <c r="Z51" s="1677" t="s">
        <v>1332</v>
      </c>
    </row>
    <row r="52" spans="2:26">
      <c r="B52" s="1677"/>
      <c r="C52" s="1678">
        <v>34161</v>
      </c>
      <c r="D52" s="1677">
        <v>9</v>
      </c>
      <c r="E52" s="1677">
        <v>10.98</v>
      </c>
      <c r="F52" s="1677">
        <v>12.24</v>
      </c>
      <c r="G52" s="1677">
        <v>13.86</v>
      </c>
      <c r="H52" s="1677">
        <v>14.04</v>
      </c>
      <c r="I52" s="1677">
        <v>0</v>
      </c>
      <c r="J52" s="1677">
        <v>0</v>
      </c>
      <c r="L52" s="1677"/>
      <c r="M52" s="1678"/>
      <c r="N52" s="1677"/>
      <c r="O52" s="1677"/>
      <c r="P52" s="1677"/>
      <c r="Q52" s="1677"/>
      <c r="R52" s="1677"/>
      <c r="S52" s="1677"/>
      <c r="T52" s="1677"/>
      <c r="U52" s="1677"/>
      <c r="V52" s="1677"/>
      <c r="W52" s="1677"/>
      <c r="X52" s="1677"/>
      <c r="Y52" s="1677"/>
      <c r="Z52" s="1677"/>
    </row>
    <row r="53" spans="2:26">
      <c r="B53" s="1677"/>
      <c r="C53" s="1678">
        <v>34104</v>
      </c>
      <c r="D53" s="1677">
        <v>8.82</v>
      </c>
      <c r="E53" s="1677">
        <v>9.36</v>
      </c>
      <c r="F53" s="1677">
        <v>10.8</v>
      </c>
      <c r="G53" s="1677">
        <v>12.06</v>
      </c>
      <c r="H53" s="1677">
        <v>12.24</v>
      </c>
      <c r="I53" s="1677">
        <v>0</v>
      </c>
      <c r="J53" s="1677">
        <v>0</v>
      </c>
      <c r="L53" s="1677"/>
      <c r="M53" s="1678"/>
      <c r="N53" s="1677"/>
      <c r="O53" s="1677"/>
      <c r="P53" s="1677"/>
      <c r="Q53" s="1677"/>
      <c r="R53" s="1677"/>
      <c r="S53" s="1677"/>
      <c r="T53" s="1677"/>
      <c r="U53" s="1677"/>
      <c r="V53" s="1677"/>
      <c r="W53" s="1677"/>
      <c r="X53" s="1677"/>
      <c r="Y53" s="1677"/>
      <c r="Z53" s="1677"/>
    </row>
    <row r="54" spans="2:26">
      <c r="B54" s="1677"/>
      <c r="C54" s="1678">
        <v>33349</v>
      </c>
      <c r="D54" s="1677">
        <v>8.1</v>
      </c>
      <c r="E54" s="1677">
        <v>8.64</v>
      </c>
      <c r="F54" s="1677">
        <v>9</v>
      </c>
      <c r="G54" s="1677">
        <v>9.5399999999999991</v>
      </c>
      <c r="H54" s="1677">
        <v>9.7200000000000006</v>
      </c>
      <c r="I54" s="1677">
        <v>0</v>
      </c>
      <c r="J54" s="1677">
        <v>0</v>
      </c>
      <c r="L54" s="1677"/>
      <c r="M54" s="1678"/>
      <c r="N54" s="1677"/>
      <c r="O54" s="1677"/>
      <c r="P54" s="1677"/>
      <c r="Q54" s="1677"/>
      <c r="R54" s="1677"/>
      <c r="S54" s="1677"/>
      <c r="T54" s="1677"/>
      <c r="U54" s="1677"/>
      <c r="V54" s="1677"/>
      <c r="W54" s="1677"/>
      <c r="X54" s="1677"/>
      <c r="Y54" s="1677"/>
      <c r="Z54" s="1677"/>
    </row>
    <row r="55" spans="2:26">
      <c r="B55" s="1677"/>
      <c r="C55" s="1678">
        <v>33318</v>
      </c>
      <c r="D55" s="1677">
        <v>9</v>
      </c>
      <c r="E55" s="1677">
        <v>10.08</v>
      </c>
      <c r="F55" s="1677">
        <v>10.8</v>
      </c>
      <c r="G55" s="1677">
        <v>11.52</v>
      </c>
      <c r="H55" s="1677">
        <v>11.88</v>
      </c>
      <c r="I55" s="1677" t="s">
        <v>1332</v>
      </c>
      <c r="J55" s="1677" t="s">
        <v>1332</v>
      </c>
      <c r="L55" s="1677"/>
      <c r="M55" s="1678"/>
      <c r="N55" s="1677"/>
      <c r="O55" s="1677"/>
      <c r="P55" s="1677"/>
      <c r="Q55" s="1677"/>
      <c r="R55" s="1677"/>
      <c r="S55" s="1677"/>
      <c r="T55" s="1677"/>
      <c r="U55" s="1677"/>
      <c r="V55" s="1677"/>
      <c r="W55" s="1677"/>
      <c r="X55" s="1677"/>
      <c r="Y55" s="1677"/>
      <c r="Z55" s="1677"/>
    </row>
    <row r="56" spans="2:26">
      <c r="B56" s="1677"/>
      <c r="C56" s="1678">
        <v>33106</v>
      </c>
      <c r="D56" s="1677">
        <v>8.64</v>
      </c>
      <c r="E56" s="1677">
        <v>9.36</v>
      </c>
      <c r="F56" s="1677">
        <v>10.08</v>
      </c>
      <c r="G56" s="1677">
        <v>10.8</v>
      </c>
      <c r="H56" s="1677">
        <v>11.16</v>
      </c>
      <c r="I56" s="1677">
        <v>0</v>
      </c>
      <c r="J56" s="1677">
        <v>0</v>
      </c>
      <c r="L56" s="1677"/>
      <c r="M56" s="1678"/>
      <c r="N56" s="1677"/>
      <c r="O56" s="1677"/>
      <c r="P56" s="1677"/>
      <c r="Q56" s="1677"/>
      <c r="R56" s="1677"/>
      <c r="S56" s="1677"/>
      <c r="T56" s="1677"/>
      <c r="U56" s="1677"/>
      <c r="V56" s="1677"/>
      <c r="W56" s="1677"/>
      <c r="X56" s="1677"/>
      <c r="Y56" s="1677"/>
      <c r="Z56" s="1677"/>
    </row>
    <row r="57" spans="2:26">
      <c r="B57" s="1677"/>
      <c r="C57" s="1678">
        <v>32540</v>
      </c>
      <c r="D57" s="1677">
        <v>11.34</v>
      </c>
      <c r="E57" s="1677">
        <v>11.34</v>
      </c>
      <c r="F57" s="1677">
        <v>12.78</v>
      </c>
      <c r="G57" s="1677">
        <v>14.4</v>
      </c>
      <c r="H57" s="1677">
        <v>19.260000000000002</v>
      </c>
      <c r="I57" s="1677">
        <v>0</v>
      </c>
      <c r="J57" s="1677">
        <v>0</v>
      </c>
      <c r="L57" s="1677"/>
      <c r="M57" s="1678"/>
      <c r="N57" s="1677"/>
      <c r="O57" s="1677"/>
      <c r="P57" s="1677"/>
      <c r="Q57" s="1677"/>
      <c r="R57" s="1677"/>
      <c r="S57" s="1677"/>
      <c r="T57" s="1677"/>
      <c r="U57" s="1677"/>
      <c r="V57" s="1677"/>
      <c r="W57" s="1677"/>
      <c r="X57" s="1677"/>
      <c r="Y57" s="1677"/>
      <c r="Z57" s="1677"/>
    </row>
    <row r="58" spans="2:26">
      <c r="B58" s="1677"/>
      <c r="C58" s="1678"/>
      <c r="D58" s="1677"/>
      <c r="E58" s="1677"/>
      <c r="F58" s="1677"/>
      <c r="G58" s="1677"/>
      <c r="H58" s="1677"/>
      <c r="I58" s="1677"/>
      <c r="J58" s="1677"/>
    </row>
    <row r="59" spans="2:26">
      <c r="B59" s="1681"/>
      <c r="C59" s="1682"/>
      <c r="D59" s="1681"/>
      <c r="E59" s="1681"/>
      <c r="F59" s="1681"/>
      <c r="G59" s="1681"/>
      <c r="H59" s="1681"/>
      <c r="I59" s="1681"/>
      <c r="J59" s="1681"/>
    </row>
    <row r="60" spans="2:26">
      <c r="B60" s="1681"/>
      <c r="C60" s="1682"/>
      <c r="D60" s="1681"/>
      <c r="E60" s="1681"/>
      <c r="F60" s="1681"/>
      <c r="G60" s="1681"/>
      <c r="H60" s="1681"/>
      <c r="I60" s="1681"/>
      <c r="J60" s="1681"/>
    </row>
    <row r="61" spans="2:26">
      <c r="B61" s="1681"/>
      <c r="C61" s="1682"/>
      <c r="D61" s="1681"/>
      <c r="E61" s="1681"/>
      <c r="F61" s="1681"/>
      <c r="G61" s="1681"/>
      <c r="H61" s="1681"/>
      <c r="I61" s="1681"/>
      <c r="J61" s="1681"/>
    </row>
    <row r="62" spans="2:26">
      <c r="B62" s="1628"/>
      <c r="C62" s="1628"/>
      <c r="D62" s="1628"/>
      <c r="E62" s="1628"/>
      <c r="F62" s="1628"/>
      <c r="G62" s="1628"/>
      <c r="H62" s="1628"/>
      <c r="I62" s="1628"/>
      <c r="J62" s="1628"/>
    </row>
    <row r="63" spans="2:26">
      <c r="B63" s="1628"/>
      <c r="C63" s="1628"/>
      <c r="D63" s="1628"/>
      <c r="E63" s="1628"/>
      <c r="F63" s="1628"/>
      <c r="G63" s="1628"/>
      <c r="H63" s="1628"/>
      <c r="I63" s="1628"/>
      <c r="J63" s="1628"/>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72" t="s">
        <v>1373</v>
      </c>
      <c r="E1" s="1766" t="s">
        <v>1377</v>
      </c>
      <c r="F1" s="1767" t="s">
        <v>1381</v>
      </c>
    </row>
    <row r="2" spans="1:13" ht="20.25">
      <c r="A2" s="1773" t="s">
        <v>1374</v>
      </c>
    </row>
    <row r="3" spans="1:13" ht="16.5">
      <c r="A3" s="1774" t="s">
        <v>1375</v>
      </c>
    </row>
    <row r="4" spans="1:13" ht="14.25">
      <c r="A4" s="1764" t="s">
        <v>1376</v>
      </c>
      <c r="B4" s="1769" t="s">
        <v>1378</v>
      </c>
      <c r="C4" s="1770"/>
      <c r="D4" s="1771"/>
      <c r="E4" s="1769" t="s">
        <v>27</v>
      </c>
      <c r="F4" s="1770"/>
      <c r="G4" s="1771"/>
      <c r="H4" s="1769" t="s">
        <v>1379</v>
      </c>
      <c r="I4" s="1770"/>
      <c r="J4" s="1771"/>
      <c r="K4" s="1769" t="s">
        <v>6</v>
      </c>
      <c r="L4" s="1770"/>
      <c r="M4" s="1771"/>
    </row>
    <row r="5" spans="1:13" ht="14.25">
      <c r="A5" s="1765" t="s">
        <v>1380</v>
      </c>
      <c r="B5" s="1764" t="s">
        <v>1382</v>
      </c>
      <c r="C5" s="1764" t="s">
        <v>1383</v>
      </c>
      <c r="D5" s="1764" t="s">
        <v>1384</v>
      </c>
      <c r="E5" s="1764" t="s">
        <v>1382</v>
      </c>
      <c r="F5" s="1764" t="s">
        <v>1383</v>
      </c>
      <c r="G5" s="1764" t="s">
        <v>1384</v>
      </c>
      <c r="H5" s="1764" t="s">
        <v>1382</v>
      </c>
      <c r="I5" s="1764" t="s">
        <v>1383</v>
      </c>
      <c r="J5" s="1764" t="s">
        <v>1384</v>
      </c>
      <c r="K5" s="1764" t="s">
        <v>1382</v>
      </c>
      <c r="L5" s="1764" t="s">
        <v>1383</v>
      </c>
      <c r="M5" s="1764" t="s">
        <v>1384</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D3:V1557"/>
  <sheetViews>
    <sheetView topLeftCell="D1541" workbookViewId="0">
      <selection activeCell="Q1557" sqref="Q4:V1557"/>
    </sheetView>
  </sheetViews>
  <sheetFormatPr defaultRowHeight="13.5"/>
  <cols>
    <col min="1" max="4" width="9" style="3"/>
    <col min="5" max="5" width="0" style="3" hidden="1" customWidth="1"/>
    <col min="6" max="6" width="9" style="3"/>
    <col min="7" max="8" width="9.5" style="3" bestFit="1" customWidth="1"/>
    <col min="9" max="13" width="9" style="3"/>
    <col min="14" max="14" width="9.5" style="3" bestFit="1" customWidth="1"/>
    <col min="15" max="18" width="9" style="3"/>
    <col min="19" max="19" width="9.5" style="3" bestFit="1" customWidth="1"/>
    <col min="20" max="16384" width="9" style="3"/>
  </cols>
  <sheetData>
    <row r="3" spans="4:22" ht="14.25" thickBot="1"/>
    <row r="4" spans="4:22" ht="41.25" thickBot="1">
      <c r="D4" s="2914" t="s">
        <v>3037</v>
      </c>
      <c r="E4" s="2914" t="s">
        <v>3038</v>
      </c>
      <c r="F4" s="2914" t="s">
        <v>3113</v>
      </c>
      <c r="G4" s="2914" t="s">
        <v>3039</v>
      </c>
      <c r="H4" s="2914" t="s">
        <v>4678</v>
      </c>
      <c r="M4" s="2913" t="s">
        <v>4666</v>
      </c>
      <c r="N4" s="2913" t="s">
        <v>4667</v>
      </c>
      <c r="Q4" s="3003" t="s">
        <v>6156</v>
      </c>
      <c r="R4" s="2998" t="s">
        <v>4713</v>
      </c>
      <c r="S4" s="2998" t="s">
        <v>4714</v>
      </c>
      <c r="T4" s="2998" t="s">
        <v>4715</v>
      </c>
      <c r="U4" s="2998" t="s">
        <v>4716</v>
      </c>
      <c r="V4" s="2998" t="s">
        <v>4717</v>
      </c>
    </row>
    <row r="5" spans="4:22" ht="30" customHeight="1" thickBot="1">
      <c r="D5" s="2915">
        <v>1</v>
      </c>
      <c r="E5" s="2914" t="s">
        <v>3040</v>
      </c>
      <c r="F5" s="2914" t="s">
        <v>3114</v>
      </c>
      <c r="G5" s="2915">
        <v>49.61</v>
      </c>
      <c r="H5" s="2915">
        <f>ROUND(G5/$N$7*$M$7,2)</f>
        <v>8.7100000000000009</v>
      </c>
      <c r="M5" s="3">
        <v>42184</v>
      </c>
      <c r="N5" s="3">
        <v>240239.2</v>
      </c>
      <c r="Q5" s="3004">
        <v>1</v>
      </c>
      <c r="R5" s="3000" t="s">
        <v>4718</v>
      </c>
      <c r="S5" s="3000">
        <v>49.61</v>
      </c>
      <c r="T5" s="3000">
        <v>1</v>
      </c>
      <c r="U5" s="3000">
        <v>17260</v>
      </c>
      <c r="V5" s="3000">
        <v>86</v>
      </c>
    </row>
    <row r="6" spans="4:22" ht="27.75" thickBot="1">
      <c r="D6" s="2915">
        <v>2</v>
      </c>
      <c r="E6" s="2914" t="str">
        <f>E5</f>
        <v>商业</v>
      </c>
      <c r="F6" s="2914" t="s">
        <v>3115</v>
      </c>
      <c r="G6" s="2915">
        <v>50.63</v>
      </c>
      <c r="H6" s="2915">
        <f t="shared" ref="H6:H69" si="0">ROUND(G6/$N$7*$M$7,2)</f>
        <v>8.89</v>
      </c>
      <c r="M6" s="2913" t="s">
        <v>4668</v>
      </c>
      <c r="N6" s="2913" t="s">
        <v>4669</v>
      </c>
      <c r="Q6" s="3004">
        <v>2</v>
      </c>
      <c r="R6" s="3000" t="s">
        <v>3115</v>
      </c>
      <c r="S6" s="3000">
        <v>50.63</v>
      </c>
      <c r="T6" s="3000">
        <v>1</v>
      </c>
      <c r="U6" s="3000">
        <v>17260</v>
      </c>
      <c r="V6" s="3000">
        <v>87</v>
      </c>
    </row>
    <row r="7" spans="4:22" ht="14.25" thickBot="1">
      <c r="D7" s="2915">
        <v>3</v>
      </c>
      <c r="E7" s="2914" t="str">
        <f t="shared" ref="E7:E64" si="1">E6</f>
        <v>商业</v>
      </c>
      <c r="F7" s="2914" t="s">
        <v>3116</v>
      </c>
      <c r="G7" s="2915">
        <v>50.63</v>
      </c>
      <c r="H7" s="2915">
        <f t="shared" si="0"/>
        <v>8.89</v>
      </c>
      <c r="M7" s="3">
        <f>ROUND(N7/N5*M5,2)</f>
        <v>27155.46</v>
      </c>
      <c r="N7" s="3">
        <f>G1557</f>
        <v>154651.20000000138</v>
      </c>
      <c r="Q7" s="3004">
        <v>3</v>
      </c>
      <c r="R7" s="2999" t="s">
        <v>3116</v>
      </c>
      <c r="S7" s="3000">
        <v>50.63</v>
      </c>
      <c r="T7" s="3000">
        <v>1</v>
      </c>
      <c r="U7" s="3000">
        <v>17260</v>
      </c>
      <c r="V7" s="3000">
        <v>87</v>
      </c>
    </row>
    <row r="8" spans="4:22" ht="14.25" thickBot="1">
      <c r="D8" s="2915">
        <v>4</v>
      </c>
      <c r="E8" s="2914" t="str">
        <f t="shared" si="1"/>
        <v>商业</v>
      </c>
      <c r="F8" s="2914" t="s">
        <v>3117</v>
      </c>
      <c r="G8" s="2915">
        <v>50.63</v>
      </c>
      <c r="H8" s="2915">
        <f t="shared" si="0"/>
        <v>8.89</v>
      </c>
      <c r="Q8" s="3004">
        <v>4</v>
      </c>
      <c r="R8" s="2999" t="s">
        <v>3117</v>
      </c>
      <c r="S8" s="3000">
        <v>50.63</v>
      </c>
      <c r="T8" s="3000">
        <v>1</v>
      </c>
      <c r="U8" s="3000">
        <v>17260</v>
      </c>
      <c r="V8" s="3000">
        <v>87</v>
      </c>
    </row>
    <row r="9" spans="4:22" ht="14.25" thickBot="1">
      <c r="D9" s="2915">
        <v>5</v>
      </c>
      <c r="E9" s="2914" t="str">
        <f t="shared" si="1"/>
        <v>商业</v>
      </c>
      <c r="F9" s="2914" t="s">
        <v>3118</v>
      </c>
      <c r="G9" s="2915">
        <v>50.63</v>
      </c>
      <c r="H9" s="2915">
        <f t="shared" si="0"/>
        <v>8.89</v>
      </c>
      <c r="M9" s="3">
        <f>M7-H1557</f>
        <v>0</v>
      </c>
      <c r="Q9" s="3004">
        <v>5</v>
      </c>
      <c r="R9" s="2999" t="s">
        <v>3118</v>
      </c>
      <c r="S9" s="3000">
        <v>50.63</v>
      </c>
      <c r="T9" s="3000">
        <v>1</v>
      </c>
      <c r="U9" s="3000">
        <v>17260</v>
      </c>
      <c r="V9" s="3000">
        <v>87</v>
      </c>
    </row>
    <row r="10" spans="4:22" ht="14.25" thickBot="1">
      <c r="D10" s="2915">
        <v>6</v>
      </c>
      <c r="E10" s="2914" t="str">
        <f t="shared" si="1"/>
        <v>商业</v>
      </c>
      <c r="F10" s="2914" t="s">
        <v>3119</v>
      </c>
      <c r="G10" s="2915">
        <v>50.63</v>
      </c>
      <c r="H10" s="2915">
        <f t="shared" si="0"/>
        <v>8.89</v>
      </c>
      <c r="Q10" s="3004">
        <v>6</v>
      </c>
      <c r="R10" s="2999" t="s">
        <v>3119</v>
      </c>
      <c r="S10" s="3000">
        <v>50.63</v>
      </c>
      <c r="T10" s="3000">
        <v>1</v>
      </c>
      <c r="U10" s="3000">
        <v>17260</v>
      </c>
      <c r="V10" s="3000">
        <v>87</v>
      </c>
    </row>
    <row r="11" spans="4:22" ht="14.25" thickBot="1">
      <c r="D11" s="2915">
        <v>7</v>
      </c>
      <c r="E11" s="2914" t="str">
        <f t="shared" si="1"/>
        <v>商业</v>
      </c>
      <c r="F11" s="2914" t="s">
        <v>3120</v>
      </c>
      <c r="G11" s="2915">
        <v>50.63</v>
      </c>
      <c r="H11" s="2915">
        <f t="shared" si="0"/>
        <v>8.89</v>
      </c>
      <c r="Q11" s="3004">
        <v>7</v>
      </c>
      <c r="R11" s="2999" t="s">
        <v>3120</v>
      </c>
      <c r="S11" s="3000">
        <v>50.63</v>
      </c>
      <c r="T11" s="3000">
        <v>1</v>
      </c>
      <c r="U11" s="3000">
        <v>17260</v>
      </c>
      <c r="V11" s="3000">
        <v>87</v>
      </c>
    </row>
    <row r="12" spans="4:22" ht="14.25" thickBot="1">
      <c r="D12" s="2915">
        <v>8</v>
      </c>
      <c r="E12" s="2914" t="str">
        <f t="shared" si="1"/>
        <v>商业</v>
      </c>
      <c r="F12" s="2914" t="s">
        <v>3121</v>
      </c>
      <c r="G12" s="2915">
        <v>50.63</v>
      </c>
      <c r="H12" s="2915">
        <f t="shared" si="0"/>
        <v>8.89</v>
      </c>
      <c r="Q12" s="3004">
        <v>8</v>
      </c>
      <c r="R12" s="2999" t="s">
        <v>3121</v>
      </c>
      <c r="S12" s="3000">
        <v>50.63</v>
      </c>
      <c r="T12" s="3000">
        <v>1</v>
      </c>
      <c r="U12" s="3000">
        <v>17260</v>
      </c>
      <c r="V12" s="3000">
        <v>87</v>
      </c>
    </row>
    <row r="13" spans="4:22" ht="14.25" thickBot="1">
      <c r="D13" s="2915">
        <v>9</v>
      </c>
      <c r="E13" s="2914" t="str">
        <f t="shared" si="1"/>
        <v>商业</v>
      </c>
      <c r="F13" s="2914" t="s">
        <v>3122</v>
      </c>
      <c r="G13" s="2915">
        <v>50.63</v>
      </c>
      <c r="H13" s="2915">
        <f t="shared" si="0"/>
        <v>8.89</v>
      </c>
      <c r="Q13" s="3004">
        <v>9</v>
      </c>
      <c r="R13" s="2999" t="s">
        <v>3122</v>
      </c>
      <c r="S13" s="3000">
        <v>50.63</v>
      </c>
      <c r="T13" s="3000">
        <v>1</v>
      </c>
      <c r="U13" s="3000">
        <v>17260</v>
      </c>
      <c r="V13" s="3000">
        <v>87</v>
      </c>
    </row>
    <row r="14" spans="4:22" ht="14.25" thickBot="1">
      <c r="D14" s="2915">
        <v>10</v>
      </c>
      <c r="E14" s="2914" t="str">
        <f t="shared" si="1"/>
        <v>商业</v>
      </c>
      <c r="F14" s="2914" t="s">
        <v>3123</v>
      </c>
      <c r="G14" s="2915">
        <v>50.63</v>
      </c>
      <c r="H14" s="2915">
        <f t="shared" si="0"/>
        <v>8.89</v>
      </c>
      <c r="Q14" s="3004">
        <v>10</v>
      </c>
      <c r="R14" s="2999" t="s">
        <v>3123</v>
      </c>
      <c r="S14" s="3000">
        <v>50.63</v>
      </c>
      <c r="T14" s="3000">
        <v>1</v>
      </c>
      <c r="U14" s="3000">
        <v>17260</v>
      </c>
      <c r="V14" s="3000">
        <v>87</v>
      </c>
    </row>
    <row r="15" spans="4:22" ht="14.25" thickBot="1">
      <c r="D15" s="2915">
        <v>11</v>
      </c>
      <c r="E15" s="2914" t="str">
        <f t="shared" si="1"/>
        <v>商业</v>
      </c>
      <c r="F15" s="2914" t="s">
        <v>3124</v>
      </c>
      <c r="G15" s="2915">
        <v>50.63</v>
      </c>
      <c r="H15" s="2915">
        <f t="shared" si="0"/>
        <v>8.89</v>
      </c>
      <c r="Q15" s="3004">
        <v>11</v>
      </c>
      <c r="R15" s="2999" t="s">
        <v>3124</v>
      </c>
      <c r="S15" s="3000">
        <v>50.63</v>
      </c>
      <c r="T15" s="3000">
        <v>1</v>
      </c>
      <c r="U15" s="3000">
        <v>17260</v>
      </c>
      <c r="V15" s="3000">
        <v>87</v>
      </c>
    </row>
    <row r="16" spans="4:22" ht="14.25" thickBot="1">
      <c r="D16" s="2915">
        <v>12</v>
      </c>
      <c r="E16" s="2914" t="str">
        <f t="shared" si="1"/>
        <v>商业</v>
      </c>
      <c r="F16" s="2914" t="s">
        <v>3125</v>
      </c>
      <c r="G16" s="2915">
        <v>49.53</v>
      </c>
      <c r="H16" s="2915">
        <f t="shared" si="0"/>
        <v>8.6999999999999993</v>
      </c>
      <c r="Q16" s="3004">
        <v>12</v>
      </c>
      <c r="R16" s="2999" t="s">
        <v>3125</v>
      </c>
      <c r="S16" s="3000">
        <v>49.53</v>
      </c>
      <c r="T16" s="3000">
        <v>1</v>
      </c>
      <c r="U16" s="3000">
        <v>17260</v>
      </c>
      <c r="V16" s="3000">
        <v>85</v>
      </c>
    </row>
    <row r="17" spans="4:22" ht="14.25" thickBot="1">
      <c r="D17" s="2915">
        <v>13</v>
      </c>
      <c r="E17" s="2914" t="str">
        <f t="shared" si="1"/>
        <v>商业</v>
      </c>
      <c r="F17" s="2914" t="s">
        <v>3126</v>
      </c>
      <c r="G17" s="2915">
        <v>55.7</v>
      </c>
      <c r="H17" s="2915">
        <f t="shared" si="0"/>
        <v>9.7799999999999994</v>
      </c>
      <c r="Q17" s="3004">
        <v>13</v>
      </c>
      <c r="R17" s="2999" t="s">
        <v>3126</v>
      </c>
      <c r="S17" s="3000">
        <v>55.7</v>
      </c>
      <c r="T17" s="3000">
        <v>1</v>
      </c>
      <c r="U17" s="3000">
        <v>17260</v>
      </c>
      <c r="V17" s="3000">
        <v>96</v>
      </c>
    </row>
    <row r="18" spans="4:22" ht="14.25" thickBot="1">
      <c r="D18" s="2915">
        <v>14</v>
      </c>
      <c r="E18" s="2914" t="str">
        <f t="shared" si="1"/>
        <v>商业</v>
      </c>
      <c r="F18" s="2914" t="s">
        <v>3127</v>
      </c>
      <c r="G18" s="2915">
        <v>60.21</v>
      </c>
      <c r="H18" s="2915">
        <f t="shared" si="0"/>
        <v>10.57</v>
      </c>
      <c r="Q18" s="3004">
        <v>14</v>
      </c>
      <c r="R18" s="2999" t="s">
        <v>3127</v>
      </c>
      <c r="S18" s="3000">
        <v>60.21</v>
      </c>
      <c r="T18" s="3000">
        <v>1</v>
      </c>
      <c r="U18" s="3000">
        <v>17260</v>
      </c>
      <c r="V18" s="3000">
        <v>104</v>
      </c>
    </row>
    <row r="19" spans="4:22" ht="14.25" thickBot="1">
      <c r="D19" s="2915">
        <v>15</v>
      </c>
      <c r="E19" s="2914" t="str">
        <f t="shared" si="1"/>
        <v>商业</v>
      </c>
      <c r="F19" s="2914" t="s">
        <v>3128</v>
      </c>
      <c r="G19" s="2915">
        <v>58.75</v>
      </c>
      <c r="H19" s="2915">
        <f t="shared" si="0"/>
        <v>10.32</v>
      </c>
      <c r="Q19" s="3004">
        <v>15</v>
      </c>
      <c r="R19" s="2999" t="s">
        <v>3128</v>
      </c>
      <c r="S19" s="3000">
        <v>58.75</v>
      </c>
      <c r="T19" s="3000">
        <v>1</v>
      </c>
      <c r="U19" s="3000">
        <v>17260</v>
      </c>
      <c r="V19" s="3000">
        <v>101</v>
      </c>
    </row>
    <row r="20" spans="4:22" ht="14.25" thickBot="1">
      <c r="D20" s="2915">
        <v>16</v>
      </c>
      <c r="E20" s="2914" t="str">
        <f t="shared" si="1"/>
        <v>商业</v>
      </c>
      <c r="F20" s="2914" t="s">
        <v>3129</v>
      </c>
      <c r="G20" s="2915">
        <v>61.88</v>
      </c>
      <c r="H20" s="2915">
        <f t="shared" si="0"/>
        <v>10.87</v>
      </c>
      <c r="Q20" s="3004">
        <v>16</v>
      </c>
      <c r="R20" s="2999" t="s">
        <v>3129</v>
      </c>
      <c r="S20" s="3000">
        <v>61.88</v>
      </c>
      <c r="T20" s="3000">
        <v>1</v>
      </c>
      <c r="U20" s="3000">
        <v>17260</v>
      </c>
      <c r="V20" s="3000">
        <v>107</v>
      </c>
    </row>
    <row r="21" spans="4:22" ht="14.25" thickBot="1">
      <c r="D21" s="2915">
        <v>17</v>
      </c>
      <c r="E21" s="2914" t="str">
        <f>E19</f>
        <v>商业</v>
      </c>
      <c r="F21" s="2914" t="s">
        <v>3130</v>
      </c>
      <c r="G21" s="2915">
        <v>61.41</v>
      </c>
      <c r="H21" s="2915">
        <f t="shared" si="0"/>
        <v>10.78</v>
      </c>
      <c r="Q21" s="3004">
        <v>17</v>
      </c>
      <c r="R21" s="2999" t="s">
        <v>3130</v>
      </c>
      <c r="S21" s="3000">
        <v>61.41</v>
      </c>
      <c r="T21" s="3000">
        <v>1</v>
      </c>
      <c r="U21" s="3000">
        <v>17260</v>
      </c>
      <c r="V21" s="3000">
        <v>106</v>
      </c>
    </row>
    <row r="22" spans="4:22" ht="14.25" thickBot="1">
      <c r="D22" s="2915">
        <v>18</v>
      </c>
      <c r="E22" s="2914" t="str">
        <f t="shared" si="1"/>
        <v>商业</v>
      </c>
      <c r="F22" s="2914" t="s">
        <v>3131</v>
      </c>
      <c r="G22" s="2915">
        <v>61.41</v>
      </c>
      <c r="H22" s="2915">
        <f t="shared" si="0"/>
        <v>10.78</v>
      </c>
      <c r="Q22" s="3004">
        <v>18</v>
      </c>
      <c r="R22" s="2999" t="s">
        <v>3131</v>
      </c>
      <c r="S22" s="3000">
        <v>61.41</v>
      </c>
      <c r="T22" s="3000">
        <v>1</v>
      </c>
      <c r="U22" s="3000">
        <v>17260</v>
      </c>
      <c r="V22" s="3000">
        <v>106</v>
      </c>
    </row>
    <row r="23" spans="4:22" ht="14.25" thickBot="1">
      <c r="D23" s="2915">
        <v>19</v>
      </c>
      <c r="E23" s="2914" t="str">
        <f t="shared" si="1"/>
        <v>商业</v>
      </c>
      <c r="F23" s="2914" t="s">
        <v>3132</v>
      </c>
      <c r="G23" s="2915">
        <v>61.41</v>
      </c>
      <c r="H23" s="2915">
        <f t="shared" si="0"/>
        <v>10.78</v>
      </c>
      <c r="Q23" s="3004">
        <v>19</v>
      </c>
      <c r="R23" s="2999" t="s">
        <v>3132</v>
      </c>
      <c r="S23" s="3000">
        <v>61.41</v>
      </c>
      <c r="T23" s="3000">
        <v>1</v>
      </c>
      <c r="U23" s="3000">
        <v>17260</v>
      </c>
      <c r="V23" s="3000">
        <v>106</v>
      </c>
    </row>
    <row r="24" spans="4:22" ht="14.25" thickBot="1">
      <c r="D24" s="2915">
        <v>20</v>
      </c>
      <c r="E24" s="2914" t="str">
        <f t="shared" si="1"/>
        <v>商业</v>
      </c>
      <c r="F24" s="2914" t="s">
        <v>3133</v>
      </c>
      <c r="G24" s="2915">
        <v>65.760000000000005</v>
      </c>
      <c r="H24" s="2915">
        <f t="shared" si="0"/>
        <v>11.55</v>
      </c>
      <c r="Q24" s="3004">
        <v>20</v>
      </c>
      <c r="R24" s="2999" t="s">
        <v>4719</v>
      </c>
      <c r="S24" s="3000">
        <v>65.760000000000005</v>
      </c>
      <c r="T24" s="3000">
        <v>1</v>
      </c>
      <c r="U24" s="3000">
        <v>17260</v>
      </c>
      <c r="V24" s="3000">
        <v>114</v>
      </c>
    </row>
    <row r="25" spans="4:22" ht="14.25" thickBot="1">
      <c r="D25" s="2915">
        <v>21</v>
      </c>
      <c r="E25" s="2914" t="str">
        <f t="shared" si="1"/>
        <v>商业</v>
      </c>
      <c r="F25" s="2914" t="s">
        <v>3134</v>
      </c>
      <c r="G25" s="2915">
        <v>59.41</v>
      </c>
      <c r="H25" s="2915">
        <f t="shared" si="0"/>
        <v>10.43</v>
      </c>
      <c r="Q25" s="3004">
        <v>21</v>
      </c>
      <c r="R25" s="2999" t="s">
        <v>3134</v>
      </c>
      <c r="S25" s="3000">
        <v>59.41</v>
      </c>
      <c r="T25" s="3000">
        <v>1</v>
      </c>
      <c r="U25" s="3000">
        <v>17260</v>
      </c>
      <c r="V25" s="3000">
        <v>103</v>
      </c>
    </row>
    <row r="26" spans="4:22" ht="14.25" thickBot="1">
      <c r="D26" s="2915">
        <v>22</v>
      </c>
      <c r="E26" s="2914" t="str">
        <f t="shared" si="1"/>
        <v>商业</v>
      </c>
      <c r="F26" s="2914" t="s">
        <v>3135</v>
      </c>
      <c r="G26" s="2915">
        <v>60.69</v>
      </c>
      <c r="H26" s="2915">
        <f t="shared" si="0"/>
        <v>10.66</v>
      </c>
      <c r="Q26" s="3004">
        <v>22</v>
      </c>
      <c r="R26" s="2999" t="s">
        <v>3135</v>
      </c>
      <c r="S26" s="3000">
        <v>60.69</v>
      </c>
      <c r="T26" s="3000">
        <v>1</v>
      </c>
      <c r="U26" s="3000">
        <v>17260</v>
      </c>
      <c r="V26" s="3000">
        <v>105</v>
      </c>
    </row>
    <row r="27" spans="4:22" ht="14.25" thickBot="1">
      <c r="D27" s="2915">
        <v>23</v>
      </c>
      <c r="E27" s="2914" t="str">
        <f t="shared" si="1"/>
        <v>商业</v>
      </c>
      <c r="F27" s="2914" t="s">
        <v>3136</v>
      </c>
      <c r="G27" s="2915">
        <v>60.69</v>
      </c>
      <c r="H27" s="2915">
        <f t="shared" si="0"/>
        <v>10.66</v>
      </c>
      <c r="Q27" s="3004">
        <v>23</v>
      </c>
      <c r="R27" s="2999" t="s">
        <v>3136</v>
      </c>
      <c r="S27" s="3000">
        <v>60.69</v>
      </c>
      <c r="T27" s="3000">
        <v>1</v>
      </c>
      <c r="U27" s="3000">
        <v>17260</v>
      </c>
      <c r="V27" s="3000">
        <v>105</v>
      </c>
    </row>
    <row r="28" spans="4:22" ht="16.5" customHeight="1" thickBot="1">
      <c r="D28" s="2915">
        <v>24</v>
      </c>
      <c r="E28" s="2914" t="str">
        <f t="shared" si="1"/>
        <v>商业</v>
      </c>
      <c r="F28" s="2914" t="s">
        <v>3137</v>
      </c>
      <c r="G28" s="2915">
        <v>60.69</v>
      </c>
      <c r="H28" s="2915">
        <f t="shared" si="0"/>
        <v>10.66</v>
      </c>
      <c r="Q28" s="3004">
        <v>24</v>
      </c>
      <c r="R28" s="2999" t="s">
        <v>3137</v>
      </c>
      <c r="S28" s="3000">
        <v>60.69</v>
      </c>
      <c r="T28" s="3000">
        <v>1</v>
      </c>
      <c r="U28" s="3000">
        <v>17260</v>
      </c>
      <c r="V28" s="3000">
        <v>105</v>
      </c>
    </row>
    <row r="29" spans="4:22" ht="14.25" thickBot="1">
      <c r="D29" s="2915">
        <v>25</v>
      </c>
      <c r="E29" s="2914" t="str">
        <f t="shared" si="1"/>
        <v>商业</v>
      </c>
      <c r="F29" s="2914" t="s">
        <v>3138</v>
      </c>
      <c r="G29" s="2915">
        <v>60.69</v>
      </c>
      <c r="H29" s="2915">
        <f t="shared" si="0"/>
        <v>10.66</v>
      </c>
      <c r="Q29" s="3004">
        <v>25</v>
      </c>
      <c r="R29" s="2999" t="s">
        <v>3138</v>
      </c>
      <c r="S29" s="3000">
        <v>60.69</v>
      </c>
      <c r="T29" s="3000">
        <v>1</v>
      </c>
      <c r="U29" s="3000">
        <v>17260</v>
      </c>
      <c r="V29" s="3000">
        <v>105</v>
      </c>
    </row>
    <row r="30" spans="4:22" ht="14.25" thickBot="1">
      <c r="D30" s="2915">
        <v>26</v>
      </c>
      <c r="E30" s="2914" t="str">
        <f t="shared" si="1"/>
        <v>商业</v>
      </c>
      <c r="F30" s="2914" t="s">
        <v>3139</v>
      </c>
      <c r="G30" s="2915">
        <v>60.69</v>
      </c>
      <c r="H30" s="2915">
        <f t="shared" si="0"/>
        <v>10.66</v>
      </c>
      <c r="Q30" s="3004">
        <v>26</v>
      </c>
      <c r="R30" s="2999" t="s">
        <v>3139</v>
      </c>
      <c r="S30" s="3000">
        <v>60.69</v>
      </c>
      <c r="T30" s="3000">
        <v>1</v>
      </c>
      <c r="U30" s="3000">
        <v>17260</v>
      </c>
      <c r="V30" s="3000">
        <v>105</v>
      </c>
    </row>
    <row r="31" spans="4:22" ht="14.25" thickBot="1">
      <c r="D31" s="2915">
        <v>27</v>
      </c>
      <c r="E31" s="2914" t="str">
        <f t="shared" si="1"/>
        <v>商业</v>
      </c>
      <c r="F31" s="2914" t="s">
        <v>3140</v>
      </c>
      <c r="G31" s="2915">
        <v>60.69</v>
      </c>
      <c r="H31" s="2915">
        <f t="shared" si="0"/>
        <v>10.66</v>
      </c>
      <c r="Q31" s="3004">
        <v>27</v>
      </c>
      <c r="R31" s="2999" t="s">
        <v>3140</v>
      </c>
      <c r="S31" s="3000">
        <v>60.69</v>
      </c>
      <c r="T31" s="3000">
        <v>1</v>
      </c>
      <c r="U31" s="3000">
        <v>17260</v>
      </c>
      <c r="V31" s="3000">
        <v>105</v>
      </c>
    </row>
    <row r="32" spans="4:22" ht="14.25" thickBot="1">
      <c r="D32" s="2915">
        <v>28</v>
      </c>
      <c r="E32" s="2914" t="str">
        <f t="shared" si="1"/>
        <v>商业</v>
      </c>
      <c r="F32" s="2914" t="s">
        <v>3141</v>
      </c>
      <c r="G32" s="2915">
        <v>60.69</v>
      </c>
      <c r="H32" s="2915">
        <f t="shared" si="0"/>
        <v>10.66</v>
      </c>
      <c r="Q32" s="3004">
        <v>28</v>
      </c>
      <c r="R32" s="2999" t="s">
        <v>3141</v>
      </c>
      <c r="S32" s="3000">
        <v>60.69</v>
      </c>
      <c r="T32" s="3000">
        <v>1</v>
      </c>
      <c r="U32" s="3000">
        <v>17260</v>
      </c>
      <c r="V32" s="3000">
        <v>105</v>
      </c>
    </row>
    <row r="33" spans="4:22" ht="14.25" thickBot="1">
      <c r="D33" s="2915">
        <v>29</v>
      </c>
      <c r="E33" s="2914" t="str">
        <f t="shared" si="1"/>
        <v>商业</v>
      </c>
      <c r="F33" s="2914" t="s">
        <v>3142</v>
      </c>
      <c r="G33" s="2915">
        <v>60.69</v>
      </c>
      <c r="H33" s="2915">
        <f t="shared" si="0"/>
        <v>10.66</v>
      </c>
      <c r="Q33" s="3004">
        <v>29</v>
      </c>
      <c r="R33" s="2999" t="s">
        <v>3142</v>
      </c>
      <c r="S33" s="3000">
        <v>60.69</v>
      </c>
      <c r="T33" s="3000">
        <v>1</v>
      </c>
      <c r="U33" s="3000">
        <v>17260</v>
      </c>
      <c r="V33" s="3000">
        <v>105</v>
      </c>
    </row>
    <row r="34" spans="4:22" ht="14.25" thickBot="1">
      <c r="D34" s="2915">
        <v>30</v>
      </c>
      <c r="E34" s="2914" t="str">
        <f t="shared" si="1"/>
        <v>商业</v>
      </c>
      <c r="F34" s="2914" t="s">
        <v>3143</v>
      </c>
      <c r="G34" s="2915">
        <v>60.69</v>
      </c>
      <c r="H34" s="2915">
        <f t="shared" si="0"/>
        <v>10.66</v>
      </c>
      <c r="Q34" s="3004">
        <v>30</v>
      </c>
      <c r="R34" s="2999" t="s">
        <v>3143</v>
      </c>
      <c r="S34" s="3000">
        <v>60.69</v>
      </c>
      <c r="T34" s="3000">
        <v>1</v>
      </c>
      <c r="U34" s="3000">
        <v>17260</v>
      </c>
      <c r="V34" s="3000">
        <v>105</v>
      </c>
    </row>
    <row r="35" spans="4:22" ht="14.25" thickBot="1">
      <c r="D35" s="2915">
        <v>31</v>
      </c>
      <c r="E35" s="2914" t="str">
        <f t="shared" si="1"/>
        <v>商业</v>
      </c>
      <c r="F35" s="2914" t="s">
        <v>3144</v>
      </c>
      <c r="G35" s="2915">
        <v>48.86</v>
      </c>
      <c r="H35" s="2915">
        <f t="shared" si="0"/>
        <v>8.58</v>
      </c>
      <c r="Q35" s="3004">
        <v>31</v>
      </c>
      <c r="R35" s="2999" t="s">
        <v>3144</v>
      </c>
      <c r="S35" s="3000">
        <v>48.86</v>
      </c>
      <c r="T35" s="3000">
        <v>1</v>
      </c>
      <c r="U35" s="3000">
        <v>17260</v>
      </c>
      <c r="V35" s="3000">
        <v>84</v>
      </c>
    </row>
    <row r="36" spans="4:22" ht="14.25" thickBot="1">
      <c r="D36" s="2915">
        <v>32</v>
      </c>
      <c r="E36" s="2914" t="str">
        <f t="shared" si="1"/>
        <v>商业</v>
      </c>
      <c r="F36" s="2914" t="s">
        <v>3145</v>
      </c>
      <c r="G36" s="2915">
        <v>48.86</v>
      </c>
      <c r="H36" s="2915">
        <f t="shared" si="0"/>
        <v>8.58</v>
      </c>
      <c r="Q36" s="3004">
        <v>32</v>
      </c>
      <c r="R36" s="2999" t="s">
        <v>3145</v>
      </c>
      <c r="S36" s="3000">
        <v>48.86</v>
      </c>
      <c r="T36" s="3000">
        <v>1</v>
      </c>
      <c r="U36" s="3000">
        <v>17260</v>
      </c>
      <c r="V36" s="3000">
        <v>84</v>
      </c>
    </row>
    <row r="37" spans="4:22" ht="14.25" thickBot="1">
      <c r="D37" s="2915">
        <v>33</v>
      </c>
      <c r="E37" s="2914" t="str">
        <f t="shared" si="1"/>
        <v>商业</v>
      </c>
      <c r="F37" s="2914" t="s">
        <v>3146</v>
      </c>
      <c r="G37" s="2915">
        <v>48.86</v>
      </c>
      <c r="H37" s="2915">
        <f t="shared" si="0"/>
        <v>8.58</v>
      </c>
      <c r="Q37" s="3004">
        <v>33</v>
      </c>
      <c r="R37" s="2999" t="s">
        <v>3146</v>
      </c>
      <c r="S37" s="3000">
        <v>48.86</v>
      </c>
      <c r="T37" s="3000">
        <v>1</v>
      </c>
      <c r="U37" s="3000">
        <v>17260</v>
      </c>
      <c r="V37" s="3000">
        <v>84</v>
      </c>
    </row>
    <row r="38" spans="4:22" ht="14.25" thickBot="1">
      <c r="D38" s="2915">
        <v>34</v>
      </c>
      <c r="E38" s="2914" t="str">
        <f t="shared" si="1"/>
        <v>商业</v>
      </c>
      <c r="F38" s="2914" t="s">
        <v>3147</v>
      </c>
      <c r="G38" s="2915">
        <v>54.87</v>
      </c>
      <c r="H38" s="2915">
        <f t="shared" si="0"/>
        <v>9.6300000000000008</v>
      </c>
      <c r="Q38" s="3004">
        <v>34</v>
      </c>
      <c r="R38" s="2999" t="s">
        <v>3147</v>
      </c>
      <c r="S38" s="3000">
        <v>54.87</v>
      </c>
      <c r="T38" s="3000">
        <v>1</v>
      </c>
      <c r="U38" s="3000">
        <v>17260</v>
      </c>
      <c r="V38" s="3000">
        <v>95</v>
      </c>
    </row>
    <row r="39" spans="4:22" ht="14.25" thickBot="1">
      <c r="D39" s="2915">
        <v>35</v>
      </c>
      <c r="E39" s="2914" t="str">
        <f t="shared" si="1"/>
        <v>商业</v>
      </c>
      <c r="F39" s="2914" t="s">
        <v>3148</v>
      </c>
      <c r="G39" s="2915">
        <v>88.13</v>
      </c>
      <c r="H39" s="2915">
        <f t="shared" si="0"/>
        <v>15.47</v>
      </c>
      <c r="Q39" s="3004">
        <v>35</v>
      </c>
      <c r="R39" s="2999" t="s">
        <v>3148</v>
      </c>
      <c r="S39" s="3000">
        <v>88.13</v>
      </c>
      <c r="T39" s="3000">
        <v>1</v>
      </c>
      <c r="U39" s="3000">
        <v>17260</v>
      </c>
      <c r="V39" s="3000">
        <v>152</v>
      </c>
    </row>
    <row r="40" spans="4:22" ht="14.25" thickBot="1">
      <c r="D40" s="2915">
        <v>36</v>
      </c>
      <c r="E40" s="2914" t="str">
        <f t="shared" si="1"/>
        <v>商业</v>
      </c>
      <c r="F40" s="2914" t="s">
        <v>3149</v>
      </c>
      <c r="G40" s="2915">
        <v>5.81</v>
      </c>
      <c r="H40" s="2915">
        <f t="shared" si="0"/>
        <v>1.02</v>
      </c>
      <c r="Q40" s="3004">
        <v>36</v>
      </c>
      <c r="R40" s="2999" t="s">
        <v>3149</v>
      </c>
      <c r="S40" s="3000">
        <v>5.81</v>
      </c>
      <c r="T40" s="3000">
        <v>1</v>
      </c>
      <c r="U40" s="3000">
        <v>17260</v>
      </c>
      <c r="V40" s="3000">
        <v>10</v>
      </c>
    </row>
    <row r="41" spans="4:22" ht="14.25" thickBot="1">
      <c r="D41" s="2915">
        <v>37</v>
      </c>
      <c r="E41" s="2914" t="str">
        <f t="shared" si="1"/>
        <v>商业</v>
      </c>
      <c r="F41" s="2914">
        <v>402</v>
      </c>
      <c r="G41" s="2915">
        <v>434.15</v>
      </c>
      <c r="H41" s="2915">
        <f>ROUND(G41/$N$7*$M$7,2)-0.51</f>
        <v>75.72</v>
      </c>
      <c r="Q41" s="3004">
        <v>37</v>
      </c>
      <c r="R41" s="2999">
        <v>402</v>
      </c>
      <c r="S41" s="3000">
        <v>434.15</v>
      </c>
      <c r="T41" s="3000">
        <v>0.96</v>
      </c>
      <c r="U41" s="3000">
        <v>16570</v>
      </c>
      <c r="V41" s="3000">
        <v>719</v>
      </c>
    </row>
    <row r="42" spans="4:22" ht="14.25" thickBot="1">
      <c r="D42" s="2915">
        <v>38</v>
      </c>
      <c r="E42" s="2914" t="str">
        <f t="shared" si="1"/>
        <v>商业</v>
      </c>
      <c r="F42" s="2914" t="s">
        <v>3150</v>
      </c>
      <c r="G42" s="2915">
        <v>49.61</v>
      </c>
      <c r="H42" s="2915">
        <f t="shared" si="0"/>
        <v>8.7100000000000009</v>
      </c>
      <c r="Q42" s="3004">
        <v>38</v>
      </c>
      <c r="R42" s="2999" t="s">
        <v>4720</v>
      </c>
      <c r="S42" s="3000">
        <v>49.61</v>
      </c>
      <c r="T42" s="3000">
        <v>1</v>
      </c>
      <c r="U42" s="3000">
        <v>17260</v>
      </c>
      <c r="V42" s="3000">
        <v>86</v>
      </c>
    </row>
    <row r="43" spans="4:22" ht="14.25" thickBot="1">
      <c r="D43" s="2915">
        <v>39</v>
      </c>
      <c r="E43" s="2914" t="str">
        <f t="shared" si="1"/>
        <v>商业</v>
      </c>
      <c r="F43" s="2914" t="s">
        <v>3151</v>
      </c>
      <c r="G43" s="2915">
        <v>50.63</v>
      </c>
      <c r="H43" s="2915">
        <f t="shared" si="0"/>
        <v>8.89</v>
      </c>
      <c r="Q43" s="3004">
        <v>39</v>
      </c>
      <c r="R43" s="2999" t="s">
        <v>3151</v>
      </c>
      <c r="S43" s="3000">
        <v>50.63</v>
      </c>
      <c r="T43" s="3000">
        <v>1</v>
      </c>
      <c r="U43" s="3000">
        <v>17260</v>
      </c>
      <c r="V43" s="3000">
        <v>87</v>
      </c>
    </row>
    <row r="44" spans="4:22" ht="14.25" thickBot="1">
      <c r="D44" s="2915">
        <v>40</v>
      </c>
      <c r="E44" s="2914" t="str">
        <f t="shared" si="1"/>
        <v>商业</v>
      </c>
      <c r="F44" s="2914" t="s">
        <v>3152</v>
      </c>
      <c r="G44" s="2915">
        <v>50.63</v>
      </c>
      <c r="H44" s="2915">
        <f t="shared" si="0"/>
        <v>8.89</v>
      </c>
      <c r="Q44" s="3004">
        <v>40</v>
      </c>
      <c r="R44" s="2999" t="s">
        <v>3152</v>
      </c>
      <c r="S44" s="3000">
        <v>50.63</v>
      </c>
      <c r="T44" s="3000">
        <v>1</v>
      </c>
      <c r="U44" s="3000">
        <v>17260</v>
      </c>
      <c r="V44" s="3000">
        <v>87</v>
      </c>
    </row>
    <row r="45" spans="4:22" ht="14.25" thickBot="1">
      <c r="D45" s="2915">
        <v>41</v>
      </c>
      <c r="E45" s="2914" t="str">
        <f t="shared" si="1"/>
        <v>商业</v>
      </c>
      <c r="F45" s="2914" t="s">
        <v>3153</v>
      </c>
      <c r="G45" s="2915">
        <v>50.63</v>
      </c>
      <c r="H45" s="2915">
        <f t="shared" si="0"/>
        <v>8.89</v>
      </c>
      <c r="Q45" s="3004">
        <v>41</v>
      </c>
      <c r="R45" s="2999" t="s">
        <v>3153</v>
      </c>
      <c r="S45" s="3000">
        <v>50.63</v>
      </c>
      <c r="T45" s="3000">
        <v>1</v>
      </c>
      <c r="U45" s="3000">
        <v>17260</v>
      </c>
      <c r="V45" s="3000">
        <v>87</v>
      </c>
    </row>
    <row r="46" spans="4:22" ht="14.25" thickBot="1">
      <c r="D46" s="2915">
        <v>42</v>
      </c>
      <c r="E46" s="2914" t="str">
        <f t="shared" si="1"/>
        <v>商业</v>
      </c>
      <c r="F46" s="2914" t="s">
        <v>3154</v>
      </c>
      <c r="G46" s="2915">
        <v>50.63</v>
      </c>
      <c r="H46" s="2915">
        <f t="shared" si="0"/>
        <v>8.89</v>
      </c>
      <c r="Q46" s="3004">
        <v>42</v>
      </c>
      <c r="R46" s="2999" t="s">
        <v>3154</v>
      </c>
      <c r="S46" s="3000">
        <v>50.63</v>
      </c>
      <c r="T46" s="3000">
        <v>1</v>
      </c>
      <c r="U46" s="3000">
        <v>17260</v>
      </c>
      <c r="V46" s="3000">
        <v>87</v>
      </c>
    </row>
    <row r="47" spans="4:22" ht="14.25" thickBot="1">
      <c r="D47" s="2915">
        <v>43</v>
      </c>
      <c r="E47" s="2914" t="str">
        <f t="shared" si="1"/>
        <v>商业</v>
      </c>
      <c r="F47" s="2914" t="s">
        <v>3155</v>
      </c>
      <c r="G47" s="2915">
        <v>50.63</v>
      </c>
      <c r="H47" s="2915">
        <f t="shared" si="0"/>
        <v>8.89</v>
      </c>
      <c r="Q47" s="3004">
        <v>43</v>
      </c>
      <c r="R47" s="2999" t="s">
        <v>3155</v>
      </c>
      <c r="S47" s="3000">
        <v>50.63</v>
      </c>
      <c r="T47" s="3000">
        <v>1</v>
      </c>
      <c r="U47" s="3000">
        <v>17260</v>
      </c>
      <c r="V47" s="3000">
        <v>87</v>
      </c>
    </row>
    <row r="48" spans="4:22" ht="14.25" thickBot="1">
      <c r="D48" s="2915">
        <v>44</v>
      </c>
      <c r="E48" s="2914" t="str">
        <f t="shared" si="1"/>
        <v>商业</v>
      </c>
      <c r="F48" s="2914" t="s">
        <v>3156</v>
      </c>
      <c r="G48" s="2915">
        <v>50.63</v>
      </c>
      <c r="H48" s="2915">
        <f t="shared" si="0"/>
        <v>8.89</v>
      </c>
      <c r="Q48" s="3004">
        <v>44</v>
      </c>
      <c r="R48" s="2999" t="s">
        <v>3156</v>
      </c>
      <c r="S48" s="3000">
        <v>50.63</v>
      </c>
      <c r="T48" s="3000">
        <v>1</v>
      </c>
      <c r="U48" s="3000">
        <v>17260</v>
      </c>
      <c r="V48" s="3000">
        <v>87</v>
      </c>
    </row>
    <row r="49" spans="4:22" ht="14.25" thickBot="1">
      <c r="D49" s="2915">
        <v>45</v>
      </c>
      <c r="E49" s="2914" t="str">
        <f t="shared" si="1"/>
        <v>商业</v>
      </c>
      <c r="F49" s="2914" t="s">
        <v>3157</v>
      </c>
      <c r="G49" s="2915">
        <v>50.63</v>
      </c>
      <c r="H49" s="2915">
        <f t="shared" si="0"/>
        <v>8.89</v>
      </c>
      <c r="Q49" s="3004">
        <v>45</v>
      </c>
      <c r="R49" s="2999" t="s">
        <v>3157</v>
      </c>
      <c r="S49" s="3000">
        <v>50.63</v>
      </c>
      <c r="T49" s="3000">
        <v>1</v>
      </c>
      <c r="U49" s="3000">
        <v>17260</v>
      </c>
      <c r="V49" s="3000">
        <v>87</v>
      </c>
    </row>
    <row r="50" spans="4:22" ht="14.25" thickBot="1">
      <c r="D50" s="2915">
        <v>46</v>
      </c>
      <c r="E50" s="2914" t="str">
        <f t="shared" si="1"/>
        <v>商业</v>
      </c>
      <c r="F50" s="2914" t="s">
        <v>3158</v>
      </c>
      <c r="G50" s="2915">
        <v>50.63</v>
      </c>
      <c r="H50" s="2915">
        <f t="shared" si="0"/>
        <v>8.89</v>
      </c>
      <c r="Q50" s="3004">
        <v>46</v>
      </c>
      <c r="R50" s="2999" t="s">
        <v>3158</v>
      </c>
      <c r="S50" s="3000">
        <v>50.63</v>
      </c>
      <c r="T50" s="3000">
        <v>1</v>
      </c>
      <c r="U50" s="3000">
        <v>17260</v>
      </c>
      <c r="V50" s="3000">
        <v>87</v>
      </c>
    </row>
    <row r="51" spans="4:22" ht="14.25" thickBot="1">
      <c r="D51" s="2915">
        <v>47</v>
      </c>
      <c r="E51" s="2914" t="str">
        <f t="shared" si="1"/>
        <v>商业</v>
      </c>
      <c r="F51" s="2914" t="s">
        <v>3159</v>
      </c>
      <c r="G51" s="2915">
        <v>50.63</v>
      </c>
      <c r="H51" s="2915">
        <f t="shared" si="0"/>
        <v>8.89</v>
      </c>
      <c r="Q51" s="3004">
        <v>47</v>
      </c>
      <c r="R51" s="2999" t="s">
        <v>3159</v>
      </c>
      <c r="S51" s="3000">
        <v>50.63</v>
      </c>
      <c r="T51" s="3000">
        <v>1</v>
      </c>
      <c r="U51" s="3000">
        <v>17260</v>
      </c>
      <c r="V51" s="3000">
        <v>87</v>
      </c>
    </row>
    <row r="52" spans="4:22" ht="14.25" thickBot="1">
      <c r="D52" s="2915">
        <v>48</v>
      </c>
      <c r="E52" s="2914" t="str">
        <f t="shared" si="1"/>
        <v>商业</v>
      </c>
      <c r="F52" s="2914" t="s">
        <v>3160</v>
      </c>
      <c r="G52" s="2915">
        <v>50.63</v>
      </c>
      <c r="H52" s="2915">
        <f t="shared" si="0"/>
        <v>8.89</v>
      </c>
      <c r="Q52" s="3004">
        <v>48</v>
      </c>
      <c r="R52" s="2999" t="s">
        <v>3160</v>
      </c>
      <c r="S52" s="3000">
        <v>50.63</v>
      </c>
      <c r="T52" s="3000">
        <v>1</v>
      </c>
      <c r="U52" s="3000">
        <v>17260</v>
      </c>
      <c r="V52" s="3000">
        <v>87</v>
      </c>
    </row>
    <row r="53" spans="4:22" ht="14.25" thickBot="1">
      <c r="D53" s="2915">
        <v>49</v>
      </c>
      <c r="E53" s="2914" t="str">
        <f t="shared" si="1"/>
        <v>商业</v>
      </c>
      <c r="F53" s="2914" t="s">
        <v>3161</v>
      </c>
      <c r="G53" s="2915">
        <v>49.53</v>
      </c>
      <c r="H53" s="2915">
        <f t="shared" si="0"/>
        <v>8.6999999999999993</v>
      </c>
      <c r="Q53" s="3004">
        <v>49</v>
      </c>
      <c r="R53" s="2999" t="s">
        <v>3161</v>
      </c>
      <c r="S53" s="3000">
        <v>49.53</v>
      </c>
      <c r="T53" s="3000">
        <v>1</v>
      </c>
      <c r="U53" s="3000">
        <v>17260</v>
      </c>
      <c r="V53" s="3000">
        <v>85</v>
      </c>
    </row>
    <row r="54" spans="4:22" ht="14.25" thickBot="1">
      <c r="D54" s="2915">
        <v>50</v>
      </c>
      <c r="E54" s="2914" t="str">
        <f t="shared" si="1"/>
        <v>商业</v>
      </c>
      <c r="F54" s="2914" t="s">
        <v>3162</v>
      </c>
      <c r="G54" s="2915">
        <v>55.7</v>
      </c>
      <c r="H54" s="2915">
        <f t="shared" si="0"/>
        <v>9.7799999999999994</v>
      </c>
      <c r="Q54" s="3004">
        <v>50</v>
      </c>
      <c r="R54" s="2999" t="s">
        <v>3162</v>
      </c>
      <c r="S54" s="3000">
        <v>55.7</v>
      </c>
      <c r="T54" s="3000">
        <v>1</v>
      </c>
      <c r="U54" s="3000">
        <v>17260</v>
      </c>
      <c r="V54" s="3000">
        <v>96</v>
      </c>
    </row>
    <row r="55" spans="4:22" ht="14.25" thickBot="1">
      <c r="D55" s="2915">
        <v>51</v>
      </c>
      <c r="E55" s="2914" t="str">
        <f t="shared" si="1"/>
        <v>商业</v>
      </c>
      <c r="F55" s="2914" t="s">
        <v>3163</v>
      </c>
      <c r="G55" s="2915">
        <v>60.21</v>
      </c>
      <c r="H55" s="2915">
        <f t="shared" si="0"/>
        <v>10.57</v>
      </c>
      <c r="Q55" s="3004">
        <v>51</v>
      </c>
      <c r="R55" s="2999" t="s">
        <v>3163</v>
      </c>
      <c r="S55" s="3000">
        <v>60.21</v>
      </c>
      <c r="T55" s="3000">
        <v>1</v>
      </c>
      <c r="U55" s="3000">
        <v>17260</v>
      </c>
      <c r="V55" s="3000">
        <v>104</v>
      </c>
    </row>
    <row r="56" spans="4:22" ht="14.25" thickBot="1">
      <c r="D56" s="2915">
        <v>52</v>
      </c>
      <c r="E56" s="2914" t="str">
        <f t="shared" si="1"/>
        <v>商业</v>
      </c>
      <c r="F56" s="2914" t="s">
        <v>3164</v>
      </c>
      <c r="G56" s="2915">
        <v>58.75</v>
      </c>
      <c r="H56" s="2915">
        <f t="shared" si="0"/>
        <v>10.32</v>
      </c>
      <c r="Q56" s="3004">
        <v>52</v>
      </c>
      <c r="R56" s="2999" t="s">
        <v>3164</v>
      </c>
      <c r="S56" s="3000">
        <v>58.75</v>
      </c>
      <c r="T56" s="3000">
        <v>1</v>
      </c>
      <c r="U56" s="3000">
        <v>17260</v>
      </c>
      <c r="V56" s="3000">
        <v>101</v>
      </c>
    </row>
    <row r="57" spans="4:22" ht="14.25" thickBot="1">
      <c r="D57" s="2915">
        <v>53</v>
      </c>
      <c r="E57" s="2914" t="str">
        <f t="shared" si="1"/>
        <v>商业</v>
      </c>
      <c r="F57" s="2914" t="s">
        <v>3165</v>
      </c>
      <c r="G57" s="2915">
        <v>61.88</v>
      </c>
      <c r="H57" s="2915">
        <f t="shared" si="0"/>
        <v>10.87</v>
      </c>
      <c r="Q57" s="3004">
        <v>53</v>
      </c>
      <c r="R57" s="2999" t="s">
        <v>3165</v>
      </c>
      <c r="S57" s="3000">
        <v>61.88</v>
      </c>
      <c r="T57" s="3000">
        <v>1</v>
      </c>
      <c r="U57" s="3000">
        <v>17260</v>
      </c>
      <c r="V57" s="3000">
        <v>107</v>
      </c>
    </row>
    <row r="58" spans="4:22" ht="14.25" thickBot="1">
      <c r="D58" s="2915">
        <v>54</v>
      </c>
      <c r="E58" s="2914" t="str">
        <f t="shared" si="1"/>
        <v>商业</v>
      </c>
      <c r="F58" s="2914" t="s">
        <v>3166</v>
      </c>
      <c r="G58" s="2915">
        <v>61.41</v>
      </c>
      <c r="H58" s="2915">
        <f t="shared" si="0"/>
        <v>10.78</v>
      </c>
      <c r="Q58" s="3004">
        <v>54</v>
      </c>
      <c r="R58" s="2999" t="s">
        <v>3166</v>
      </c>
      <c r="S58" s="3000">
        <v>61.41</v>
      </c>
      <c r="T58" s="3000">
        <v>1</v>
      </c>
      <c r="U58" s="3000">
        <v>17260</v>
      </c>
      <c r="V58" s="3000">
        <v>106</v>
      </c>
    </row>
    <row r="59" spans="4:22" ht="14.25" thickBot="1">
      <c r="D59" s="2915">
        <v>55</v>
      </c>
      <c r="E59" s="2914" t="str">
        <f t="shared" si="1"/>
        <v>商业</v>
      </c>
      <c r="F59" s="2914" t="s">
        <v>3167</v>
      </c>
      <c r="G59" s="2915">
        <v>61.41</v>
      </c>
      <c r="H59" s="2915">
        <f t="shared" si="0"/>
        <v>10.78</v>
      </c>
      <c r="Q59" s="3004">
        <v>55</v>
      </c>
      <c r="R59" s="2999" t="s">
        <v>3167</v>
      </c>
      <c r="S59" s="3000">
        <v>61.41</v>
      </c>
      <c r="T59" s="3000">
        <v>1</v>
      </c>
      <c r="U59" s="3000">
        <v>17260</v>
      </c>
      <c r="V59" s="3000">
        <v>106</v>
      </c>
    </row>
    <row r="60" spans="4:22" ht="14.25" thickBot="1">
      <c r="D60" s="2915">
        <v>56</v>
      </c>
      <c r="E60" s="2914" t="str">
        <f t="shared" si="1"/>
        <v>商业</v>
      </c>
      <c r="F60" s="2914" t="s">
        <v>3168</v>
      </c>
      <c r="G60" s="2915">
        <v>61.41</v>
      </c>
      <c r="H60" s="2915">
        <f t="shared" si="0"/>
        <v>10.78</v>
      </c>
      <c r="Q60" s="3004">
        <v>56</v>
      </c>
      <c r="R60" s="2999" t="s">
        <v>3168</v>
      </c>
      <c r="S60" s="3000">
        <v>61.41</v>
      </c>
      <c r="T60" s="3000">
        <v>1</v>
      </c>
      <c r="U60" s="3000">
        <v>17260</v>
      </c>
      <c r="V60" s="3000">
        <v>106</v>
      </c>
    </row>
    <row r="61" spans="4:22" ht="14.25" thickBot="1">
      <c r="D61" s="2915">
        <v>57</v>
      </c>
      <c r="E61" s="2914" t="str">
        <f t="shared" si="1"/>
        <v>商业</v>
      </c>
      <c r="F61" s="2914" t="s">
        <v>3169</v>
      </c>
      <c r="G61" s="2915">
        <v>65.760000000000005</v>
      </c>
      <c r="H61" s="2915">
        <f t="shared" si="0"/>
        <v>11.55</v>
      </c>
      <c r="Q61" s="3004">
        <v>57</v>
      </c>
      <c r="R61" s="2999" t="s">
        <v>4721</v>
      </c>
      <c r="S61" s="3000">
        <v>65.760000000000005</v>
      </c>
      <c r="T61" s="3000">
        <v>1</v>
      </c>
      <c r="U61" s="3000">
        <v>17260</v>
      </c>
      <c r="V61" s="3000">
        <v>114</v>
      </c>
    </row>
    <row r="62" spans="4:22" ht="14.25" thickBot="1">
      <c r="D62" s="2915">
        <v>58</v>
      </c>
      <c r="E62" s="2914" t="str">
        <f t="shared" si="1"/>
        <v>商业</v>
      </c>
      <c r="F62" s="2914" t="s">
        <v>3170</v>
      </c>
      <c r="G62" s="2915">
        <v>59.41</v>
      </c>
      <c r="H62" s="2915">
        <f t="shared" si="0"/>
        <v>10.43</v>
      </c>
      <c r="Q62" s="3004">
        <v>58</v>
      </c>
      <c r="R62" s="2999" t="s">
        <v>3170</v>
      </c>
      <c r="S62" s="3000">
        <v>59.41</v>
      </c>
      <c r="T62" s="3000">
        <v>1</v>
      </c>
      <c r="U62" s="3000">
        <v>17260</v>
      </c>
      <c r="V62" s="3000">
        <v>103</v>
      </c>
    </row>
    <row r="63" spans="4:22" ht="14.25" thickBot="1">
      <c r="D63" s="2915">
        <v>59</v>
      </c>
      <c r="E63" s="2914" t="str">
        <f t="shared" si="1"/>
        <v>商业</v>
      </c>
      <c r="F63" s="2914" t="s">
        <v>3171</v>
      </c>
      <c r="G63" s="2915">
        <v>60.69</v>
      </c>
      <c r="H63" s="2915">
        <f t="shared" si="0"/>
        <v>10.66</v>
      </c>
      <c r="Q63" s="3004">
        <v>59</v>
      </c>
      <c r="R63" s="2999" t="s">
        <v>3171</v>
      </c>
      <c r="S63" s="3000">
        <v>60.69</v>
      </c>
      <c r="T63" s="3000">
        <v>1</v>
      </c>
      <c r="U63" s="3000">
        <v>17260</v>
      </c>
      <c r="V63" s="3000">
        <v>105</v>
      </c>
    </row>
    <row r="64" spans="4:22" ht="14.25" thickBot="1">
      <c r="D64" s="2915">
        <v>60</v>
      </c>
      <c r="E64" s="2914" t="str">
        <f t="shared" si="1"/>
        <v>商业</v>
      </c>
      <c r="F64" s="2914" t="s">
        <v>3172</v>
      </c>
      <c r="G64" s="2915">
        <v>60.69</v>
      </c>
      <c r="H64" s="2915">
        <f t="shared" si="0"/>
        <v>10.66</v>
      </c>
      <c r="Q64" s="3004">
        <v>60</v>
      </c>
      <c r="R64" s="2999" t="s">
        <v>3172</v>
      </c>
      <c r="S64" s="3000">
        <v>60.69</v>
      </c>
      <c r="T64" s="3000">
        <v>1</v>
      </c>
      <c r="U64" s="3000">
        <v>17260</v>
      </c>
      <c r="V64" s="3000">
        <v>105</v>
      </c>
    </row>
    <row r="65" spans="4:22" ht="14.25" thickBot="1">
      <c r="D65" s="2915">
        <v>61</v>
      </c>
      <c r="E65" s="2915"/>
      <c r="F65" s="2914" t="s">
        <v>3173</v>
      </c>
      <c r="G65" s="2915">
        <v>60.69</v>
      </c>
      <c r="H65" s="2915">
        <f t="shared" si="0"/>
        <v>10.66</v>
      </c>
      <c r="Q65" s="3004">
        <v>61</v>
      </c>
      <c r="R65" s="2999" t="s">
        <v>3173</v>
      </c>
      <c r="S65" s="3000">
        <v>60.69</v>
      </c>
      <c r="T65" s="3000">
        <v>1</v>
      </c>
      <c r="U65" s="3000">
        <v>17260</v>
      </c>
      <c r="V65" s="3000">
        <v>105</v>
      </c>
    </row>
    <row r="66" spans="4:22" ht="14.25" thickBot="1">
      <c r="D66" s="2915">
        <v>62</v>
      </c>
      <c r="E66" s="2915"/>
      <c r="F66" s="2914" t="s">
        <v>3174</v>
      </c>
      <c r="G66" s="2915">
        <v>60.69</v>
      </c>
      <c r="H66" s="2915">
        <f t="shared" si="0"/>
        <v>10.66</v>
      </c>
      <c r="Q66" s="3004">
        <v>62</v>
      </c>
      <c r="R66" s="2999" t="s">
        <v>3174</v>
      </c>
      <c r="S66" s="3000">
        <v>60.69</v>
      </c>
      <c r="T66" s="3000">
        <v>1</v>
      </c>
      <c r="U66" s="3000">
        <v>17260</v>
      </c>
      <c r="V66" s="3000">
        <v>105</v>
      </c>
    </row>
    <row r="67" spans="4:22" ht="14.25" thickBot="1">
      <c r="D67" s="2915">
        <v>63</v>
      </c>
      <c r="E67" s="2915"/>
      <c r="F67" s="2914" t="s">
        <v>3175</v>
      </c>
      <c r="G67" s="2915">
        <v>60.69</v>
      </c>
      <c r="H67" s="2915">
        <f t="shared" si="0"/>
        <v>10.66</v>
      </c>
      <c r="Q67" s="3004">
        <v>63</v>
      </c>
      <c r="R67" s="2999" t="s">
        <v>3175</v>
      </c>
      <c r="S67" s="3000">
        <v>60.69</v>
      </c>
      <c r="T67" s="3000">
        <v>1</v>
      </c>
      <c r="U67" s="3000">
        <v>17260</v>
      </c>
      <c r="V67" s="3000">
        <v>105</v>
      </c>
    </row>
    <row r="68" spans="4:22" ht="14.25" thickBot="1">
      <c r="D68" s="2915">
        <v>64</v>
      </c>
      <c r="E68" s="2915"/>
      <c r="F68" s="2914" t="s">
        <v>3176</v>
      </c>
      <c r="G68" s="2915">
        <v>60.69</v>
      </c>
      <c r="H68" s="2915">
        <f t="shared" si="0"/>
        <v>10.66</v>
      </c>
      <c r="Q68" s="3004">
        <v>64</v>
      </c>
      <c r="R68" s="2999" t="s">
        <v>3176</v>
      </c>
      <c r="S68" s="3000">
        <v>60.69</v>
      </c>
      <c r="T68" s="3000">
        <v>1</v>
      </c>
      <c r="U68" s="3000">
        <v>17260</v>
      </c>
      <c r="V68" s="3000">
        <v>105</v>
      </c>
    </row>
    <row r="69" spans="4:22" ht="14.25" thickBot="1">
      <c r="D69" s="2915">
        <v>65</v>
      </c>
      <c r="E69" s="2915"/>
      <c r="F69" s="2914" t="s">
        <v>3177</v>
      </c>
      <c r="G69" s="2915">
        <v>60.69</v>
      </c>
      <c r="H69" s="2915">
        <f t="shared" si="0"/>
        <v>10.66</v>
      </c>
      <c r="Q69" s="3004">
        <v>65</v>
      </c>
      <c r="R69" s="2999" t="s">
        <v>3177</v>
      </c>
      <c r="S69" s="3000">
        <v>60.69</v>
      </c>
      <c r="T69" s="3000">
        <v>1</v>
      </c>
      <c r="U69" s="3000">
        <v>17260</v>
      </c>
      <c r="V69" s="3000">
        <v>105</v>
      </c>
    </row>
    <row r="70" spans="4:22" ht="14.25" thickBot="1">
      <c r="D70" s="2915">
        <v>66</v>
      </c>
      <c r="E70" s="2915"/>
      <c r="F70" s="2914" t="s">
        <v>3178</v>
      </c>
      <c r="G70" s="2915">
        <v>60.69</v>
      </c>
      <c r="H70" s="2915">
        <f t="shared" ref="H70:H133" si="2">ROUND(G70/$N$7*$M$7,2)</f>
        <v>10.66</v>
      </c>
      <c r="Q70" s="3004">
        <v>66</v>
      </c>
      <c r="R70" s="2999" t="s">
        <v>3178</v>
      </c>
      <c r="S70" s="3000">
        <v>60.69</v>
      </c>
      <c r="T70" s="3000">
        <v>1</v>
      </c>
      <c r="U70" s="3000">
        <v>17260</v>
      </c>
      <c r="V70" s="3000">
        <v>105</v>
      </c>
    </row>
    <row r="71" spans="4:22" ht="14.25" thickBot="1">
      <c r="D71" s="2915">
        <v>67</v>
      </c>
      <c r="E71" s="2915"/>
      <c r="F71" s="2914" t="s">
        <v>3179</v>
      </c>
      <c r="G71" s="2915">
        <v>60.69</v>
      </c>
      <c r="H71" s="2915">
        <f t="shared" si="2"/>
        <v>10.66</v>
      </c>
      <c r="Q71" s="3004">
        <v>67</v>
      </c>
      <c r="R71" s="2999" t="s">
        <v>3179</v>
      </c>
      <c r="S71" s="3000">
        <v>60.69</v>
      </c>
      <c r="T71" s="3000">
        <v>1</v>
      </c>
      <c r="U71" s="3000">
        <v>17260</v>
      </c>
      <c r="V71" s="3000">
        <v>105</v>
      </c>
    </row>
    <row r="72" spans="4:22" ht="14.25" thickBot="1">
      <c r="D72" s="2915">
        <v>68</v>
      </c>
      <c r="E72" s="2915"/>
      <c r="F72" s="2914" t="s">
        <v>3180</v>
      </c>
      <c r="G72" s="2915">
        <v>48.86</v>
      </c>
      <c r="H72" s="2915">
        <f t="shared" si="2"/>
        <v>8.58</v>
      </c>
      <c r="Q72" s="3004">
        <v>68</v>
      </c>
      <c r="R72" s="2999" t="s">
        <v>3180</v>
      </c>
      <c r="S72" s="3000">
        <v>48.86</v>
      </c>
      <c r="T72" s="3000">
        <v>1</v>
      </c>
      <c r="U72" s="3000">
        <v>17260</v>
      </c>
      <c r="V72" s="3000">
        <v>84</v>
      </c>
    </row>
    <row r="73" spans="4:22" ht="14.25" thickBot="1">
      <c r="D73" s="2915">
        <v>69</v>
      </c>
      <c r="E73" s="2915"/>
      <c r="F73" s="2914" t="s">
        <v>3181</v>
      </c>
      <c r="G73" s="2915">
        <v>48.86</v>
      </c>
      <c r="H73" s="2915">
        <f t="shared" si="2"/>
        <v>8.58</v>
      </c>
      <c r="Q73" s="3004">
        <v>69</v>
      </c>
      <c r="R73" s="2999" t="s">
        <v>3181</v>
      </c>
      <c r="S73" s="3000">
        <v>48.86</v>
      </c>
      <c r="T73" s="3000">
        <v>1</v>
      </c>
      <c r="U73" s="3000">
        <v>17260</v>
      </c>
      <c r="V73" s="3000">
        <v>84</v>
      </c>
    </row>
    <row r="74" spans="4:22" ht="14.25" thickBot="1">
      <c r="D74" s="2915">
        <v>70</v>
      </c>
      <c r="E74" s="2915"/>
      <c r="F74" s="2914" t="s">
        <v>3182</v>
      </c>
      <c r="G74" s="2915">
        <v>48.86</v>
      </c>
      <c r="H74" s="2915">
        <f t="shared" si="2"/>
        <v>8.58</v>
      </c>
      <c r="Q74" s="3004">
        <v>70</v>
      </c>
      <c r="R74" s="2999" t="s">
        <v>3182</v>
      </c>
      <c r="S74" s="3000">
        <v>48.86</v>
      </c>
      <c r="T74" s="3000">
        <v>1</v>
      </c>
      <c r="U74" s="3000">
        <v>17260</v>
      </c>
      <c r="V74" s="3000">
        <v>84</v>
      </c>
    </row>
    <row r="75" spans="4:22" ht="14.25" thickBot="1">
      <c r="D75" s="2915">
        <v>71</v>
      </c>
      <c r="E75" s="2915"/>
      <c r="F75" s="2914" t="s">
        <v>3183</v>
      </c>
      <c r="G75" s="2915">
        <v>54.87</v>
      </c>
      <c r="H75" s="2915">
        <f t="shared" si="2"/>
        <v>9.6300000000000008</v>
      </c>
      <c r="Q75" s="3004">
        <v>71</v>
      </c>
      <c r="R75" s="2999" t="s">
        <v>3183</v>
      </c>
      <c r="S75" s="3000">
        <v>54.87</v>
      </c>
      <c r="T75" s="3000">
        <v>1</v>
      </c>
      <c r="U75" s="3000">
        <v>17260</v>
      </c>
      <c r="V75" s="3000">
        <v>95</v>
      </c>
    </row>
    <row r="76" spans="4:22" ht="14.25" thickBot="1">
      <c r="D76" s="2915">
        <v>72</v>
      </c>
      <c r="E76" s="2915"/>
      <c r="F76" s="2914" t="s">
        <v>3184</v>
      </c>
      <c r="G76" s="2915">
        <v>88.13</v>
      </c>
      <c r="H76" s="2915">
        <f t="shared" si="2"/>
        <v>15.47</v>
      </c>
      <c r="Q76" s="3004">
        <v>72</v>
      </c>
      <c r="R76" s="2999" t="s">
        <v>3184</v>
      </c>
      <c r="S76" s="3000">
        <v>88.13</v>
      </c>
      <c r="T76" s="3000">
        <v>1</v>
      </c>
      <c r="U76" s="3000">
        <v>17260</v>
      </c>
      <c r="V76" s="3000">
        <v>152</v>
      </c>
    </row>
    <row r="77" spans="4:22" ht="14.25" thickBot="1">
      <c r="D77" s="2915">
        <v>73</v>
      </c>
      <c r="E77" s="2915"/>
      <c r="F77" s="2914" t="s">
        <v>3185</v>
      </c>
      <c r="G77" s="2915">
        <v>5.81</v>
      </c>
      <c r="H77" s="2915">
        <f t="shared" si="2"/>
        <v>1.02</v>
      </c>
      <c r="Q77" s="3004">
        <v>73</v>
      </c>
      <c r="R77" s="2999" t="s">
        <v>3185</v>
      </c>
      <c r="S77" s="3000">
        <v>5.81</v>
      </c>
      <c r="T77" s="3000">
        <v>1</v>
      </c>
      <c r="U77" s="3000">
        <v>17260</v>
      </c>
      <c r="V77" s="3000">
        <v>10</v>
      </c>
    </row>
    <row r="78" spans="4:22" ht="14.25" thickBot="1">
      <c r="D78" s="2915">
        <v>74</v>
      </c>
      <c r="E78" s="2915"/>
      <c r="F78" s="2915">
        <v>502</v>
      </c>
      <c r="G78" s="2915">
        <v>430.34</v>
      </c>
      <c r="H78" s="2915">
        <f t="shared" si="2"/>
        <v>75.56</v>
      </c>
      <c r="Q78" s="3004">
        <v>74</v>
      </c>
      <c r="R78" s="2999">
        <v>502</v>
      </c>
      <c r="S78" s="3000">
        <v>430.34</v>
      </c>
      <c r="T78" s="3000">
        <v>0.96</v>
      </c>
      <c r="U78" s="3000">
        <v>16570</v>
      </c>
      <c r="V78" s="3000">
        <v>713</v>
      </c>
    </row>
    <row r="79" spans="4:22" ht="14.25" thickBot="1">
      <c r="D79" s="2915">
        <v>75</v>
      </c>
      <c r="E79" s="2915"/>
      <c r="F79" s="2914" t="s">
        <v>3186</v>
      </c>
      <c r="G79" s="2915">
        <v>49.61</v>
      </c>
      <c r="H79" s="2915">
        <f t="shared" si="2"/>
        <v>8.7100000000000009</v>
      </c>
      <c r="Q79" s="3004">
        <v>75</v>
      </c>
      <c r="R79" s="2999" t="s">
        <v>4722</v>
      </c>
      <c r="S79" s="3000">
        <v>49.61</v>
      </c>
      <c r="T79" s="3000">
        <v>1</v>
      </c>
      <c r="U79" s="3000">
        <v>17260</v>
      </c>
      <c r="V79" s="3000">
        <v>86</v>
      </c>
    </row>
    <row r="80" spans="4:22" ht="14.25" thickBot="1">
      <c r="D80" s="2915">
        <v>76</v>
      </c>
      <c r="E80" s="2915"/>
      <c r="F80" s="2914" t="s">
        <v>3187</v>
      </c>
      <c r="G80" s="2915">
        <v>50.63</v>
      </c>
      <c r="H80" s="2915">
        <f t="shared" si="2"/>
        <v>8.89</v>
      </c>
      <c r="Q80" s="3004">
        <v>76</v>
      </c>
      <c r="R80" s="2999" t="s">
        <v>4723</v>
      </c>
      <c r="S80" s="3000">
        <v>50.63</v>
      </c>
      <c r="T80" s="3000">
        <v>1</v>
      </c>
      <c r="U80" s="3000">
        <v>17260</v>
      </c>
      <c r="V80" s="3000">
        <v>87</v>
      </c>
    </row>
    <row r="81" spans="4:22" ht="14.25" thickBot="1">
      <c r="D81" s="2915">
        <v>77</v>
      </c>
      <c r="E81" s="2915"/>
      <c r="F81" s="2914" t="s">
        <v>3188</v>
      </c>
      <c r="G81" s="2915">
        <v>50.63</v>
      </c>
      <c r="H81" s="2915">
        <f t="shared" si="2"/>
        <v>8.89</v>
      </c>
      <c r="Q81" s="3004">
        <v>77</v>
      </c>
      <c r="R81" s="2999" t="s">
        <v>4724</v>
      </c>
      <c r="S81" s="3000">
        <v>50.63</v>
      </c>
      <c r="T81" s="3000">
        <v>1</v>
      </c>
      <c r="U81" s="3000">
        <v>17260</v>
      </c>
      <c r="V81" s="3000">
        <v>87</v>
      </c>
    </row>
    <row r="82" spans="4:22" ht="14.25" thickBot="1">
      <c r="D82" s="2915">
        <v>78</v>
      </c>
      <c r="E82" s="2915"/>
      <c r="F82" s="2914" t="s">
        <v>3189</v>
      </c>
      <c r="G82" s="2915">
        <v>50.63</v>
      </c>
      <c r="H82" s="2915">
        <f t="shared" si="2"/>
        <v>8.89</v>
      </c>
      <c r="Q82" s="3004">
        <v>78</v>
      </c>
      <c r="R82" s="2999" t="s">
        <v>4725</v>
      </c>
      <c r="S82" s="3000">
        <v>50.63</v>
      </c>
      <c r="T82" s="3000">
        <v>1</v>
      </c>
      <c r="U82" s="3000">
        <v>17260</v>
      </c>
      <c r="V82" s="3000">
        <v>87</v>
      </c>
    </row>
    <row r="83" spans="4:22" ht="14.25" thickBot="1">
      <c r="D83" s="2915">
        <v>79</v>
      </c>
      <c r="E83" s="2915"/>
      <c r="F83" s="2914" t="s">
        <v>3190</v>
      </c>
      <c r="G83" s="2915">
        <v>50.63</v>
      </c>
      <c r="H83" s="2915">
        <f t="shared" si="2"/>
        <v>8.89</v>
      </c>
      <c r="Q83" s="3004">
        <v>79</v>
      </c>
      <c r="R83" s="2999" t="s">
        <v>4726</v>
      </c>
      <c r="S83" s="3000">
        <v>50.63</v>
      </c>
      <c r="T83" s="3000">
        <v>1</v>
      </c>
      <c r="U83" s="3000">
        <v>17260</v>
      </c>
      <c r="V83" s="3000">
        <v>87</v>
      </c>
    </row>
    <row r="84" spans="4:22" ht="14.25" thickBot="1">
      <c r="D84" s="2915">
        <v>80</v>
      </c>
      <c r="E84" s="2915"/>
      <c r="F84" s="2914" t="s">
        <v>3191</v>
      </c>
      <c r="G84" s="2915">
        <v>50.63</v>
      </c>
      <c r="H84" s="2915">
        <f t="shared" si="2"/>
        <v>8.89</v>
      </c>
      <c r="Q84" s="3004">
        <v>80</v>
      </c>
      <c r="R84" s="2999" t="s">
        <v>4727</v>
      </c>
      <c r="S84" s="3000">
        <v>50.63</v>
      </c>
      <c r="T84" s="3000">
        <v>1</v>
      </c>
      <c r="U84" s="3000">
        <v>17260</v>
      </c>
      <c r="V84" s="3000">
        <v>87</v>
      </c>
    </row>
    <row r="85" spans="4:22" ht="14.25" thickBot="1">
      <c r="D85" s="2915">
        <v>81</v>
      </c>
      <c r="E85" s="2915"/>
      <c r="F85" s="2914" t="s">
        <v>3192</v>
      </c>
      <c r="G85" s="2915">
        <v>50.63</v>
      </c>
      <c r="H85" s="2915">
        <f t="shared" si="2"/>
        <v>8.89</v>
      </c>
      <c r="Q85" s="3004">
        <v>81</v>
      </c>
      <c r="R85" s="2999" t="s">
        <v>4728</v>
      </c>
      <c r="S85" s="3000">
        <v>50.63</v>
      </c>
      <c r="T85" s="3000">
        <v>1</v>
      </c>
      <c r="U85" s="3000">
        <v>17260</v>
      </c>
      <c r="V85" s="3000">
        <v>87</v>
      </c>
    </row>
    <row r="86" spans="4:22" ht="14.25" thickBot="1">
      <c r="D86" s="2915">
        <v>82</v>
      </c>
      <c r="E86" s="2915"/>
      <c r="F86" s="2914" t="s">
        <v>3193</v>
      </c>
      <c r="G86" s="2915">
        <v>50.63</v>
      </c>
      <c r="H86" s="2915">
        <f t="shared" si="2"/>
        <v>8.89</v>
      </c>
      <c r="Q86" s="3004">
        <v>82</v>
      </c>
      <c r="R86" s="2999" t="s">
        <v>4729</v>
      </c>
      <c r="S86" s="3000">
        <v>50.63</v>
      </c>
      <c r="T86" s="3000">
        <v>1</v>
      </c>
      <c r="U86" s="3000">
        <v>17260</v>
      </c>
      <c r="V86" s="3000">
        <v>87</v>
      </c>
    </row>
    <row r="87" spans="4:22" ht="14.25" thickBot="1">
      <c r="D87" s="2915">
        <v>83</v>
      </c>
      <c r="E87" s="2915"/>
      <c r="F87" s="2914" t="s">
        <v>3194</v>
      </c>
      <c r="G87" s="2915">
        <v>50.63</v>
      </c>
      <c r="H87" s="2915">
        <f t="shared" si="2"/>
        <v>8.89</v>
      </c>
      <c r="Q87" s="3004">
        <v>83</v>
      </c>
      <c r="R87" s="2999" t="s">
        <v>4730</v>
      </c>
      <c r="S87" s="3000">
        <v>50.63</v>
      </c>
      <c r="T87" s="3000">
        <v>1</v>
      </c>
      <c r="U87" s="3000">
        <v>17260</v>
      </c>
      <c r="V87" s="3000">
        <v>87</v>
      </c>
    </row>
    <row r="88" spans="4:22" ht="14.25" thickBot="1">
      <c r="D88" s="2915">
        <v>84</v>
      </c>
      <c r="E88" s="2915"/>
      <c r="F88" s="2914" t="s">
        <v>3195</v>
      </c>
      <c r="G88" s="2915">
        <v>50.63</v>
      </c>
      <c r="H88" s="2915">
        <f t="shared" si="2"/>
        <v>8.89</v>
      </c>
      <c r="Q88" s="3004">
        <v>84</v>
      </c>
      <c r="R88" s="2999" t="s">
        <v>4731</v>
      </c>
      <c r="S88" s="3000">
        <v>50.63</v>
      </c>
      <c r="T88" s="3000">
        <v>1</v>
      </c>
      <c r="U88" s="3000">
        <v>17260</v>
      </c>
      <c r="V88" s="3000">
        <v>87</v>
      </c>
    </row>
    <row r="89" spans="4:22" ht="14.25" thickBot="1">
      <c r="D89" s="2915">
        <v>85</v>
      </c>
      <c r="E89" s="2915"/>
      <c r="F89" s="2914" t="s">
        <v>3196</v>
      </c>
      <c r="G89" s="2915">
        <v>50.63</v>
      </c>
      <c r="H89" s="2915">
        <f t="shared" si="2"/>
        <v>8.89</v>
      </c>
      <c r="Q89" s="3004">
        <v>85</v>
      </c>
      <c r="R89" s="2999" t="s">
        <v>4732</v>
      </c>
      <c r="S89" s="3000">
        <v>50.63</v>
      </c>
      <c r="T89" s="3000">
        <v>1</v>
      </c>
      <c r="U89" s="3000">
        <v>17260</v>
      </c>
      <c r="V89" s="3000">
        <v>87</v>
      </c>
    </row>
    <row r="90" spans="4:22" ht="14.25" thickBot="1">
      <c r="D90" s="2915">
        <v>86</v>
      </c>
      <c r="E90" s="2915"/>
      <c r="F90" s="2914" t="s">
        <v>3197</v>
      </c>
      <c r="G90" s="2915">
        <v>49.53</v>
      </c>
      <c r="H90" s="2915">
        <f t="shared" si="2"/>
        <v>8.6999999999999993</v>
      </c>
      <c r="Q90" s="3004">
        <v>86</v>
      </c>
      <c r="R90" s="2999" t="s">
        <v>4733</v>
      </c>
      <c r="S90" s="3000">
        <v>49.53</v>
      </c>
      <c r="T90" s="3000">
        <v>1</v>
      </c>
      <c r="U90" s="3000">
        <v>17260</v>
      </c>
      <c r="V90" s="3000">
        <v>85</v>
      </c>
    </row>
    <row r="91" spans="4:22" ht="14.25" thickBot="1">
      <c r="D91" s="2915">
        <v>87</v>
      </c>
      <c r="E91" s="2915"/>
      <c r="F91" s="2914" t="s">
        <v>3198</v>
      </c>
      <c r="G91" s="2915">
        <v>55.7</v>
      </c>
      <c r="H91" s="2915">
        <f t="shared" si="2"/>
        <v>9.7799999999999994</v>
      </c>
      <c r="Q91" s="3004">
        <v>87</v>
      </c>
      <c r="R91" s="2999" t="s">
        <v>4734</v>
      </c>
      <c r="S91" s="3000">
        <v>55.7</v>
      </c>
      <c r="T91" s="3000">
        <v>1</v>
      </c>
      <c r="U91" s="3000">
        <v>17260</v>
      </c>
      <c r="V91" s="3000">
        <v>96</v>
      </c>
    </row>
    <row r="92" spans="4:22" ht="14.25" thickBot="1">
      <c r="D92" s="2915">
        <v>88</v>
      </c>
      <c r="E92" s="2915"/>
      <c r="F92" s="2914" t="s">
        <v>3199</v>
      </c>
      <c r="G92" s="2915">
        <v>60.21</v>
      </c>
      <c r="H92" s="2915">
        <f t="shared" si="2"/>
        <v>10.57</v>
      </c>
      <c r="Q92" s="3004">
        <v>88</v>
      </c>
      <c r="R92" s="2999" t="s">
        <v>4735</v>
      </c>
      <c r="S92" s="3000">
        <v>60.21</v>
      </c>
      <c r="T92" s="3000">
        <v>1</v>
      </c>
      <c r="U92" s="3000">
        <v>17260</v>
      </c>
      <c r="V92" s="3000">
        <v>104</v>
      </c>
    </row>
    <row r="93" spans="4:22" ht="14.25" thickBot="1">
      <c r="D93" s="2915">
        <v>89</v>
      </c>
      <c r="E93" s="2915"/>
      <c r="F93" s="2914" t="s">
        <v>3200</v>
      </c>
      <c r="G93" s="2915">
        <v>58.75</v>
      </c>
      <c r="H93" s="2915">
        <f t="shared" si="2"/>
        <v>10.32</v>
      </c>
      <c r="Q93" s="3004">
        <v>89</v>
      </c>
      <c r="R93" s="2999" t="s">
        <v>4736</v>
      </c>
      <c r="S93" s="3000">
        <v>58.75</v>
      </c>
      <c r="T93" s="3000">
        <v>1</v>
      </c>
      <c r="U93" s="3000">
        <v>17260</v>
      </c>
      <c r="V93" s="3000">
        <v>101</v>
      </c>
    </row>
    <row r="94" spans="4:22" ht="14.25" thickBot="1">
      <c r="D94" s="2915">
        <v>90</v>
      </c>
      <c r="E94" s="2915"/>
      <c r="F94" s="2914" t="s">
        <v>3201</v>
      </c>
      <c r="G94" s="2915">
        <v>61.88</v>
      </c>
      <c r="H94" s="2915">
        <f t="shared" si="2"/>
        <v>10.87</v>
      </c>
      <c r="Q94" s="3004">
        <v>90</v>
      </c>
      <c r="R94" s="2999" t="s">
        <v>4737</v>
      </c>
      <c r="S94" s="3000">
        <v>61.88</v>
      </c>
      <c r="T94" s="3000">
        <v>1</v>
      </c>
      <c r="U94" s="3000">
        <v>17260</v>
      </c>
      <c r="V94" s="3000">
        <v>107</v>
      </c>
    </row>
    <row r="95" spans="4:22" ht="14.25" thickBot="1">
      <c r="D95" s="2915">
        <v>91</v>
      </c>
      <c r="E95" s="2915"/>
      <c r="F95" s="2914" t="s">
        <v>3202</v>
      </c>
      <c r="G95" s="2915">
        <v>61.41</v>
      </c>
      <c r="H95" s="2915">
        <f t="shared" si="2"/>
        <v>10.78</v>
      </c>
      <c r="Q95" s="3004">
        <v>91</v>
      </c>
      <c r="R95" s="2999" t="s">
        <v>4738</v>
      </c>
      <c r="S95" s="3000">
        <v>61.41</v>
      </c>
      <c r="T95" s="3000">
        <v>1</v>
      </c>
      <c r="U95" s="3000">
        <v>17260</v>
      </c>
      <c r="V95" s="3000">
        <v>106</v>
      </c>
    </row>
    <row r="96" spans="4:22" ht="14.25" thickBot="1">
      <c r="D96" s="2915">
        <v>92</v>
      </c>
      <c r="E96" s="2915"/>
      <c r="F96" s="2914" t="s">
        <v>3203</v>
      </c>
      <c r="G96" s="2915">
        <v>61.41</v>
      </c>
      <c r="H96" s="2915">
        <f t="shared" si="2"/>
        <v>10.78</v>
      </c>
      <c r="Q96" s="3004">
        <v>92</v>
      </c>
      <c r="R96" s="2999" t="s">
        <v>4739</v>
      </c>
      <c r="S96" s="3000">
        <v>61.41</v>
      </c>
      <c r="T96" s="3000">
        <v>1</v>
      </c>
      <c r="U96" s="3000">
        <v>17260</v>
      </c>
      <c r="V96" s="3000">
        <v>106</v>
      </c>
    </row>
    <row r="97" spans="4:22" ht="14.25" thickBot="1">
      <c r="D97" s="2915">
        <v>93</v>
      </c>
      <c r="E97" s="2915"/>
      <c r="F97" s="2914" t="s">
        <v>3204</v>
      </c>
      <c r="G97" s="2915">
        <v>61.41</v>
      </c>
      <c r="H97" s="2915">
        <f t="shared" si="2"/>
        <v>10.78</v>
      </c>
      <c r="Q97" s="3004">
        <v>93</v>
      </c>
      <c r="R97" s="2999" t="s">
        <v>4740</v>
      </c>
      <c r="S97" s="3000">
        <v>61.41</v>
      </c>
      <c r="T97" s="3000">
        <v>1</v>
      </c>
      <c r="U97" s="3000">
        <v>17260</v>
      </c>
      <c r="V97" s="3000">
        <v>106</v>
      </c>
    </row>
    <row r="98" spans="4:22" ht="14.25" thickBot="1">
      <c r="D98" s="2915">
        <v>94</v>
      </c>
      <c r="E98" s="2915"/>
      <c r="F98" s="2914" t="s">
        <v>3205</v>
      </c>
      <c r="G98" s="2915">
        <v>65.760000000000005</v>
      </c>
      <c r="H98" s="2915">
        <f t="shared" si="2"/>
        <v>11.55</v>
      </c>
      <c r="Q98" s="3004">
        <v>94</v>
      </c>
      <c r="R98" s="2999" t="s">
        <v>4741</v>
      </c>
      <c r="S98" s="3000">
        <v>65.760000000000005</v>
      </c>
      <c r="T98" s="3000">
        <v>1</v>
      </c>
      <c r="U98" s="3000">
        <v>17260</v>
      </c>
      <c r="V98" s="3000">
        <v>114</v>
      </c>
    </row>
    <row r="99" spans="4:22" ht="14.25" thickBot="1">
      <c r="D99" s="2915">
        <v>95</v>
      </c>
      <c r="E99" s="2915"/>
      <c r="F99" s="2914" t="s">
        <v>3206</v>
      </c>
      <c r="G99" s="2915">
        <v>59.41</v>
      </c>
      <c r="H99" s="2915">
        <f t="shared" si="2"/>
        <v>10.43</v>
      </c>
      <c r="Q99" s="3004">
        <v>95</v>
      </c>
      <c r="R99" s="2999" t="s">
        <v>4742</v>
      </c>
      <c r="S99" s="3000">
        <v>59.41</v>
      </c>
      <c r="T99" s="3000">
        <v>1</v>
      </c>
      <c r="U99" s="3000">
        <v>17260</v>
      </c>
      <c r="V99" s="3000">
        <v>103</v>
      </c>
    </row>
    <row r="100" spans="4:22" ht="14.25" thickBot="1">
      <c r="D100" s="2915">
        <v>96</v>
      </c>
      <c r="E100" s="2915"/>
      <c r="F100" s="2914" t="s">
        <v>3207</v>
      </c>
      <c r="G100" s="2915">
        <v>60.69</v>
      </c>
      <c r="H100" s="2915">
        <f t="shared" si="2"/>
        <v>10.66</v>
      </c>
      <c r="Q100" s="3004">
        <v>96</v>
      </c>
      <c r="R100" s="2999" t="s">
        <v>4743</v>
      </c>
      <c r="S100" s="3000">
        <v>60.69</v>
      </c>
      <c r="T100" s="3000">
        <v>1</v>
      </c>
      <c r="U100" s="3000">
        <v>17260</v>
      </c>
      <c r="V100" s="3000">
        <v>105</v>
      </c>
    </row>
    <row r="101" spans="4:22" ht="14.25" thickBot="1">
      <c r="D101" s="2915">
        <v>97</v>
      </c>
      <c r="E101" s="2915"/>
      <c r="F101" s="2914" t="s">
        <v>3208</v>
      </c>
      <c r="G101" s="2915">
        <v>60.69</v>
      </c>
      <c r="H101" s="2915">
        <f t="shared" si="2"/>
        <v>10.66</v>
      </c>
      <c r="Q101" s="3004">
        <v>97</v>
      </c>
      <c r="R101" s="2999" t="s">
        <v>4744</v>
      </c>
      <c r="S101" s="3000">
        <v>60.69</v>
      </c>
      <c r="T101" s="3000">
        <v>1</v>
      </c>
      <c r="U101" s="3000">
        <v>17260</v>
      </c>
      <c r="V101" s="3000">
        <v>105</v>
      </c>
    </row>
    <row r="102" spans="4:22" ht="14.25" thickBot="1">
      <c r="D102" s="2915">
        <v>98</v>
      </c>
      <c r="E102" s="2915"/>
      <c r="F102" s="2914" t="s">
        <v>3209</v>
      </c>
      <c r="G102" s="2915">
        <v>60.69</v>
      </c>
      <c r="H102" s="2915">
        <f t="shared" si="2"/>
        <v>10.66</v>
      </c>
      <c r="Q102" s="3004">
        <v>98</v>
      </c>
      <c r="R102" s="2999" t="s">
        <v>4745</v>
      </c>
      <c r="S102" s="3000">
        <v>60.69</v>
      </c>
      <c r="T102" s="3000">
        <v>1</v>
      </c>
      <c r="U102" s="3000">
        <v>17260</v>
      </c>
      <c r="V102" s="3000">
        <v>105</v>
      </c>
    </row>
    <row r="103" spans="4:22" ht="14.25" thickBot="1">
      <c r="D103" s="2915">
        <v>99</v>
      </c>
      <c r="E103" s="2915"/>
      <c r="F103" s="2914" t="s">
        <v>3210</v>
      </c>
      <c r="G103" s="2915">
        <v>60.69</v>
      </c>
      <c r="H103" s="2915">
        <f t="shared" si="2"/>
        <v>10.66</v>
      </c>
      <c r="Q103" s="3004">
        <v>99</v>
      </c>
      <c r="R103" s="2999" t="s">
        <v>4746</v>
      </c>
      <c r="S103" s="3000">
        <v>60.69</v>
      </c>
      <c r="T103" s="3000">
        <v>1</v>
      </c>
      <c r="U103" s="3000">
        <v>17260</v>
      </c>
      <c r="V103" s="3000">
        <v>105</v>
      </c>
    </row>
    <row r="104" spans="4:22" ht="14.25" thickBot="1">
      <c r="D104" s="2915">
        <v>100</v>
      </c>
      <c r="E104" s="2915"/>
      <c r="F104" s="2914" t="s">
        <v>3211</v>
      </c>
      <c r="G104" s="2915">
        <v>60.69</v>
      </c>
      <c r="H104" s="2915">
        <f t="shared" si="2"/>
        <v>10.66</v>
      </c>
      <c r="Q104" s="3004">
        <v>100</v>
      </c>
      <c r="R104" s="2999" t="s">
        <v>4747</v>
      </c>
      <c r="S104" s="3000">
        <v>60.69</v>
      </c>
      <c r="T104" s="3000">
        <v>1</v>
      </c>
      <c r="U104" s="3000">
        <v>17260</v>
      </c>
      <c r="V104" s="3000">
        <v>105</v>
      </c>
    </row>
    <row r="105" spans="4:22" ht="14.25" thickBot="1">
      <c r="D105" s="2915">
        <v>101</v>
      </c>
      <c r="E105" s="2915"/>
      <c r="F105" s="2914" t="s">
        <v>3212</v>
      </c>
      <c r="G105" s="2915">
        <v>60.69</v>
      </c>
      <c r="H105" s="2915">
        <f t="shared" si="2"/>
        <v>10.66</v>
      </c>
      <c r="Q105" s="3004">
        <v>101</v>
      </c>
      <c r="R105" s="2999" t="s">
        <v>4748</v>
      </c>
      <c r="S105" s="3000">
        <v>60.69</v>
      </c>
      <c r="T105" s="3000">
        <v>1</v>
      </c>
      <c r="U105" s="3000">
        <v>17260</v>
      </c>
      <c r="V105" s="3000">
        <v>105</v>
      </c>
    </row>
    <row r="106" spans="4:22" ht="14.25" thickBot="1">
      <c r="D106" s="2915">
        <v>102</v>
      </c>
      <c r="E106" s="2915"/>
      <c r="F106" s="2914" t="s">
        <v>3213</v>
      </c>
      <c r="G106" s="2915">
        <v>60.69</v>
      </c>
      <c r="H106" s="2915">
        <f t="shared" si="2"/>
        <v>10.66</v>
      </c>
      <c r="Q106" s="3004">
        <v>102</v>
      </c>
      <c r="R106" s="2999" t="s">
        <v>4749</v>
      </c>
      <c r="S106" s="3000">
        <v>60.69</v>
      </c>
      <c r="T106" s="3000">
        <v>1</v>
      </c>
      <c r="U106" s="3000">
        <v>17260</v>
      </c>
      <c r="V106" s="3000">
        <v>105</v>
      </c>
    </row>
    <row r="107" spans="4:22" ht="14.25" thickBot="1">
      <c r="D107" s="2915">
        <v>103</v>
      </c>
      <c r="E107" s="2915"/>
      <c r="F107" s="2914" t="s">
        <v>3214</v>
      </c>
      <c r="G107" s="2915">
        <v>60.69</v>
      </c>
      <c r="H107" s="2915">
        <f t="shared" si="2"/>
        <v>10.66</v>
      </c>
      <c r="Q107" s="3004">
        <v>103</v>
      </c>
      <c r="R107" s="2999" t="s">
        <v>4750</v>
      </c>
      <c r="S107" s="3000">
        <v>60.69</v>
      </c>
      <c r="T107" s="3000">
        <v>1</v>
      </c>
      <c r="U107" s="3000">
        <v>17260</v>
      </c>
      <c r="V107" s="3000">
        <v>105</v>
      </c>
    </row>
    <row r="108" spans="4:22" ht="14.25" thickBot="1">
      <c r="D108" s="2915">
        <v>104</v>
      </c>
      <c r="E108" s="2915"/>
      <c r="F108" s="2914" t="s">
        <v>3215</v>
      </c>
      <c r="G108" s="2915">
        <v>60.69</v>
      </c>
      <c r="H108" s="2915">
        <f t="shared" si="2"/>
        <v>10.66</v>
      </c>
      <c r="Q108" s="3004">
        <v>104</v>
      </c>
      <c r="R108" s="2999" t="s">
        <v>4751</v>
      </c>
      <c r="S108" s="3000">
        <v>60.69</v>
      </c>
      <c r="T108" s="3000">
        <v>1</v>
      </c>
      <c r="U108" s="3000">
        <v>17260</v>
      </c>
      <c r="V108" s="3000">
        <v>105</v>
      </c>
    </row>
    <row r="109" spans="4:22" ht="14.25" thickBot="1">
      <c r="D109" s="2915">
        <v>105</v>
      </c>
      <c r="E109" s="2915"/>
      <c r="F109" s="2914" t="s">
        <v>3216</v>
      </c>
      <c r="G109" s="2915">
        <v>48.86</v>
      </c>
      <c r="H109" s="2915">
        <f t="shared" si="2"/>
        <v>8.58</v>
      </c>
      <c r="Q109" s="3004">
        <v>105</v>
      </c>
      <c r="R109" s="2999" t="s">
        <v>4752</v>
      </c>
      <c r="S109" s="3000">
        <v>48.86</v>
      </c>
      <c r="T109" s="3000">
        <v>1</v>
      </c>
      <c r="U109" s="3000">
        <v>17260</v>
      </c>
      <c r="V109" s="3000">
        <v>84</v>
      </c>
    </row>
    <row r="110" spans="4:22" ht="14.25" thickBot="1">
      <c r="D110" s="2915">
        <v>106</v>
      </c>
      <c r="E110" s="2915"/>
      <c r="F110" s="2914" t="s">
        <v>3217</v>
      </c>
      <c r="G110" s="2915">
        <v>48.86</v>
      </c>
      <c r="H110" s="2915">
        <f t="shared" si="2"/>
        <v>8.58</v>
      </c>
      <c r="Q110" s="3004">
        <v>106</v>
      </c>
      <c r="R110" s="2999" t="s">
        <v>4753</v>
      </c>
      <c r="S110" s="3000">
        <v>48.86</v>
      </c>
      <c r="T110" s="3000">
        <v>1</v>
      </c>
      <c r="U110" s="3000">
        <v>17260</v>
      </c>
      <c r="V110" s="3000">
        <v>84</v>
      </c>
    </row>
    <row r="111" spans="4:22" ht="14.25" thickBot="1">
      <c r="D111" s="2915">
        <v>107</v>
      </c>
      <c r="E111" s="2915"/>
      <c r="F111" s="2914" t="s">
        <v>3218</v>
      </c>
      <c r="G111" s="2915">
        <v>48.86</v>
      </c>
      <c r="H111" s="2915">
        <f t="shared" si="2"/>
        <v>8.58</v>
      </c>
      <c r="Q111" s="3004">
        <v>107</v>
      </c>
      <c r="R111" s="2999" t="s">
        <v>4754</v>
      </c>
      <c r="S111" s="3000">
        <v>48.86</v>
      </c>
      <c r="T111" s="3000">
        <v>1</v>
      </c>
      <c r="U111" s="3000">
        <v>17260</v>
      </c>
      <c r="V111" s="3000">
        <v>84</v>
      </c>
    </row>
    <row r="112" spans="4:22" ht="14.25" thickBot="1">
      <c r="D112" s="2915">
        <v>108</v>
      </c>
      <c r="E112" s="2915"/>
      <c r="F112" s="2914" t="s">
        <v>3219</v>
      </c>
      <c r="G112" s="2915">
        <v>54.87</v>
      </c>
      <c r="H112" s="2915">
        <f t="shared" si="2"/>
        <v>9.6300000000000008</v>
      </c>
      <c r="Q112" s="3004">
        <v>108</v>
      </c>
      <c r="R112" s="2999" t="s">
        <v>4755</v>
      </c>
      <c r="S112" s="3000">
        <v>54.87</v>
      </c>
      <c r="T112" s="3000">
        <v>1</v>
      </c>
      <c r="U112" s="3000">
        <v>17260</v>
      </c>
      <c r="V112" s="3000">
        <v>95</v>
      </c>
    </row>
    <row r="113" spans="4:22" ht="14.25" thickBot="1">
      <c r="D113" s="2915">
        <v>109</v>
      </c>
      <c r="E113" s="2915"/>
      <c r="F113" s="2914" t="s">
        <v>3220</v>
      </c>
      <c r="G113" s="2915">
        <v>88.13</v>
      </c>
      <c r="H113" s="2915">
        <f t="shared" si="2"/>
        <v>15.47</v>
      </c>
      <c r="Q113" s="3004">
        <v>109</v>
      </c>
      <c r="R113" s="2999" t="s">
        <v>4756</v>
      </c>
      <c r="S113" s="3000">
        <v>88.13</v>
      </c>
      <c r="T113" s="3000">
        <v>1</v>
      </c>
      <c r="U113" s="3000">
        <v>17260</v>
      </c>
      <c r="V113" s="3000">
        <v>152</v>
      </c>
    </row>
    <row r="114" spans="4:22" ht="14.25" thickBot="1">
      <c r="D114" s="2915">
        <v>110</v>
      </c>
      <c r="E114" s="2915"/>
      <c r="F114" s="2914" t="s">
        <v>3221</v>
      </c>
      <c r="G114" s="2915">
        <v>5.81</v>
      </c>
      <c r="H114" s="2915">
        <f t="shared" si="2"/>
        <v>1.02</v>
      </c>
      <c r="Q114" s="3004">
        <v>110</v>
      </c>
      <c r="R114" s="2999" t="s">
        <v>4757</v>
      </c>
      <c r="S114" s="3000">
        <v>5.81</v>
      </c>
      <c r="T114" s="3000">
        <v>1</v>
      </c>
      <c r="U114" s="3000">
        <v>17260</v>
      </c>
      <c r="V114" s="3000">
        <v>10</v>
      </c>
    </row>
    <row r="115" spans="4:22" ht="14.25" thickBot="1">
      <c r="D115" s="2915">
        <v>111</v>
      </c>
      <c r="E115" s="2915"/>
      <c r="F115" s="2914" t="s">
        <v>3222</v>
      </c>
      <c r="G115" s="2915">
        <v>186.33</v>
      </c>
      <c r="H115" s="2915">
        <f t="shared" si="2"/>
        <v>32.72</v>
      </c>
      <c r="Q115" s="3004">
        <v>111</v>
      </c>
      <c r="R115" s="2999" t="s">
        <v>4758</v>
      </c>
      <c r="S115" s="3000">
        <v>186.33</v>
      </c>
      <c r="T115" s="3000">
        <v>0.99</v>
      </c>
      <c r="U115" s="3000">
        <v>17087</v>
      </c>
      <c r="V115" s="3000">
        <v>318</v>
      </c>
    </row>
    <row r="116" spans="4:22" ht="14.25" thickBot="1">
      <c r="D116" s="2915">
        <v>112</v>
      </c>
      <c r="E116" s="2915"/>
      <c r="F116" s="2914" t="s">
        <v>3223</v>
      </c>
      <c r="G116" s="2915">
        <v>188.39</v>
      </c>
      <c r="H116" s="2915">
        <f t="shared" si="2"/>
        <v>33.08</v>
      </c>
      <c r="Q116" s="3004">
        <v>112</v>
      </c>
      <c r="R116" s="2999" t="s">
        <v>4759</v>
      </c>
      <c r="S116" s="3000">
        <v>188.39</v>
      </c>
      <c r="T116" s="3000">
        <v>0.99</v>
      </c>
      <c r="U116" s="3000">
        <v>17087</v>
      </c>
      <c r="V116" s="3000">
        <v>322</v>
      </c>
    </row>
    <row r="117" spans="4:22" ht="14.25" thickBot="1">
      <c r="D117" s="2915">
        <v>113</v>
      </c>
      <c r="E117" s="2915"/>
      <c r="F117" s="2914" t="s">
        <v>3224</v>
      </c>
      <c r="G117" s="2915">
        <v>188.39</v>
      </c>
      <c r="H117" s="2915">
        <f t="shared" si="2"/>
        <v>33.08</v>
      </c>
      <c r="Q117" s="3004">
        <v>113</v>
      </c>
      <c r="R117" s="2999" t="s">
        <v>4760</v>
      </c>
      <c r="S117" s="3000">
        <v>188.39</v>
      </c>
      <c r="T117" s="3000">
        <v>0.99</v>
      </c>
      <c r="U117" s="3000">
        <v>17087</v>
      </c>
      <c r="V117" s="3000">
        <v>322</v>
      </c>
    </row>
    <row r="118" spans="4:22" ht="14.25" thickBot="1">
      <c r="D118" s="2915">
        <v>114</v>
      </c>
      <c r="E118" s="2915"/>
      <c r="F118" s="2914" t="s">
        <v>3225</v>
      </c>
      <c r="G118" s="2915">
        <v>188.39</v>
      </c>
      <c r="H118" s="2915">
        <f t="shared" si="2"/>
        <v>33.08</v>
      </c>
      <c r="Q118" s="3004">
        <v>114</v>
      </c>
      <c r="R118" s="2999" t="s">
        <v>4761</v>
      </c>
      <c r="S118" s="3000">
        <v>188.39</v>
      </c>
      <c r="T118" s="3000">
        <v>0.99</v>
      </c>
      <c r="U118" s="3000">
        <v>17087</v>
      </c>
      <c r="V118" s="3000">
        <v>322</v>
      </c>
    </row>
    <row r="119" spans="4:22" ht="14.25" thickBot="1">
      <c r="D119" s="2915">
        <v>115</v>
      </c>
      <c r="E119" s="2915"/>
      <c r="F119" s="2914" t="s">
        <v>3226</v>
      </c>
      <c r="G119" s="2915">
        <v>188.39</v>
      </c>
      <c r="H119" s="2915">
        <f t="shared" si="2"/>
        <v>33.08</v>
      </c>
      <c r="Q119" s="3004">
        <v>115</v>
      </c>
      <c r="R119" s="2999" t="s">
        <v>4762</v>
      </c>
      <c r="S119" s="3000">
        <v>188.39</v>
      </c>
      <c r="T119" s="3000">
        <v>0.99</v>
      </c>
      <c r="U119" s="3000">
        <v>17087</v>
      </c>
      <c r="V119" s="3000">
        <v>322</v>
      </c>
    </row>
    <row r="120" spans="4:22" ht="14.25" thickBot="1">
      <c r="D120" s="2915">
        <v>116</v>
      </c>
      <c r="E120" s="2915"/>
      <c r="F120" s="2914" t="s">
        <v>3227</v>
      </c>
      <c r="G120" s="2915">
        <v>188.39</v>
      </c>
      <c r="H120" s="2915">
        <f t="shared" si="2"/>
        <v>33.08</v>
      </c>
      <c r="Q120" s="3004">
        <v>116</v>
      </c>
      <c r="R120" s="2999" t="s">
        <v>4763</v>
      </c>
      <c r="S120" s="3000">
        <v>188.39</v>
      </c>
      <c r="T120" s="3000">
        <v>0.99</v>
      </c>
      <c r="U120" s="3000">
        <v>17087</v>
      </c>
      <c r="V120" s="3000">
        <v>322</v>
      </c>
    </row>
    <row r="121" spans="4:22" ht="14.25" thickBot="1">
      <c r="D121" s="2915">
        <v>117</v>
      </c>
      <c r="E121" s="2915"/>
      <c r="F121" s="2914" t="s">
        <v>3228</v>
      </c>
      <c r="G121" s="2915">
        <v>187.53</v>
      </c>
      <c r="H121" s="2915">
        <f t="shared" si="2"/>
        <v>32.93</v>
      </c>
      <c r="Q121" s="3004">
        <v>117</v>
      </c>
      <c r="R121" s="2999" t="s">
        <v>4764</v>
      </c>
      <c r="S121" s="3000">
        <v>187.53</v>
      </c>
      <c r="T121" s="3000">
        <v>0.99</v>
      </c>
      <c r="U121" s="3000">
        <v>17087</v>
      </c>
      <c r="V121" s="3000">
        <v>320</v>
      </c>
    </row>
    <row r="122" spans="4:22" ht="14.25" thickBot="1">
      <c r="D122" s="2915">
        <v>118</v>
      </c>
      <c r="E122" s="2915"/>
      <c r="F122" s="2914" t="s">
        <v>3229</v>
      </c>
      <c r="G122" s="2915">
        <v>210.19</v>
      </c>
      <c r="H122" s="2915">
        <f t="shared" si="2"/>
        <v>36.909999999999997</v>
      </c>
      <c r="Q122" s="3004">
        <v>118</v>
      </c>
      <c r="R122" s="2999" t="s">
        <v>4765</v>
      </c>
      <c r="S122" s="3000">
        <v>210.19</v>
      </c>
      <c r="T122" s="3000">
        <v>0.98</v>
      </c>
      <c r="U122" s="3000">
        <v>16915</v>
      </c>
      <c r="V122" s="3000">
        <v>356</v>
      </c>
    </row>
    <row r="123" spans="4:22" ht="14.25" thickBot="1">
      <c r="D123" s="2915">
        <v>119</v>
      </c>
      <c r="E123" s="2915"/>
      <c r="F123" s="2914" t="s">
        <v>3230</v>
      </c>
      <c r="G123" s="2915">
        <v>169.2</v>
      </c>
      <c r="H123" s="2915">
        <f t="shared" si="2"/>
        <v>29.71</v>
      </c>
      <c r="Q123" s="3004">
        <v>119</v>
      </c>
      <c r="R123" s="2999" t="s">
        <v>4766</v>
      </c>
      <c r="S123" s="3000">
        <v>169.2</v>
      </c>
      <c r="T123" s="3000">
        <v>0.99</v>
      </c>
      <c r="U123" s="3000">
        <v>17087</v>
      </c>
      <c r="V123" s="3000">
        <v>289</v>
      </c>
    </row>
    <row r="124" spans="4:22" ht="14.25" thickBot="1">
      <c r="D124" s="2915">
        <v>120</v>
      </c>
      <c r="E124" s="2915"/>
      <c r="F124" s="2914" t="s">
        <v>3231</v>
      </c>
      <c r="G124" s="2915">
        <v>178.35</v>
      </c>
      <c r="H124" s="2915">
        <f t="shared" si="2"/>
        <v>31.32</v>
      </c>
      <c r="Q124" s="3004">
        <v>120</v>
      </c>
      <c r="R124" s="2999" t="s">
        <v>4767</v>
      </c>
      <c r="S124" s="3000">
        <v>178.35</v>
      </c>
      <c r="T124" s="3000">
        <v>0.99</v>
      </c>
      <c r="U124" s="3000">
        <v>17087</v>
      </c>
      <c r="V124" s="3000">
        <v>305</v>
      </c>
    </row>
    <row r="125" spans="4:22" ht="14.25" thickBot="1">
      <c r="D125" s="2915">
        <v>121</v>
      </c>
      <c r="E125" s="2915"/>
      <c r="F125" s="2914" t="s">
        <v>3232</v>
      </c>
      <c r="G125" s="2915">
        <v>208.92</v>
      </c>
      <c r="H125" s="2915">
        <f t="shared" si="2"/>
        <v>36.68</v>
      </c>
      <c r="Q125" s="3004">
        <v>121</v>
      </c>
      <c r="R125" s="2999" t="s">
        <v>4768</v>
      </c>
      <c r="S125" s="3000">
        <v>208.92</v>
      </c>
      <c r="T125" s="3000">
        <v>0.98</v>
      </c>
      <c r="U125" s="3000">
        <v>16915</v>
      </c>
      <c r="V125" s="3000">
        <v>353</v>
      </c>
    </row>
    <row r="126" spans="4:22" ht="14.25" thickBot="1">
      <c r="D126" s="2915">
        <v>122</v>
      </c>
      <c r="E126" s="2915"/>
      <c r="F126" s="2914" t="s">
        <v>3233</v>
      </c>
      <c r="G126" s="2915">
        <v>188.35</v>
      </c>
      <c r="H126" s="2915">
        <f t="shared" si="2"/>
        <v>33.07</v>
      </c>
      <c r="Q126" s="3004">
        <v>122</v>
      </c>
      <c r="R126" s="2999" t="s">
        <v>4769</v>
      </c>
      <c r="S126" s="3000">
        <v>188.35</v>
      </c>
      <c r="T126" s="3000">
        <v>0.99</v>
      </c>
      <c r="U126" s="3000">
        <v>17087</v>
      </c>
      <c r="V126" s="3000">
        <v>322</v>
      </c>
    </row>
    <row r="127" spans="4:22" ht="14.25" thickBot="1">
      <c r="D127" s="2915">
        <v>123</v>
      </c>
      <c r="E127" s="2915"/>
      <c r="F127" s="2914" t="s">
        <v>3234</v>
      </c>
      <c r="G127" s="2915">
        <v>188.39</v>
      </c>
      <c r="H127" s="2915">
        <f t="shared" si="2"/>
        <v>33.08</v>
      </c>
      <c r="Q127" s="3004">
        <v>123</v>
      </c>
      <c r="R127" s="2999" t="s">
        <v>4770</v>
      </c>
      <c r="S127" s="3000">
        <v>188.39</v>
      </c>
      <c r="T127" s="3000">
        <v>0.99</v>
      </c>
      <c r="U127" s="3000">
        <v>17087</v>
      </c>
      <c r="V127" s="3000">
        <v>322</v>
      </c>
    </row>
    <row r="128" spans="4:22" ht="14.25" thickBot="1">
      <c r="D128" s="2915">
        <v>124</v>
      </c>
      <c r="E128" s="2915"/>
      <c r="F128" s="2914" t="s">
        <v>3235</v>
      </c>
      <c r="G128" s="2915">
        <v>188.39</v>
      </c>
      <c r="H128" s="2915">
        <f t="shared" si="2"/>
        <v>33.08</v>
      </c>
      <c r="Q128" s="3004">
        <v>124</v>
      </c>
      <c r="R128" s="2999" t="s">
        <v>4771</v>
      </c>
      <c r="S128" s="3000">
        <v>188.39</v>
      </c>
      <c r="T128" s="3000">
        <v>0.99</v>
      </c>
      <c r="U128" s="3000">
        <v>17087</v>
      </c>
      <c r="V128" s="3000">
        <v>322</v>
      </c>
    </row>
    <row r="129" spans="4:22" ht="14.25" thickBot="1">
      <c r="D129" s="2915">
        <v>125</v>
      </c>
      <c r="E129" s="2915"/>
      <c r="F129" s="2914" t="s">
        <v>3236</v>
      </c>
      <c r="G129" s="2915">
        <v>188.39</v>
      </c>
      <c r="H129" s="2915">
        <f t="shared" si="2"/>
        <v>33.08</v>
      </c>
      <c r="Q129" s="3004">
        <v>125</v>
      </c>
      <c r="R129" s="2999" t="s">
        <v>4772</v>
      </c>
      <c r="S129" s="3000">
        <v>188.39</v>
      </c>
      <c r="T129" s="3000">
        <v>0.99</v>
      </c>
      <c r="U129" s="3000">
        <v>17087</v>
      </c>
      <c r="V129" s="3000">
        <v>322</v>
      </c>
    </row>
    <row r="130" spans="4:22" ht="14.25" thickBot="1">
      <c r="D130" s="2915">
        <v>126</v>
      </c>
      <c r="E130" s="2915"/>
      <c r="F130" s="2914" t="s">
        <v>3237</v>
      </c>
      <c r="G130" s="2915">
        <v>188.39</v>
      </c>
      <c r="H130" s="2915">
        <f t="shared" si="2"/>
        <v>33.08</v>
      </c>
      <c r="Q130" s="3004">
        <v>126</v>
      </c>
      <c r="R130" s="2999" t="s">
        <v>4773</v>
      </c>
      <c r="S130" s="3000">
        <v>188.39</v>
      </c>
      <c r="T130" s="3000">
        <v>0.99</v>
      </c>
      <c r="U130" s="3000">
        <v>17087</v>
      </c>
      <c r="V130" s="3000">
        <v>322</v>
      </c>
    </row>
    <row r="131" spans="4:22" ht="14.25" thickBot="1">
      <c r="D131" s="2915">
        <v>127</v>
      </c>
      <c r="E131" s="2915"/>
      <c r="F131" s="2914" t="s">
        <v>3238</v>
      </c>
      <c r="G131" s="2915">
        <v>188.39</v>
      </c>
      <c r="H131" s="2915">
        <f t="shared" si="2"/>
        <v>33.08</v>
      </c>
      <c r="Q131" s="3004">
        <v>127</v>
      </c>
      <c r="R131" s="2999" t="s">
        <v>4774</v>
      </c>
      <c r="S131" s="3000">
        <v>188.39</v>
      </c>
      <c r="T131" s="3000">
        <v>0.99</v>
      </c>
      <c r="U131" s="3000">
        <v>17087</v>
      </c>
      <c r="V131" s="3000">
        <v>322</v>
      </c>
    </row>
    <row r="132" spans="4:22" ht="14.25" thickBot="1">
      <c r="D132" s="2915">
        <v>128</v>
      </c>
      <c r="E132" s="2915"/>
      <c r="F132" s="2914" t="s">
        <v>3239</v>
      </c>
      <c r="G132" s="2915">
        <v>279.91000000000003</v>
      </c>
      <c r="H132" s="2915">
        <f t="shared" si="2"/>
        <v>49.15</v>
      </c>
      <c r="Q132" s="3004">
        <v>128</v>
      </c>
      <c r="R132" s="2999" t="s">
        <v>4775</v>
      </c>
      <c r="S132" s="3000">
        <v>279.91000000000003</v>
      </c>
      <c r="T132" s="3000">
        <v>0.98</v>
      </c>
      <c r="U132" s="3000">
        <v>16915</v>
      </c>
      <c r="V132" s="3000">
        <v>473</v>
      </c>
    </row>
    <row r="133" spans="4:22" ht="14.25" thickBot="1">
      <c r="D133" s="2915">
        <v>129</v>
      </c>
      <c r="E133" s="2915"/>
      <c r="F133" s="2914" t="s">
        <v>3240</v>
      </c>
      <c r="G133" s="2915">
        <v>175.75</v>
      </c>
      <c r="H133" s="2915">
        <f t="shared" si="2"/>
        <v>30.86</v>
      </c>
      <c r="Q133" s="3004">
        <v>129</v>
      </c>
      <c r="R133" s="2999" t="s">
        <v>4776</v>
      </c>
      <c r="S133" s="3000">
        <v>175.75</v>
      </c>
      <c r="T133" s="3000">
        <v>0.99</v>
      </c>
      <c r="U133" s="3000">
        <v>17087</v>
      </c>
      <c r="V133" s="3000">
        <v>300</v>
      </c>
    </row>
    <row r="134" spans="4:22" ht="14.25" thickBot="1">
      <c r="D134" s="2915">
        <v>130</v>
      </c>
      <c r="E134" s="2915"/>
      <c r="F134" s="2914" t="s">
        <v>3241</v>
      </c>
      <c r="G134" s="2915">
        <v>188.32</v>
      </c>
      <c r="H134" s="2915">
        <f t="shared" ref="H134:H197" si="3">ROUND(G134/$N$7*$M$7,2)</f>
        <v>33.07</v>
      </c>
      <c r="Q134" s="3004">
        <v>130</v>
      </c>
      <c r="R134" s="2999" t="s">
        <v>4777</v>
      </c>
      <c r="S134" s="3000">
        <v>188.32</v>
      </c>
      <c r="T134" s="3000">
        <v>0.99</v>
      </c>
      <c r="U134" s="3000">
        <v>17087</v>
      </c>
      <c r="V134" s="3000">
        <v>322</v>
      </c>
    </row>
    <row r="135" spans="4:22" ht="14.25" thickBot="1">
      <c r="D135" s="2915">
        <v>131</v>
      </c>
      <c r="E135" s="2915"/>
      <c r="F135" s="2914" t="s">
        <v>3242</v>
      </c>
      <c r="G135" s="2915">
        <v>210.22</v>
      </c>
      <c r="H135" s="2915">
        <f t="shared" si="3"/>
        <v>36.909999999999997</v>
      </c>
      <c r="Q135" s="3004">
        <v>131</v>
      </c>
      <c r="R135" s="2999" t="s">
        <v>4778</v>
      </c>
      <c r="S135" s="3000">
        <v>210.22</v>
      </c>
      <c r="T135" s="3000">
        <v>0.98</v>
      </c>
      <c r="U135" s="3000">
        <v>16915</v>
      </c>
      <c r="V135" s="3000">
        <v>356</v>
      </c>
    </row>
    <row r="136" spans="4:22" ht="14.25" thickBot="1">
      <c r="D136" s="2915">
        <v>132</v>
      </c>
      <c r="E136" s="2915"/>
      <c r="F136" s="2914" t="s">
        <v>3243</v>
      </c>
      <c r="G136" s="2915">
        <v>187.56</v>
      </c>
      <c r="H136" s="2915">
        <f t="shared" si="3"/>
        <v>32.93</v>
      </c>
      <c r="Q136" s="3004">
        <v>132</v>
      </c>
      <c r="R136" s="2999" t="s">
        <v>4779</v>
      </c>
      <c r="S136" s="3000">
        <v>187.56</v>
      </c>
      <c r="T136" s="3000">
        <v>0.99</v>
      </c>
      <c r="U136" s="3000">
        <v>17087</v>
      </c>
      <c r="V136" s="3000">
        <v>320</v>
      </c>
    </row>
    <row r="137" spans="4:22" ht="14.25" thickBot="1">
      <c r="D137" s="2915">
        <v>133</v>
      </c>
      <c r="E137" s="2915"/>
      <c r="F137" s="2914" t="s">
        <v>3244</v>
      </c>
      <c r="G137" s="2915">
        <v>188.42</v>
      </c>
      <c r="H137" s="2915">
        <f t="shared" si="3"/>
        <v>33.08</v>
      </c>
      <c r="Q137" s="3004">
        <v>133</v>
      </c>
      <c r="R137" s="2999" t="s">
        <v>4780</v>
      </c>
      <c r="S137" s="3000">
        <v>188.42</v>
      </c>
      <c r="T137" s="3000">
        <v>0.99</v>
      </c>
      <c r="U137" s="3000">
        <v>17087</v>
      </c>
      <c r="V137" s="3000">
        <v>322</v>
      </c>
    </row>
    <row r="138" spans="4:22" ht="14.25" thickBot="1">
      <c r="D138" s="2915">
        <v>134</v>
      </c>
      <c r="E138" s="2915"/>
      <c r="F138" s="2914" t="s">
        <v>3245</v>
      </c>
      <c r="G138" s="2915">
        <v>188.42</v>
      </c>
      <c r="H138" s="2915">
        <f t="shared" si="3"/>
        <v>33.08</v>
      </c>
      <c r="Q138" s="3004">
        <v>134</v>
      </c>
      <c r="R138" s="2999" t="s">
        <v>4781</v>
      </c>
      <c r="S138" s="3000">
        <v>188.42</v>
      </c>
      <c r="T138" s="3000">
        <v>0.99</v>
      </c>
      <c r="U138" s="3000">
        <v>17087</v>
      </c>
      <c r="V138" s="3000">
        <v>322</v>
      </c>
    </row>
    <row r="139" spans="4:22" ht="14.25" thickBot="1">
      <c r="D139" s="2915">
        <v>135</v>
      </c>
      <c r="E139" s="2915"/>
      <c r="F139" s="2914" t="s">
        <v>3246</v>
      </c>
      <c r="G139" s="2915">
        <v>188.42</v>
      </c>
      <c r="H139" s="2915">
        <f t="shared" si="3"/>
        <v>33.08</v>
      </c>
      <c r="Q139" s="3004">
        <v>135</v>
      </c>
      <c r="R139" s="2999" t="s">
        <v>4782</v>
      </c>
      <c r="S139" s="3000">
        <v>188.42</v>
      </c>
      <c r="T139" s="3000">
        <v>0.99</v>
      </c>
      <c r="U139" s="3000">
        <v>17087</v>
      </c>
      <c r="V139" s="3000">
        <v>322</v>
      </c>
    </row>
    <row r="140" spans="4:22" ht="14.25" thickBot="1">
      <c r="D140" s="2915">
        <v>136</v>
      </c>
      <c r="E140" s="2915"/>
      <c r="F140" s="2914" t="s">
        <v>3247</v>
      </c>
      <c r="G140" s="2915">
        <v>188.42</v>
      </c>
      <c r="H140" s="2915">
        <f t="shared" si="3"/>
        <v>33.08</v>
      </c>
      <c r="Q140" s="3004">
        <v>136</v>
      </c>
      <c r="R140" s="2999" t="s">
        <v>4783</v>
      </c>
      <c r="S140" s="3000">
        <v>188.42</v>
      </c>
      <c r="T140" s="3000">
        <v>0.99</v>
      </c>
      <c r="U140" s="3000">
        <v>17087</v>
      </c>
      <c r="V140" s="3000">
        <v>322</v>
      </c>
    </row>
    <row r="141" spans="4:22" ht="14.25" thickBot="1">
      <c r="D141" s="2915">
        <v>137</v>
      </c>
      <c r="E141" s="2915"/>
      <c r="F141" s="2914" t="s">
        <v>3248</v>
      </c>
      <c r="G141" s="2915">
        <v>188.42</v>
      </c>
      <c r="H141" s="2915">
        <f t="shared" si="3"/>
        <v>33.08</v>
      </c>
      <c r="Q141" s="3004">
        <v>137</v>
      </c>
      <c r="R141" s="2999" t="s">
        <v>4784</v>
      </c>
      <c r="S141" s="3000">
        <v>188.42</v>
      </c>
      <c r="T141" s="3000">
        <v>0.99</v>
      </c>
      <c r="U141" s="3000">
        <v>17087</v>
      </c>
      <c r="V141" s="3000">
        <v>322</v>
      </c>
    </row>
    <row r="142" spans="4:22" ht="14.25" thickBot="1">
      <c r="D142" s="2915">
        <v>138</v>
      </c>
      <c r="E142" s="2915"/>
      <c r="F142" s="2914" t="s">
        <v>3249</v>
      </c>
      <c r="G142" s="2915">
        <v>186.36</v>
      </c>
      <c r="H142" s="2915">
        <f t="shared" si="3"/>
        <v>32.72</v>
      </c>
      <c r="Q142" s="3004">
        <v>138</v>
      </c>
      <c r="R142" s="2999" t="s">
        <v>4785</v>
      </c>
      <c r="S142" s="3000">
        <v>186.36</v>
      </c>
      <c r="T142" s="3000">
        <v>0.99</v>
      </c>
      <c r="U142" s="3000">
        <v>17087</v>
      </c>
      <c r="V142" s="3000">
        <v>318</v>
      </c>
    </row>
    <row r="143" spans="4:22" ht="14.25" thickBot="1">
      <c r="D143" s="2915">
        <v>139</v>
      </c>
      <c r="E143" s="2915"/>
      <c r="F143" s="2914" t="s">
        <v>3250</v>
      </c>
      <c r="G143" s="2915">
        <v>188.36</v>
      </c>
      <c r="H143" s="2915">
        <f t="shared" si="3"/>
        <v>33.07</v>
      </c>
      <c r="Q143" s="3004">
        <v>139</v>
      </c>
      <c r="R143" s="2999" t="s">
        <v>4786</v>
      </c>
      <c r="S143" s="3000">
        <v>188.36</v>
      </c>
      <c r="T143" s="3000">
        <v>0.99</v>
      </c>
      <c r="U143" s="3000">
        <v>17087</v>
      </c>
      <c r="V143" s="3000">
        <v>322</v>
      </c>
    </row>
    <row r="144" spans="4:22" ht="14.25" thickBot="1">
      <c r="D144" s="2915">
        <v>140</v>
      </c>
      <c r="E144" s="2915"/>
      <c r="F144" s="2914" t="s">
        <v>3251</v>
      </c>
      <c r="G144" s="2915">
        <v>175.78</v>
      </c>
      <c r="H144" s="2915">
        <f t="shared" si="3"/>
        <v>30.87</v>
      </c>
      <c r="Q144" s="3004">
        <v>140</v>
      </c>
      <c r="R144" s="2999" t="s">
        <v>4787</v>
      </c>
      <c r="S144" s="3000">
        <v>175.78</v>
      </c>
      <c r="T144" s="3000">
        <v>0.99</v>
      </c>
      <c r="U144" s="3000">
        <v>17087</v>
      </c>
      <c r="V144" s="3000">
        <v>300</v>
      </c>
    </row>
    <row r="145" spans="4:22" ht="14.25" thickBot="1">
      <c r="D145" s="2915">
        <v>141</v>
      </c>
      <c r="E145" s="2915"/>
      <c r="F145" s="2914" t="s">
        <v>3252</v>
      </c>
      <c r="G145" s="2915">
        <v>279.95999999999998</v>
      </c>
      <c r="H145" s="2915">
        <f t="shared" si="3"/>
        <v>49.16</v>
      </c>
      <c r="Q145" s="3004">
        <v>141</v>
      </c>
      <c r="R145" s="2999" t="s">
        <v>4788</v>
      </c>
      <c r="S145" s="3000">
        <v>279.95999999999998</v>
      </c>
      <c r="T145" s="3000">
        <v>0.98</v>
      </c>
      <c r="U145" s="3000">
        <v>16915</v>
      </c>
      <c r="V145" s="3000">
        <v>474</v>
      </c>
    </row>
    <row r="146" spans="4:22" ht="14.25" thickBot="1">
      <c r="D146" s="2915">
        <v>142</v>
      </c>
      <c r="E146" s="2915"/>
      <c r="F146" s="2914" t="s">
        <v>3253</v>
      </c>
      <c r="G146" s="2915">
        <v>188.43</v>
      </c>
      <c r="H146" s="2915">
        <f t="shared" si="3"/>
        <v>33.090000000000003</v>
      </c>
      <c r="Q146" s="3004">
        <v>142</v>
      </c>
      <c r="R146" s="2999" t="s">
        <v>4789</v>
      </c>
      <c r="S146" s="3000">
        <v>188.43</v>
      </c>
      <c r="T146" s="3000">
        <v>0.99</v>
      </c>
      <c r="U146" s="3000">
        <v>17087</v>
      </c>
      <c r="V146" s="3000">
        <v>322</v>
      </c>
    </row>
    <row r="147" spans="4:22" ht="14.25" thickBot="1">
      <c r="D147" s="2915">
        <v>143</v>
      </c>
      <c r="E147" s="2915"/>
      <c r="F147" s="2914" t="s">
        <v>3254</v>
      </c>
      <c r="G147" s="2915">
        <v>188.43</v>
      </c>
      <c r="H147" s="2915">
        <f t="shared" si="3"/>
        <v>33.090000000000003</v>
      </c>
      <c r="Q147" s="3004">
        <v>143</v>
      </c>
      <c r="R147" s="2999" t="s">
        <v>4790</v>
      </c>
      <c r="S147" s="3000">
        <v>188.43</v>
      </c>
      <c r="T147" s="3000">
        <v>0.99</v>
      </c>
      <c r="U147" s="3000">
        <v>17087</v>
      </c>
      <c r="V147" s="3000">
        <v>322</v>
      </c>
    </row>
    <row r="148" spans="4:22" ht="14.25" thickBot="1">
      <c r="D148" s="2915">
        <v>144</v>
      </c>
      <c r="E148" s="2915"/>
      <c r="F148" s="2914" t="s">
        <v>3255</v>
      </c>
      <c r="G148" s="2915">
        <v>188.43</v>
      </c>
      <c r="H148" s="2915">
        <f t="shared" si="3"/>
        <v>33.090000000000003</v>
      </c>
      <c r="Q148" s="3004">
        <v>144</v>
      </c>
      <c r="R148" s="2999" t="s">
        <v>4791</v>
      </c>
      <c r="S148" s="3000">
        <v>188.43</v>
      </c>
      <c r="T148" s="3000">
        <v>0.99</v>
      </c>
      <c r="U148" s="3000">
        <v>17087</v>
      </c>
      <c r="V148" s="3000">
        <v>322</v>
      </c>
    </row>
    <row r="149" spans="4:22" ht="14.25" thickBot="1">
      <c r="D149" s="2915">
        <v>145</v>
      </c>
      <c r="E149" s="2915"/>
      <c r="F149" s="2914" t="s">
        <v>3256</v>
      </c>
      <c r="G149" s="2915">
        <v>188.43</v>
      </c>
      <c r="H149" s="2915">
        <f t="shared" si="3"/>
        <v>33.090000000000003</v>
      </c>
      <c r="Q149" s="3004">
        <v>145</v>
      </c>
      <c r="R149" s="2999" t="s">
        <v>4792</v>
      </c>
      <c r="S149" s="3000">
        <v>188.43</v>
      </c>
      <c r="T149" s="3000">
        <v>0.99</v>
      </c>
      <c r="U149" s="3000">
        <v>17087</v>
      </c>
      <c r="V149" s="3000">
        <v>322</v>
      </c>
    </row>
    <row r="150" spans="4:22" ht="14.25" thickBot="1">
      <c r="D150" s="2915">
        <v>146</v>
      </c>
      <c r="E150" s="2915"/>
      <c r="F150" s="2914" t="s">
        <v>3257</v>
      </c>
      <c r="G150" s="2915">
        <v>188.43</v>
      </c>
      <c r="H150" s="2915">
        <f t="shared" si="3"/>
        <v>33.090000000000003</v>
      </c>
      <c r="Q150" s="3004">
        <v>146</v>
      </c>
      <c r="R150" s="2999" t="s">
        <v>4793</v>
      </c>
      <c r="S150" s="3000">
        <v>188.43</v>
      </c>
      <c r="T150" s="3000">
        <v>0.99</v>
      </c>
      <c r="U150" s="3000">
        <v>17087</v>
      </c>
      <c r="V150" s="3000">
        <v>322</v>
      </c>
    </row>
    <row r="151" spans="4:22" ht="14.25" thickBot="1">
      <c r="D151" s="2915">
        <v>147</v>
      </c>
      <c r="E151" s="2915"/>
      <c r="F151" s="2914" t="s">
        <v>3258</v>
      </c>
      <c r="G151" s="2915">
        <v>188.38</v>
      </c>
      <c r="H151" s="2915">
        <f t="shared" si="3"/>
        <v>33.08</v>
      </c>
      <c r="Q151" s="3004">
        <v>147</v>
      </c>
      <c r="R151" s="2999" t="s">
        <v>4794</v>
      </c>
      <c r="S151" s="3000">
        <v>188.38</v>
      </c>
      <c r="T151" s="3000">
        <v>0.99</v>
      </c>
      <c r="U151" s="3000">
        <v>17087</v>
      </c>
      <c r="V151" s="3000">
        <v>322</v>
      </c>
    </row>
    <row r="152" spans="4:22" ht="14.25" thickBot="1">
      <c r="D152" s="2915">
        <v>148</v>
      </c>
      <c r="E152" s="2915"/>
      <c r="F152" s="2914" t="s">
        <v>3259</v>
      </c>
      <c r="G152" s="2915">
        <v>208.95</v>
      </c>
      <c r="H152" s="2915">
        <f t="shared" si="3"/>
        <v>36.69</v>
      </c>
      <c r="Q152" s="3004">
        <v>148</v>
      </c>
      <c r="R152" s="2999" t="s">
        <v>4795</v>
      </c>
      <c r="S152" s="3000">
        <v>208.95</v>
      </c>
      <c r="T152" s="3000">
        <v>0.98</v>
      </c>
      <c r="U152" s="3000">
        <v>16915</v>
      </c>
      <c r="V152" s="3000">
        <v>353</v>
      </c>
    </row>
    <row r="153" spans="4:22" ht="14.25" thickBot="1">
      <c r="D153" s="2915">
        <v>149</v>
      </c>
      <c r="E153" s="2915"/>
      <c r="F153" s="2914" t="s">
        <v>3260</v>
      </c>
      <c r="G153" s="2915">
        <v>189.85</v>
      </c>
      <c r="H153" s="2915">
        <f t="shared" si="3"/>
        <v>33.340000000000003</v>
      </c>
      <c r="Q153" s="3004">
        <v>149</v>
      </c>
      <c r="R153" s="2999" t="s">
        <v>4796</v>
      </c>
      <c r="S153" s="3000">
        <v>189.85</v>
      </c>
      <c r="T153" s="3000">
        <v>0.99</v>
      </c>
      <c r="U153" s="3000">
        <v>17087</v>
      </c>
      <c r="V153" s="3000">
        <v>324</v>
      </c>
    </row>
    <row r="154" spans="4:22" ht="14.25" thickBot="1">
      <c r="D154" s="2915">
        <v>150</v>
      </c>
      <c r="E154" s="2915"/>
      <c r="F154" s="2914" t="s">
        <v>3261</v>
      </c>
      <c r="G154" s="2915">
        <v>169.23</v>
      </c>
      <c r="H154" s="2915">
        <f t="shared" si="3"/>
        <v>29.72</v>
      </c>
      <c r="Q154" s="3004">
        <v>150</v>
      </c>
      <c r="R154" s="2999" t="s">
        <v>4797</v>
      </c>
      <c r="S154" s="3000">
        <v>169.23</v>
      </c>
      <c r="T154" s="3000">
        <v>0.99</v>
      </c>
      <c r="U154" s="3000">
        <v>17087</v>
      </c>
      <c r="V154" s="3000">
        <v>289</v>
      </c>
    </row>
    <row r="155" spans="4:22" ht="14.25" thickBot="1">
      <c r="D155" s="2915">
        <v>151</v>
      </c>
      <c r="E155" s="2915"/>
      <c r="F155" s="2914" t="s">
        <v>3262</v>
      </c>
      <c r="G155" s="2915">
        <v>49.61</v>
      </c>
      <c r="H155" s="2915">
        <f t="shared" si="3"/>
        <v>8.7100000000000009</v>
      </c>
      <c r="Q155" s="3004">
        <v>151</v>
      </c>
      <c r="R155" s="2999" t="s">
        <v>4798</v>
      </c>
      <c r="S155" s="3000">
        <v>49.61</v>
      </c>
      <c r="T155" s="3000">
        <v>1</v>
      </c>
      <c r="U155" s="3000">
        <v>17260</v>
      </c>
      <c r="V155" s="3000">
        <v>86</v>
      </c>
    </row>
    <row r="156" spans="4:22" ht="14.25" thickBot="1">
      <c r="D156" s="2915">
        <v>152</v>
      </c>
      <c r="E156" s="2915"/>
      <c r="F156" s="2914" t="s">
        <v>3263</v>
      </c>
      <c r="G156" s="2915">
        <v>50.63</v>
      </c>
      <c r="H156" s="2915">
        <f t="shared" si="3"/>
        <v>8.89</v>
      </c>
      <c r="Q156" s="3004">
        <v>152</v>
      </c>
      <c r="R156" s="2999" t="s">
        <v>4799</v>
      </c>
      <c r="S156" s="3000">
        <v>50.63</v>
      </c>
      <c r="T156" s="3000">
        <v>1</v>
      </c>
      <c r="U156" s="3000">
        <v>17260</v>
      </c>
      <c r="V156" s="3000">
        <v>87</v>
      </c>
    </row>
    <row r="157" spans="4:22" ht="14.25" thickBot="1">
      <c r="D157" s="2915">
        <v>153</v>
      </c>
      <c r="E157" s="2915"/>
      <c r="F157" s="2914" t="s">
        <v>3264</v>
      </c>
      <c r="G157" s="2915">
        <v>50.63</v>
      </c>
      <c r="H157" s="2915">
        <f t="shared" si="3"/>
        <v>8.89</v>
      </c>
      <c r="Q157" s="3004">
        <v>153</v>
      </c>
      <c r="R157" s="2999" t="s">
        <v>4800</v>
      </c>
      <c r="S157" s="3000">
        <v>50.63</v>
      </c>
      <c r="T157" s="3000">
        <v>1</v>
      </c>
      <c r="U157" s="3000">
        <v>17260</v>
      </c>
      <c r="V157" s="3000">
        <v>87</v>
      </c>
    </row>
    <row r="158" spans="4:22" ht="14.25" thickBot="1">
      <c r="D158" s="2915">
        <v>154</v>
      </c>
      <c r="E158" s="2915"/>
      <c r="F158" s="2914" t="s">
        <v>3265</v>
      </c>
      <c r="G158" s="2915">
        <v>50.63</v>
      </c>
      <c r="H158" s="2915">
        <f t="shared" si="3"/>
        <v>8.89</v>
      </c>
      <c r="Q158" s="3004">
        <v>154</v>
      </c>
      <c r="R158" s="2999" t="s">
        <v>4801</v>
      </c>
      <c r="S158" s="3000">
        <v>50.63</v>
      </c>
      <c r="T158" s="3000">
        <v>1</v>
      </c>
      <c r="U158" s="3000">
        <v>17260</v>
      </c>
      <c r="V158" s="3000">
        <v>87</v>
      </c>
    </row>
    <row r="159" spans="4:22" ht="14.25" thickBot="1">
      <c r="D159" s="2915">
        <v>155</v>
      </c>
      <c r="E159" s="2915"/>
      <c r="F159" s="2914" t="s">
        <v>3266</v>
      </c>
      <c r="G159" s="2915">
        <v>50.63</v>
      </c>
      <c r="H159" s="2915">
        <f t="shared" si="3"/>
        <v>8.89</v>
      </c>
      <c r="Q159" s="3004">
        <v>155</v>
      </c>
      <c r="R159" s="2999" t="s">
        <v>4802</v>
      </c>
      <c r="S159" s="3000">
        <v>50.63</v>
      </c>
      <c r="T159" s="3000">
        <v>1</v>
      </c>
      <c r="U159" s="3000">
        <v>17260</v>
      </c>
      <c r="V159" s="3000">
        <v>87</v>
      </c>
    </row>
    <row r="160" spans="4:22" ht="14.25" thickBot="1">
      <c r="D160" s="2915">
        <v>156</v>
      </c>
      <c r="E160" s="2915"/>
      <c r="F160" s="2914" t="s">
        <v>3267</v>
      </c>
      <c r="G160" s="2915">
        <v>50.63</v>
      </c>
      <c r="H160" s="2915">
        <f t="shared" si="3"/>
        <v>8.89</v>
      </c>
      <c r="Q160" s="3004">
        <v>156</v>
      </c>
      <c r="R160" s="2999" t="s">
        <v>4803</v>
      </c>
      <c r="S160" s="3000">
        <v>50.63</v>
      </c>
      <c r="T160" s="3000">
        <v>1</v>
      </c>
      <c r="U160" s="3000">
        <v>17260</v>
      </c>
      <c r="V160" s="3000">
        <v>87</v>
      </c>
    </row>
    <row r="161" spans="4:22" ht="14.25" thickBot="1">
      <c r="D161" s="2915">
        <v>157</v>
      </c>
      <c r="E161" s="2915"/>
      <c r="F161" s="2914" t="s">
        <v>3268</v>
      </c>
      <c r="G161" s="2915">
        <v>50.63</v>
      </c>
      <c r="H161" s="2915">
        <f t="shared" si="3"/>
        <v>8.89</v>
      </c>
      <c r="Q161" s="3004">
        <v>157</v>
      </c>
      <c r="R161" s="2999" t="s">
        <v>4804</v>
      </c>
      <c r="S161" s="3000">
        <v>50.63</v>
      </c>
      <c r="T161" s="3000">
        <v>1</v>
      </c>
      <c r="U161" s="3000">
        <v>17260</v>
      </c>
      <c r="V161" s="3000">
        <v>87</v>
      </c>
    </row>
    <row r="162" spans="4:22" ht="14.25" thickBot="1">
      <c r="D162" s="2915">
        <v>158</v>
      </c>
      <c r="E162" s="2915"/>
      <c r="F162" s="2914" t="s">
        <v>3269</v>
      </c>
      <c r="G162" s="2915">
        <v>50.63</v>
      </c>
      <c r="H162" s="2915">
        <f t="shared" si="3"/>
        <v>8.89</v>
      </c>
      <c r="Q162" s="3004">
        <v>158</v>
      </c>
      <c r="R162" s="2999" t="s">
        <v>4805</v>
      </c>
      <c r="S162" s="3000">
        <v>50.63</v>
      </c>
      <c r="T162" s="3000">
        <v>1</v>
      </c>
      <c r="U162" s="3000">
        <v>17260</v>
      </c>
      <c r="V162" s="3000">
        <v>87</v>
      </c>
    </row>
    <row r="163" spans="4:22" ht="14.25" thickBot="1">
      <c r="D163" s="2915">
        <v>159</v>
      </c>
      <c r="E163" s="2915"/>
      <c r="F163" s="2914" t="s">
        <v>3270</v>
      </c>
      <c r="G163" s="2915">
        <v>50.63</v>
      </c>
      <c r="H163" s="2915">
        <f t="shared" si="3"/>
        <v>8.89</v>
      </c>
      <c r="Q163" s="3004">
        <v>159</v>
      </c>
      <c r="R163" s="2999" t="s">
        <v>4806</v>
      </c>
      <c r="S163" s="3000">
        <v>50.63</v>
      </c>
      <c r="T163" s="3000">
        <v>1</v>
      </c>
      <c r="U163" s="3000">
        <v>17260</v>
      </c>
      <c r="V163" s="3000">
        <v>87</v>
      </c>
    </row>
    <row r="164" spans="4:22" ht="14.25" thickBot="1">
      <c r="D164" s="2915">
        <v>160</v>
      </c>
      <c r="E164" s="2915"/>
      <c r="F164" s="2914" t="s">
        <v>3271</v>
      </c>
      <c r="G164" s="2915">
        <v>50.63</v>
      </c>
      <c r="H164" s="2915">
        <f t="shared" si="3"/>
        <v>8.89</v>
      </c>
      <c r="Q164" s="3004">
        <v>160</v>
      </c>
      <c r="R164" s="2999" t="s">
        <v>4807</v>
      </c>
      <c r="S164" s="3000">
        <v>50.63</v>
      </c>
      <c r="T164" s="3000">
        <v>1</v>
      </c>
      <c r="U164" s="3000">
        <v>17260</v>
      </c>
      <c r="V164" s="3000">
        <v>87</v>
      </c>
    </row>
    <row r="165" spans="4:22" ht="14.25" thickBot="1">
      <c r="D165" s="2915">
        <v>161</v>
      </c>
      <c r="E165" s="2915"/>
      <c r="F165" s="2914" t="s">
        <v>3272</v>
      </c>
      <c r="G165" s="2915">
        <v>50.63</v>
      </c>
      <c r="H165" s="2915">
        <f t="shared" si="3"/>
        <v>8.89</v>
      </c>
      <c r="Q165" s="3004">
        <v>161</v>
      </c>
      <c r="R165" s="2999" t="s">
        <v>4808</v>
      </c>
      <c r="S165" s="3000">
        <v>50.63</v>
      </c>
      <c r="T165" s="3000">
        <v>1</v>
      </c>
      <c r="U165" s="3000">
        <v>17260</v>
      </c>
      <c r="V165" s="3000">
        <v>87</v>
      </c>
    </row>
    <row r="166" spans="4:22" ht="14.25" thickBot="1">
      <c r="D166" s="2915">
        <v>162</v>
      </c>
      <c r="E166" s="2915"/>
      <c r="F166" s="2914" t="s">
        <v>3273</v>
      </c>
      <c r="G166" s="2915">
        <v>49.53</v>
      </c>
      <c r="H166" s="2915">
        <f t="shared" si="3"/>
        <v>8.6999999999999993</v>
      </c>
      <c r="Q166" s="3004">
        <v>162</v>
      </c>
      <c r="R166" s="2999" t="s">
        <v>4809</v>
      </c>
      <c r="S166" s="3000">
        <v>49.53</v>
      </c>
      <c r="T166" s="3000">
        <v>1</v>
      </c>
      <c r="U166" s="3000">
        <v>17260</v>
      </c>
      <c r="V166" s="3000">
        <v>85</v>
      </c>
    </row>
    <row r="167" spans="4:22" ht="14.25" thickBot="1">
      <c r="D167" s="2915">
        <v>163</v>
      </c>
      <c r="E167" s="2915"/>
      <c r="F167" s="2914" t="s">
        <v>3274</v>
      </c>
      <c r="G167" s="2915">
        <v>55.7</v>
      </c>
      <c r="H167" s="2915">
        <f t="shared" si="3"/>
        <v>9.7799999999999994</v>
      </c>
      <c r="Q167" s="3004">
        <v>163</v>
      </c>
      <c r="R167" s="2999" t="s">
        <v>4810</v>
      </c>
      <c r="S167" s="3000">
        <v>55.7</v>
      </c>
      <c r="T167" s="3000">
        <v>1</v>
      </c>
      <c r="U167" s="3000">
        <v>17260</v>
      </c>
      <c r="V167" s="3000">
        <v>96</v>
      </c>
    </row>
    <row r="168" spans="4:22" ht="14.25" thickBot="1">
      <c r="D168" s="2915">
        <v>164</v>
      </c>
      <c r="E168" s="2915"/>
      <c r="F168" s="2914" t="s">
        <v>3275</v>
      </c>
      <c r="G168" s="2915">
        <v>60.21</v>
      </c>
      <c r="H168" s="2915">
        <f t="shared" si="3"/>
        <v>10.57</v>
      </c>
      <c r="Q168" s="3004">
        <v>164</v>
      </c>
      <c r="R168" s="2999" t="s">
        <v>4811</v>
      </c>
      <c r="S168" s="3000">
        <v>60.21</v>
      </c>
      <c r="T168" s="3000">
        <v>1</v>
      </c>
      <c r="U168" s="3000">
        <v>17260</v>
      </c>
      <c r="V168" s="3000">
        <v>104</v>
      </c>
    </row>
    <row r="169" spans="4:22" ht="14.25" thickBot="1">
      <c r="D169" s="2915">
        <v>165</v>
      </c>
      <c r="E169" s="2915"/>
      <c r="F169" s="2914" t="s">
        <v>3276</v>
      </c>
      <c r="G169" s="2915">
        <v>58.75</v>
      </c>
      <c r="H169" s="2915">
        <f t="shared" si="3"/>
        <v>10.32</v>
      </c>
      <c r="Q169" s="3004">
        <v>165</v>
      </c>
      <c r="R169" s="2999" t="s">
        <v>4812</v>
      </c>
      <c r="S169" s="3000">
        <v>58.75</v>
      </c>
      <c r="T169" s="3000">
        <v>1</v>
      </c>
      <c r="U169" s="3000">
        <v>17260</v>
      </c>
      <c r="V169" s="3000">
        <v>101</v>
      </c>
    </row>
    <row r="170" spans="4:22" ht="14.25" thickBot="1">
      <c r="D170" s="2915">
        <v>166</v>
      </c>
      <c r="E170" s="2915"/>
      <c r="F170" s="2914" t="s">
        <v>3277</v>
      </c>
      <c r="G170" s="2915">
        <v>61.88</v>
      </c>
      <c r="H170" s="2915">
        <f t="shared" si="3"/>
        <v>10.87</v>
      </c>
      <c r="Q170" s="3004">
        <v>166</v>
      </c>
      <c r="R170" s="2999" t="s">
        <v>4813</v>
      </c>
      <c r="S170" s="3000">
        <v>61.88</v>
      </c>
      <c r="T170" s="3000">
        <v>1</v>
      </c>
      <c r="U170" s="3000">
        <v>17260</v>
      </c>
      <c r="V170" s="3000">
        <v>107</v>
      </c>
    </row>
    <row r="171" spans="4:22" ht="14.25" thickBot="1">
      <c r="D171" s="2915">
        <v>167</v>
      </c>
      <c r="E171" s="2915"/>
      <c r="F171" s="2914" t="s">
        <v>3278</v>
      </c>
      <c r="G171" s="2915">
        <v>61.41</v>
      </c>
      <c r="H171" s="2915">
        <f t="shared" si="3"/>
        <v>10.78</v>
      </c>
      <c r="Q171" s="3004">
        <v>167</v>
      </c>
      <c r="R171" s="2999" t="s">
        <v>4814</v>
      </c>
      <c r="S171" s="3000">
        <v>61.41</v>
      </c>
      <c r="T171" s="3000">
        <v>1</v>
      </c>
      <c r="U171" s="3000">
        <v>17260</v>
      </c>
      <c r="V171" s="3000">
        <v>106</v>
      </c>
    </row>
    <row r="172" spans="4:22" ht="14.25" thickBot="1">
      <c r="D172" s="2915">
        <v>168</v>
      </c>
      <c r="E172" s="2915"/>
      <c r="F172" s="2914" t="s">
        <v>3279</v>
      </c>
      <c r="G172" s="2915">
        <v>61.41</v>
      </c>
      <c r="H172" s="2915">
        <f t="shared" si="3"/>
        <v>10.78</v>
      </c>
      <c r="Q172" s="3004">
        <v>168</v>
      </c>
      <c r="R172" s="2999" t="s">
        <v>4815</v>
      </c>
      <c r="S172" s="3000">
        <v>61.41</v>
      </c>
      <c r="T172" s="3000">
        <v>1</v>
      </c>
      <c r="U172" s="3000">
        <v>17260</v>
      </c>
      <c r="V172" s="3000">
        <v>106</v>
      </c>
    </row>
    <row r="173" spans="4:22" ht="14.25" thickBot="1">
      <c r="D173" s="2915">
        <v>169</v>
      </c>
      <c r="E173" s="2915"/>
      <c r="F173" s="2914" t="s">
        <v>3280</v>
      </c>
      <c r="G173" s="2915">
        <v>61.41</v>
      </c>
      <c r="H173" s="2915">
        <f t="shared" si="3"/>
        <v>10.78</v>
      </c>
      <c r="Q173" s="3004">
        <v>169</v>
      </c>
      <c r="R173" s="2999" t="s">
        <v>4816</v>
      </c>
      <c r="S173" s="3000">
        <v>61.41</v>
      </c>
      <c r="T173" s="3000">
        <v>1</v>
      </c>
      <c r="U173" s="3000">
        <v>17260</v>
      </c>
      <c r="V173" s="3000">
        <v>106</v>
      </c>
    </row>
    <row r="174" spans="4:22" ht="14.25" thickBot="1">
      <c r="D174" s="2915">
        <v>170</v>
      </c>
      <c r="E174" s="2915"/>
      <c r="F174" s="2914" t="s">
        <v>3281</v>
      </c>
      <c r="G174" s="2915">
        <v>65.760000000000005</v>
      </c>
      <c r="H174" s="2915">
        <f t="shared" si="3"/>
        <v>11.55</v>
      </c>
      <c r="Q174" s="3004">
        <v>170</v>
      </c>
      <c r="R174" s="2999" t="s">
        <v>4817</v>
      </c>
      <c r="S174" s="3000">
        <v>65.760000000000005</v>
      </c>
      <c r="T174" s="3000">
        <v>1</v>
      </c>
      <c r="U174" s="3000">
        <v>17260</v>
      </c>
      <c r="V174" s="3000">
        <v>114</v>
      </c>
    </row>
    <row r="175" spans="4:22" ht="14.25" thickBot="1">
      <c r="D175" s="2915">
        <v>171</v>
      </c>
      <c r="E175" s="2915"/>
      <c r="F175" s="2914" t="s">
        <v>3282</v>
      </c>
      <c r="G175" s="2915">
        <v>59.41</v>
      </c>
      <c r="H175" s="2915">
        <f t="shared" si="3"/>
        <v>10.43</v>
      </c>
      <c r="Q175" s="3004">
        <v>171</v>
      </c>
      <c r="R175" s="2999" t="s">
        <v>4818</v>
      </c>
      <c r="S175" s="3000">
        <v>59.41</v>
      </c>
      <c r="T175" s="3000">
        <v>1</v>
      </c>
      <c r="U175" s="3000">
        <v>17260</v>
      </c>
      <c r="V175" s="3000">
        <v>103</v>
      </c>
    </row>
    <row r="176" spans="4:22" ht="14.25" thickBot="1">
      <c r="D176" s="2915">
        <v>172</v>
      </c>
      <c r="E176" s="2915"/>
      <c r="F176" s="2914" t="s">
        <v>3283</v>
      </c>
      <c r="G176" s="2915">
        <v>60.69</v>
      </c>
      <c r="H176" s="2915">
        <f t="shared" si="3"/>
        <v>10.66</v>
      </c>
      <c r="Q176" s="3004">
        <v>172</v>
      </c>
      <c r="R176" s="2999" t="s">
        <v>4819</v>
      </c>
      <c r="S176" s="3000">
        <v>60.69</v>
      </c>
      <c r="T176" s="3000">
        <v>1</v>
      </c>
      <c r="U176" s="3000">
        <v>17260</v>
      </c>
      <c r="V176" s="3000">
        <v>105</v>
      </c>
    </row>
    <row r="177" spans="4:22" ht="14.25" thickBot="1">
      <c r="D177" s="2915">
        <v>173</v>
      </c>
      <c r="E177" s="2915"/>
      <c r="F177" s="2914" t="s">
        <v>3284</v>
      </c>
      <c r="G177" s="2915">
        <v>60.69</v>
      </c>
      <c r="H177" s="2915">
        <f t="shared" si="3"/>
        <v>10.66</v>
      </c>
      <c r="Q177" s="3004">
        <v>173</v>
      </c>
      <c r="R177" s="2999" t="s">
        <v>4820</v>
      </c>
      <c r="S177" s="3000">
        <v>60.69</v>
      </c>
      <c r="T177" s="3000">
        <v>1</v>
      </c>
      <c r="U177" s="3000">
        <v>17260</v>
      </c>
      <c r="V177" s="3000">
        <v>105</v>
      </c>
    </row>
    <row r="178" spans="4:22" ht="14.25" thickBot="1">
      <c r="D178" s="2915">
        <v>174</v>
      </c>
      <c r="E178" s="2915"/>
      <c r="F178" s="2914" t="s">
        <v>3285</v>
      </c>
      <c r="G178" s="2915">
        <v>60.69</v>
      </c>
      <c r="H178" s="2915">
        <f t="shared" si="3"/>
        <v>10.66</v>
      </c>
      <c r="Q178" s="3004">
        <v>174</v>
      </c>
      <c r="R178" s="2999" t="s">
        <v>4821</v>
      </c>
      <c r="S178" s="3000">
        <v>60.69</v>
      </c>
      <c r="T178" s="3000">
        <v>1</v>
      </c>
      <c r="U178" s="3000">
        <v>17260</v>
      </c>
      <c r="V178" s="3000">
        <v>105</v>
      </c>
    </row>
    <row r="179" spans="4:22" ht="14.25" thickBot="1">
      <c r="D179" s="2915">
        <v>175</v>
      </c>
      <c r="E179" s="2915"/>
      <c r="F179" s="2914" t="s">
        <v>3286</v>
      </c>
      <c r="G179" s="2915">
        <v>60.69</v>
      </c>
      <c r="H179" s="2915">
        <f t="shared" si="3"/>
        <v>10.66</v>
      </c>
      <c r="Q179" s="3004">
        <v>175</v>
      </c>
      <c r="R179" s="2999" t="s">
        <v>4822</v>
      </c>
      <c r="S179" s="3000">
        <v>60.69</v>
      </c>
      <c r="T179" s="3000">
        <v>1</v>
      </c>
      <c r="U179" s="3000">
        <v>17260</v>
      </c>
      <c r="V179" s="3000">
        <v>105</v>
      </c>
    </row>
    <row r="180" spans="4:22" ht="14.25" thickBot="1">
      <c r="D180" s="2915">
        <v>176</v>
      </c>
      <c r="E180" s="2915"/>
      <c r="F180" s="2914" t="s">
        <v>3287</v>
      </c>
      <c r="G180" s="2915">
        <v>60.69</v>
      </c>
      <c r="H180" s="2915">
        <f t="shared" si="3"/>
        <v>10.66</v>
      </c>
      <c r="Q180" s="3004">
        <v>176</v>
      </c>
      <c r="R180" s="2999" t="s">
        <v>4823</v>
      </c>
      <c r="S180" s="3000">
        <v>60.69</v>
      </c>
      <c r="T180" s="3000">
        <v>1</v>
      </c>
      <c r="U180" s="3000">
        <v>17260</v>
      </c>
      <c r="V180" s="3000">
        <v>105</v>
      </c>
    </row>
    <row r="181" spans="4:22" ht="14.25" thickBot="1">
      <c r="D181" s="2915">
        <v>177</v>
      </c>
      <c r="E181" s="2915"/>
      <c r="F181" s="2914" t="s">
        <v>3288</v>
      </c>
      <c r="G181" s="2915">
        <v>60.69</v>
      </c>
      <c r="H181" s="2915">
        <f t="shared" si="3"/>
        <v>10.66</v>
      </c>
      <c r="Q181" s="3004">
        <v>177</v>
      </c>
      <c r="R181" s="2999" t="s">
        <v>4824</v>
      </c>
      <c r="S181" s="3000">
        <v>60.69</v>
      </c>
      <c r="T181" s="3000">
        <v>1</v>
      </c>
      <c r="U181" s="3000">
        <v>17260</v>
      </c>
      <c r="V181" s="3000">
        <v>105</v>
      </c>
    </row>
    <row r="182" spans="4:22" ht="14.25" thickBot="1">
      <c r="D182" s="2915">
        <v>178</v>
      </c>
      <c r="E182" s="2915"/>
      <c r="F182" s="2914" t="s">
        <v>3289</v>
      </c>
      <c r="G182" s="2915">
        <v>60.69</v>
      </c>
      <c r="H182" s="2915">
        <f t="shared" si="3"/>
        <v>10.66</v>
      </c>
      <c r="Q182" s="3004">
        <v>178</v>
      </c>
      <c r="R182" s="2999" t="s">
        <v>4825</v>
      </c>
      <c r="S182" s="3000">
        <v>60.69</v>
      </c>
      <c r="T182" s="3000">
        <v>1</v>
      </c>
      <c r="U182" s="3000">
        <v>17260</v>
      </c>
      <c r="V182" s="3000">
        <v>105</v>
      </c>
    </row>
    <row r="183" spans="4:22" ht="14.25" thickBot="1">
      <c r="D183" s="2915">
        <v>179</v>
      </c>
      <c r="E183" s="2915"/>
      <c r="F183" s="2914" t="s">
        <v>3290</v>
      </c>
      <c r="G183" s="2915">
        <v>60.69</v>
      </c>
      <c r="H183" s="2915">
        <f t="shared" si="3"/>
        <v>10.66</v>
      </c>
      <c r="Q183" s="3004">
        <v>179</v>
      </c>
      <c r="R183" s="2999" t="s">
        <v>4826</v>
      </c>
      <c r="S183" s="3000">
        <v>60.69</v>
      </c>
      <c r="T183" s="3000">
        <v>1</v>
      </c>
      <c r="U183" s="3000">
        <v>17260</v>
      </c>
      <c r="V183" s="3000">
        <v>105</v>
      </c>
    </row>
    <row r="184" spans="4:22" ht="14.25" thickBot="1">
      <c r="D184" s="2915">
        <v>180</v>
      </c>
      <c r="E184" s="2915"/>
      <c r="F184" s="2914" t="s">
        <v>3291</v>
      </c>
      <c r="G184" s="2915">
        <v>60.69</v>
      </c>
      <c r="H184" s="2915">
        <f t="shared" si="3"/>
        <v>10.66</v>
      </c>
      <c r="Q184" s="3004">
        <v>180</v>
      </c>
      <c r="R184" s="2999" t="s">
        <v>4827</v>
      </c>
      <c r="S184" s="3000">
        <v>60.69</v>
      </c>
      <c r="T184" s="3000">
        <v>1</v>
      </c>
      <c r="U184" s="3000">
        <v>17260</v>
      </c>
      <c r="V184" s="3000">
        <v>105</v>
      </c>
    </row>
    <row r="185" spans="4:22" ht="14.25" thickBot="1">
      <c r="D185" s="2915">
        <v>181</v>
      </c>
      <c r="E185" s="2915"/>
      <c r="F185" s="2914" t="s">
        <v>3292</v>
      </c>
      <c r="G185" s="2915">
        <v>48.86</v>
      </c>
      <c r="H185" s="2915">
        <f t="shared" si="3"/>
        <v>8.58</v>
      </c>
      <c r="Q185" s="3004">
        <v>181</v>
      </c>
      <c r="R185" s="2999" t="s">
        <v>4828</v>
      </c>
      <c r="S185" s="3000">
        <v>48.86</v>
      </c>
      <c r="T185" s="3000">
        <v>1</v>
      </c>
      <c r="U185" s="3000">
        <v>17260</v>
      </c>
      <c r="V185" s="3000">
        <v>84</v>
      </c>
    </row>
    <row r="186" spans="4:22" ht="14.25" thickBot="1">
      <c r="D186" s="2915">
        <v>182</v>
      </c>
      <c r="E186" s="2915"/>
      <c r="F186" s="2914" t="s">
        <v>3293</v>
      </c>
      <c r="G186" s="2915">
        <v>48.86</v>
      </c>
      <c r="H186" s="2915">
        <f t="shared" si="3"/>
        <v>8.58</v>
      </c>
      <c r="Q186" s="3004">
        <v>182</v>
      </c>
      <c r="R186" s="2999" t="s">
        <v>4829</v>
      </c>
      <c r="S186" s="3000">
        <v>48.86</v>
      </c>
      <c r="T186" s="3000">
        <v>1</v>
      </c>
      <c r="U186" s="3000">
        <v>17260</v>
      </c>
      <c r="V186" s="3000">
        <v>84</v>
      </c>
    </row>
    <row r="187" spans="4:22" ht="14.25" thickBot="1">
      <c r="D187" s="2915">
        <v>183</v>
      </c>
      <c r="E187" s="2915"/>
      <c r="F187" s="2914" t="s">
        <v>3294</v>
      </c>
      <c r="G187" s="2915">
        <v>48.86</v>
      </c>
      <c r="H187" s="2915">
        <f t="shared" si="3"/>
        <v>8.58</v>
      </c>
      <c r="Q187" s="3004">
        <v>183</v>
      </c>
      <c r="R187" s="2999" t="s">
        <v>4830</v>
      </c>
      <c r="S187" s="3000">
        <v>48.86</v>
      </c>
      <c r="T187" s="3000">
        <v>1</v>
      </c>
      <c r="U187" s="3000">
        <v>17260</v>
      </c>
      <c r="V187" s="3000">
        <v>84</v>
      </c>
    </row>
    <row r="188" spans="4:22" ht="14.25" thickBot="1">
      <c r="D188" s="2915">
        <v>184</v>
      </c>
      <c r="E188" s="2915"/>
      <c r="F188" s="2914" t="s">
        <v>3295</v>
      </c>
      <c r="G188" s="2915">
        <v>54.87</v>
      </c>
      <c r="H188" s="2915">
        <f t="shared" si="3"/>
        <v>9.6300000000000008</v>
      </c>
      <c r="Q188" s="3004">
        <v>184</v>
      </c>
      <c r="R188" s="2999" t="s">
        <v>4831</v>
      </c>
      <c r="S188" s="3000">
        <v>54.87</v>
      </c>
      <c r="T188" s="3000">
        <v>1</v>
      </c>
      <c r="U188" s="3000">
        <v>17260</v>
      </c>
      <c r="V188" s="3000">
        <v>95</v>
      </c>
    </row>
    <row r="189" spans="4:22" ht="14.25" thickBot="1">
      <c r="D189" s="2915">
        <v>185</v>
      </c>
      <c r="E189" s="2915"/>
      <c r="F189" s="2914" t="s">
        <v>3296</v>
      </c>
      <c r="G189" s="2915">
        <v>88.13</v>
      </c>
      <c r="H189" s="2915">
        <f t="shared" si="3"/>
        <v>15.47</v>
      </c>
      <c r="Q189" s="3004">
        <v>185</v>
      </c>
      <c r="R189" s="2999" t="s">
        <v>4832</v>
      </c>
      <c r="S189" s="3000">
        <v>88.13</v>
      </c>
      <c r="T189" s="3000">
        <v>1</v>
      </c>
      <c r="U189" s="3000">
        <v>17260</v>
      </c>
      <c r="V189" s="3000">
        <v>152</v>
      </c>
    </row>
    <row r="190" spans="4:22" ht="14.25" thickBot="1">
      <c r="D190" s="2915">
        <v>186</v>
      </c>
      <c r="E190" s="2915"/>
      <c r="F190" s="2914" t="s">
        <v>3297</v>
      </c>
      <c r="G190" s="2915">
        <v>5.81</v>
      </c>
      <c r="H190" s="2915">
        <f t="shared" si="3"/>
        <v>1.02</v>
      </c>
      <c r="Q190" s="3004">
        <v>186</v>
      </c>
      <c r="R190" s="2999" t="s">
        <v>4833</v>
      </c>
      <c r="S190" s="3000">
        <v>5.81</v>
      </c>
      <c r="T190" s="3000">
        <v>1</v>
      </c>
      <c r="U190" s="3000">
        <v>17260</v>
      </c>
      <c r="V190" s="3000">
        <v>10</v>
      </c>
    </row>
    <row r="191" spans="4:22" ht="14.25" thickBot="1">
      <c r="D191" s="2915">
        <v>187</v>
      </c>
      <c r="E191" s="2915"/>
      <c r="F191" s="2914" t="s">
        <v>3298</v>
      </c>
      <c r="G191" s="2915">
        <v>186.33</v>
      </c>
      <c r="H191" s="2915">
        <f t="shared" si="3"/>
        <v>32.72</v>
      </c>
      <c r="Q191" s="3004">
        <v>187</v>
      </c>
      <c r="R191" s="2999" t="s">
        <v>4834</v>
      </c>
      <c r="S191" s="3000">
        <v>186.33</v>
      </c>
      <c r="T191" s="3000">
        <v>0.99</v>
      </c>
      <c r="U191" s="3000">
        <v>17087</v>
      </c>
      <c r="V191" s="3000">
        <v>318</v>
      </c>
    </row>
    <row r="192" spans="4:22" ht="14.25" thickBot="1">
      <c r="D192" s="2915">
        <v>188</v>
      </c>
      <c r="E192" s="2915"/>
      <c r="F192" s="2914" t="s">
        <v>3299</v>
      </c>
      <c r="G192" s="2915">
        <v>188.39</v>
      </c>
      <c r="H192" s="2915">
        <f t="shared" si="3"/>
        <v>33.08</v>
      </c>
      <c r="Q192" s="3004">
        <v>188</v>
      </c>
      <c r="R192" s="2999" t="s">
        <v>4835</v>
      </c>
      <c r="S192" s="3000">
        <v>188.39</v>
      </c>
      <c r="T192" s="3000">
        <v>0.99</v>
      </c>
      <c r="U192" s="3000">
        <v>17087</v>
      </c>
      <c r="V192" s="3000">
        <v>322</v>
      </c>
    </row>
    <row r="193" spans="4:22" ht="14.25" thickBot="1">
      <c r="D193" s="2915">
        <v>189</v>
      </c>
      <c r="E193" s="2915"/>
      <c r="F193" s="2914" t="s">
        <v>3300</v>
      </c>
      <c r="G193" s="2915">
        <v>188.39</v>
      </c>
      <c r="H193" s="2915">
        <f t="shared" si="3"/>
        <v>33.08</v>
      </c>
      <c r="Q193" s="3004">
        <v>189</v>
      </c>
      <c r="R193" s="2999" t="s">
        <v>4836</v>
      </c>
      <c r="S193" s="3000">
        <v>188.39</v>
      </c>
      <c r="T193" s="3000">
        <v>0.99</v>
      </c>
      <c r="U193" s="3000">
        <v>17087</v>
      </c>
      <c r="V193" s="3000">
        <v>322</v>
      </c>
    </row>
    <row r="194" spans="4:22" ht="14.25" thickBot="1">
      <c r="D194" s="2915">
        <v>190</v>
      </c>
      <c r="E194" s="2915"/>
      <c r="F194" s="2914" t="s">
        <v>3301</v>
      </c>
      <c r="G194" s="2915">
        <v>188.39</v>
      </c>
      <c r="H194" s="2915">
        <f t="shared" si="3"/>
        <v>33.08</v>
      </c>
      <c r="Q194" s="3004">
        <v>190</v>
      </c>
      <c r="R194" s="2999" t="s">
        <v>4837</v>
      </c>
      <c r="S194" s="3000">
        <v>188.39</v>
      </c>
      <c r="T194" s="3000">
        <v>0.99</v>
      </c>
      <c r="U194" s="3000">
        <v>17087</v>
      </c>
      <c r="V194" s="3000">
        <v>322</v>
      </c>
    </row>
    <row r="195" spans="4:22" ht="14.25" thickBot="1">
      <c r="D195" s="2915">
        <v>191</v>
      </c>
      <c r="E195" s="2915"/>
      <c r="F195" s="2914" t="s">
        <v>3302</v>
      </c>
      <c r="G195" s="2915">
        <v>188.39</v>
      </c>
      <c r="H195" s="2915">
        <f t="shared" si="3"/>
        <v>33.08</v>
      </c>
      <c r="Q195" s="3004">
        <v>191</v>
      </c>
      <c r="R195" s="2999" t="s">
        <v>4838</v>
      </c>
      <c r="S195" s="3000">
        <v>188.39</v>
      </c>
      <c r="T195" s="3000">
        <v>0.99</v>
      </c>
      <c r="U195" s="3000">
        <v>17087</v>
      </c>
      <c r="V195" s="3000">
        <v>322</v>
      </c>
    </row>
    <row r="196" spans="4:22" ht="14.25" thickBot="1">
      <c r="D196" s="2915">
        <v>192</v>
      </c>
      <c r="E196" s="2915"/>
      <c r="F196" s="2914" t="s">
        <v>3303</v>
      </c>
      <c r="G196" s="2915">
        <v>188.39</v>
      </c>
      <c r="H196" s="2915">
        <f t="shared" si="3"/>
        <v>33.08</v>
      </c>
      <c r="Q196" s="3004">
        <v>192</v>
      </c>
      <c r="R196" s="2999" t="s">
        <v>4839</v>
      </c>
      <c r="S196" s="3000">
        <v>188.39</v>
      </c>
      <c r="T196" s="3000">
        <v>0.99</v>
      </c>
      <c r="U196" s="3000">
        <v>17087</v>
      </c>
      <c r="V196" s="3000">
        <v>322</v>
      </c>
    </row>
    <row r="197" spans="4:22" ht="14.25" thickBot="1">
      <c r="D197" s="2915">
        <v>193</v>
      </c>
      <c r="E197" s="2915"/>
      <c r="F197" s="2914" t="s">
        <v>3304</v>
      </c>
      <c r="G197" s="2915">
        <v>187.53</v>
      </c>
      <c r="H197" s="2915">
        <f t="shared" si="3"/>
        <v>32.93</v>
      </c>
      <c r="Q197" s="3004">
        <v>193</v>
      </c>
      <c r="R197" s="2999" t="s">
        <v>4840</v>
      </c>
      <c r="S197" s="3000">
        <v>187.53</v>
      </c>
      <c r="T197" s="3000">
        <v>0.99</v>
      </c>
      <c r="U197" s="3000">
        <v>17087</v>
      </c>
      <c r="V197" s="3000">
        <v>320</v>
      </c>
    </row>
    <row r="198" spans="4:22" ht="14.25" thickBot="1">
      <c r="D198" s="2915">
        <v>194</v>
      </c>
      <c r="E198" s="2915"/>
      <c r="F198" s="2914" t="s">
        <v>3305</v>
      </c>
      <c r="G198" s="2915">
        <v>210.19</v>
      </c>
      <c r="H198" s="2915">
        <f t="shared" ref="H198:H261" si="4">ROUND(G198/$N$7*$M$7,2)</f>
        <v>36.909999999999997</v>
      </c>
      <c r="Q198" s="3004">
        <v>194</v>
      </c>
      <c r="R198" s="2999" t="s">
        <v>4841</v>
      </c>
      <c r="S198" s="3000">
        <v>210.19</v>
      </c>
      <c r="T198" s="3000">
        <v>0.98</v>
      </c>
      <c r="U198" s="3000">
        <v>16915</v>
      </c>
      <c r="V198" s="3000">
        <v>356</v>
      </c>
    </row>
    <row r="199" spans="4:22" ht="14.25" thickBot="1">
      <c r="D199" s="2915">
        <v>195</v>
      </c>
      <c r="E199" s="2915"/>
      <c r="F199" s="2914" t="s">
        <v>3306</v>
      </c>
      <c r="G199" s="2915">
        <v>169.2</v>
      </c>
      <c r="H199" s="2915">
        <f t="shared" si="4"/>
        <v>29.71</v>
      </c>
      <c r="Q199" s="3004">
        <v>195</v>
      </c>
      <c r="R199" s="2999" t="s">
        <v>4842</v>
      </c>
      <c r="S199" s="3000">
        <v>169.2</v>
      </c>
      <c r="T199" s="3000">
        <v>0.99</v>
      </c>
      <c r="U199" s="3000">
        <v>17087</v>
      </c>
      <c r="V199" s="3000">
        <v>289</v>
      </c>
    </row>
    <row r="200" spans="4:22" ht="14.25" thickBot="1">
      <c r="D200" s="2915">
        <v>196</v>
      </c>
      <c r="E200" s="2915"/>
      <c r="F200" s="2914" t="s">
        <v>3307</v>
      </c>
      <c r="G200" s="2915">
        <v>178.35</v>
      </c>
      <c r="H200" s="2915">
        <f t="shared" si="4"/>
        <v>31.32</v>
      </c>
      <c r="Q200" s="3004">
        <v>196</v>
      </c>
      <c r="R200" s="2999" t="s">
        <v>4843</v>
      </c>
      <c r="S200" s="3000">
        <v>178.35</v>
      </c>
      <c r="T200" s="3000">
        <v>0.99</v>
      </c>
      <c r="U200" s="3000">
        <v>17087</v>
      </c>
      <c r="V200" s="3000">
        <v>305</v>
      </c>
    </row>
    <row r="201" spans="4:22" ht="14.25" thickBot="1">
      <c r="D201" s="2915">
        <v>197</v>
      </c>
      <c r="E201" s="2915"/>
      <c r="F201" s="2914" t="s">
        <v>3308</v>
      </c>
      <c r="G201" s="2915">
        <v>208.92</v>
      </c>
      <c r="H201" s="2915">
        <f t="shared" si="4"/>
        <v>36.68</v>
      </c>
      <c r="Q201" s="3004">
        <v>197</v>
      </c>
      <c r="R201" s="2999" t="s">
        <v>4844</v>
      </c>
      <c r="S201" s="3000">
        <v>208.92</v>
      </c>
      <c r="T201" s="3000">
        <v>0.98</v>
      </c>
      <c r="U201" s="3000">
        <v>16915</v>
      </c>
      <c r="V201" s="3000">
        <v>353</v>
      </c>
    </row>
    <row r="202" spans="4:22" ht="14.25" thickBot="1">
      <c r="D202" s="2915">
        <v>198</v>
      </c>
      <c r="E202" s="2915"/>
      <c r="F202" s="2914" t="s">
        <v>3309</v>
      </c>
      <c r="G202" s="2915">
        <v>188.35</v>
      </c>
      <c r="H202" s="2915">
        <f t="shared" si="4"/>
        <v>33.07</v>
      </c>
      <c r="Q202" s="3004">
        <v>198</v>
      </c>
      <c r="R202" s="2999" t="s">
        <v>4845</v>
      </c>
      <c r="S202" s="3000">
        <v>188.35</v>
      </c>
      <c r="T202" s="3000">
        <v>0.99</v>
      </c>
      <c r="U202" s="3000">
        <v>17087</v>
      </c>
      <c r="V202" s="3000">
        <v>322</v>
      </c>
    </row>
    <row r="203" spans="4:22" ht="14.25" thickBot="1">
      <c r="D203" s="2915">
        <v>199</v>
      </c>
      <c r="E203" s="2915"/>
      <c r="F203" s="2914" t="s">
        <v>3310</v>
      </c>
      <c r="G203" s="2915">
        <v>188.39</v>
      </c>
      <c r="H203" s="2915">
        <f t="shared" si="4"/>
        <v>33.08</v>
      </c>
      <c r="Q203" s="3004">
        <v>199</v>
      </c>
      <c r="R203" s="2999" t="s">
        <v>4846</v>
      </c>
      <c r="S203" s="3000">
        <v>188.39</v>
      </c>
      <c r="T203" s="3000">
        <v>0.99</v>
      </c>
      <c r="U203" s="3000">
        <v>17087</v>
      </c>
      <c r="V203" s="3000">
        <v>322</v>
      </c>
    </row>
    <row r="204" spans="4:22" ht="14.25" thickBot="1">
      <c r="D204" s="2915">
        <v>200</v>
      </c>
      <c r="E204" s="2915"/>
      <c r="F204" s="2914" t="s">
        <v>3311</v>
      </c>
      <c r="G204" s="2915">
        <v>188.39</v>
      </c>
      <c r="H204" s="2915">
        <f t="shared" si="4"/>
        <v>33.08</v>
      </c>
      <c r="Q204" s="3004">
        <v>200</v>
      </c>
      <c r="R204" s="2999" t="s">
        <v>4847</v>
      </c>
      <c r="S204" s="3000">
        <v>188.39</v>
      </c>
      <c r="T204" s="3000">
        <v>0.99</v>
      </c>
      <c r="U204" s="3000">
        <v>17087</v>
      </c>
      <c r="V204" s="3000">
        <v>322</v>
      </c>
    </row>
    <row r="205" spans="4:22" ht="14.25" thickBot="1">
      <c r="D205" s="2915">
        <v>201</v>
      </c>
      <c r="E205" s="2915"/>
      <c r="F205" s="2914" t="s">
        <v>3312</v>
      </c>
      <c r="G205" s="2915">
        <v>188.39</v>
      </c>
      <c r="H205" s="2915">
        <f t="shared" si="4"/>
        <v>33.08</v>
      </c>
      <c r="Q205" s="3004">
        <v>201</v>
      </c>
      <c r="R205" s="2999" t="s">
        <v>4848</v>
      </c>
      <c r="S205" s="3000">
        <v>188.39</v>
      </c>
      <c r="T205" s="3000">
        <v>0.99</v>
      </c>
      <c r="U205" s="3000">
        <v>17087</v>
      </c>
      <c r="V205" s="3000">
        <v>322</v>
      </c>
    </row>
    <row r="206" spans="4:22" ht="14.25" thickBot="1">
      <c r="D206" s="2915">
        <v>202</v>
      </c>
      <c r="E206" s="2915"/>
      <c r="F206" s="2914" t="s">
        <v>3313</v>
      </c>
      <c r="G206" s="2915">
        <v>188.39</v>
      </c>
      <c r="H206" s="2915">
        <f t="shared" si="4"/>
        <v>33.08</v>
      </c>
      <c r="Q206" s="3004">
        <v>202</v>
      </c>
      <c r="R206" s="2999" t="s">
        <v>4849</v>
      </c>
      <c r="S206" s="3000">
        <v>188.39</v>
      </c>
      <c r="T206" s="3000">
        <v>0.99</v>
      </c>
      <c r="U206" s="3000">
        <v>17087</v>
      </c>
      <c r="V206" s="3000">
        <v>322</v>
      </c>
    </row>
    <row r="207" spans="4:22" ht="14.25" thickBot="1">
      <c r="D207" s="2915">
        <v>203</v>
      </c>
      <c r="E207" s="2915"/>
      <c r="F207" s="2914" t="s">
        <v>3314</v>
      </c>
      <c r="G207" s="2915">
        <v>188.39</v>
      </c>
      <c r="H207" s="2915">
        <f t="shared" si="4"/>
        <v>33.08</v>
      </c>
      <c r="Q207" s="3004">
        <v>203</v>
      </c>
      <c r="R207" s="2999" t="s">
        <v>4850</v>
      </c>
      <c r="S207" s="3000">
        <v>188.39</v>
      </c>
      <c r="T207" s="3000">
        <v>0.99</v>
      </c>
      <c r="U207" s="3000">
        <v>17087</v>
      </c>
      <c r="V207" s="3000">
        <v>322</v>
      </c>
    </row>
    <row r="208" spans="4:22" ht="14.25" thickBot="1">
      <c r="D208" s="2915">
        <v>204</v>
      </c>
      <c r="E208" s="2915"/>
      <c r="F208" s="2914" t="s">
        <v>3315</v>
      </c>
      <c r="G208" s="2915">
        <v>279.91000000000003</v>
      </c>
      <c r="H208" s="2915">
        <f t="shared" si="4"/>
        <v>49.15</v>
      </c>
      <c r="Q208" s="3004">
        <v>204</v>
      </c>
      <c r="R208" s="2999" t="s">
        <v>4851</v>
      </c>
      <c r="S208" s="3000">
        <v>279.91000000000003</v>
      </c>
      <c r="T208" s="3000">
        <v>0.98</v>
      </c>
      <c r="U208" s="3000">
        <v>16915</v>
      </c>
      <c r="V208" s="3000">
        <v>473</v>
      </c>
    </row>
    <row r="209" spans="4:22" ht="14.25" thickBot="1">
      <c r="D209" s="2915">
        <v>205</v>
      </c>
      <c r="E209" s="2915"/>
      <c r="F209" s="2914" t="s">
        <v>3316</v>
      </c>
      <c r="G209" s="2915">
        <v>175.75</v>
      </c>
      <c r="H209" s="2915">
        <f t="shared" si="4"/>
        <v>30.86</v>
      </c>
      <c r="Q209" s="3004">
        <v>205</v>
      </c>
      <c r="R209" s="2999" t="s">
        <v>4852</v>
      </c>
      <c r="S209" s="3000">
        <v>175.75</v>
      </c>
      <c r="T209" s="3000">
        <v>0.99</v>
      </c>
      <c r="U209" s="3000">
        <v>17087</v>
      </c>
      <c r="V209" s="3000">
        <v>300</v>
      </c>
    </row>
    <row r="210" spans="4:22" ht="14.25" thickBot="1">
      <c r="D210" s="2915">
        <v>206</v>
      </c>
      <c r="E210" s="2915"/>
      <c r="F210" s="2914" t="s">
        <v>3317</v>
      </c>
      <c r="G210" s="2915">
        <v>188.32</v>
      </c>
      <c r="H210" s="2915">
        <f t="shared" si="4"/>
        <v>33.07</v>
      </c>
      <c r="Q210" s="3004">
        <v>206</v>
      </c>
      <c r="R210" s="2999" t="s">
        <v>4853</v>
      </c>
      <c r="S210" s="3000">
        <v>188.32</v>
      </c>
      <c r="T210" s="3000">
        <v>0.99</v>
      </c>
      <c r="U210" s="3000">
        <v>17087</v>
      </c>
      <c r="V210" s="3000">
        <v>322</v>
      </c>
    </row>
    <row r="211" spans="4:22" ht="14.25" thickBot="1">
      <c r="D211" s="2915">
        <v>207</v>
      </c>
      <c r="E211" s="2915"/>
      <c r="F211" s="2914" t="s">
        <v>3318</v>
      </c>
      <c r="G211" s="2915">
        <v>210.22</v>
      </c>
      <c r="H211" s="2915">
        <f t="shared" si="4"/>
        <v>36.909999999999997</v>
      </c>
      <c r="Q211" s="3004">
        <v>207</v>
      </c>
      <c r="R211" s="2999" t="s">
        <v>4854</v>
      </c>
      <c r="S211" s="3000">
        <v>210.22</v>
      </c>
      <c r="T211" s="3000">
        <v>0.98</v>
      </c>
      <c r="U211" s="3000">
        <v>16915</v>
      </c>
      <c r="V211" s="3000">
        <v>356</v>
      </c>
    </row>
    <row r="212" spans="4:22" ht="14.25" thickBot="1">
      <c r="D212" s="2915">
        <v>208</v>
      </c>
      <c r="E212" s="2915"/>
      <c r="F212" s="2914" t="s">
        <v>3319</v>
      </c>
      <c r="G212" s="2915">
        <v>187.56</v>
      </c>
      <c r="H212" s="2915">
        <f t="shared" si="4"/>
        <v>32.93</v>
      </c>
      <c r="Q212" s="3004">
        <v>208</v>
      </c>
      <c r="R212" s="2999" t="s">
        <v>4855</v>
      </c>
      <c r="S212" s="3000">
        <v>187.56</v>
      </c>
      <c r="T212" s="3000">
        <v>0.99</v>
      </c>
      <c r="U212" s="3000">
        <v>17087</v>
      </c>
      <c r="V212" s="3000">
        <v>320</v>
      </c>
    </row>
    <row r="213" spans="4:22" ht="14.25" thickBot="1">
      <c r="D213" s="2915">
        <v>209</v>
      </c>
      <c r="E213" s="2915"/>
      <c r="F213" s="2914" t="s">
        <v>3320</v>
      </c>
      <c r="G213" s="2915">
        <v>188.42</v>
      </c>
      <c r="H213" s="2915">
        <f t="shared" si="4"/>
        <v>33.08</v>
      </c>
      <c r="Q213" s="3004">
        <v>209</v>
      </c>
      <c r="R213" s="2999" t="s">
        <v>4856</v>
      </c>
      <c r="S213" s="3000">
        <v>188.42</v>
      </c>
      <c r="T213" s="3000">
        <v>0.99</v>
      </c>
      <c r="U213" s="3000">
        <v>17087</v>
      </c>
      <c r="V213" s="3000">
        <v>322</v>
      </c>
    </row>
    <row r="214" spans="4:22" ht="14.25" thickBot="1">
      <c r="D214" s="2915">
        <v>210</v>
      </c>
      <c r="E214" s="2915"/>
      <c r="F214" s="2914" t="s">
        <v>3321</v>
      </c>
      <c r="G214" s="2915">
        <v>188.42</v>
      </c>
      <c r="H214" s="2915">
        <f t="shared" si="4"/>
        <v>33.08</v>
      </c>
      <c r="Q214" s="3004">
        <v>210</v>
      </c>
      <c r="R214" s="2999" t="s">
        <v>4857</v>
      </c>
      <c r="S214" s="3000">
        <v>188.42</v>
      </c>
      <c r="T214" s="3000">
        <v>0.99</v>
      </c>
      <c r="U214" s="3000">
        <v>17087</v>
      </c>
      <c r="V214" s="3000">
        <v>322</v>
      </c>
    </row>
    <row r="215" spans="4:22" ht="14.25" thickBot="1">
      <c r="D215" s="2915">
        <v>211</v>
      </c>
      <c r="E215" s="2915"/>
      <c r="F215" s="2914" t="s">
        <v>3322</v>
      </c>
      <c r="G215" s="2915">
        <v>188.42</v>
      </c>
      <c r="H215" s="2915">
        <f t="shared" si="4"/>
        <v>33.08</v>
      </c>
      <c r="Q215" s="3004">
        <v>211</v>
      </c>
      <c r="R215" s="2999" t="s">
        <v>4858</v>
      </c>
      <c r="S215" s="3000">
        <v>188.42</v>
      </c>
      <c r="T215" s="3000">
        <v>0.99</v>
      </c>
      <c r="U215" s="3000">
        <v>17087</v>
      </c>
      <c r="V215" s="3000">
        <v>322</v>
      </c>
    </row>
    <row r="216" spans="4:22" ht="14.25" thickBot="1">
      <c r="D216" s="2915">
        <v>212</v>
      </c>
      <c r="E216" s="2915"/>
      <c r="F216" s="2914" t="s">
        <v>3323</v>
      </c>
      <c r="G216" s="2915">
        <v>188.42</v>
      </c>
      <c r="H216" s="2915">
        <f t="shared" si="4"/>
        <v>33.08</v>
      </c>
      <c r="Q216" s="3004">
        <v>212</v>
      </c>
      <c r="R216" s="2999" t="s">
        <v>4859</v>
      </c>
      <c r="S216" s="3000">
        <v>188.42</v>
      </c>
      <c r="T216" s="3000">
        <v>0.99</v>
      </c>
      <c r="U216" s="3000">
        <v>17087</v>
      </c>
      <c r="V216" s="3000">
        <v>322</v>
      </c>
    </row>
    <row r="217" spans="4:22" ht="14.25" thickBot="1">
      <c r="D217" s="2915">
        <v>213</v>
      </c>
      <c r="E217" s="2915"/>
      <c r="F217" s="2914" t="s">
        <v>3324</v>
      </c>
      <c r="G217" s="2915">
        <v>188.42</v>
      </c>
      <c r="H217" s="2915">
        <f t="shared" si="4"/>
        <v>33.08</v>
      </c>
      <c r="Q217" s="3004">
        <v>213</v>
      </c>
      <c r="R217" s="2999" t="s">
        <v>4860</v>
      </c>
      <c r="S217" s="3000">
        <v>188.42</v>
      </c>
      <c r="T217" s="3000">
        <v>0.99</v>
      </c>
      <c r="U217" s="3000">
        <v>17087</v>
      </c>
      <c r="V217" s="3000">
        <v>322</v>
      </c>
    </row>
    <row r="218" spans="4:22" ht="14.25" thickBot="1">
      <c r="D218" s="2915">
        <v>214</v>
      </c>
      <c r="E218" s="2915"/>
      <c r="F218" s="2914" t="s">
        <v>3325</v>
      </c>
      <c r="G218" s="2915">
        <v>186.36</v>
      </c>
      <c r="H218" s="2915">
        <f t="shared" si="4"/>
        <v>32.72</v>
      </c>
      <c r="Q218" s="3004">
        <v>214</v>
      </c>
      <c r="R218" s="2999" t="s">
        <v>4861</v>
      </c>
      <c r="S218" s="3000">
        <v>186.36</v>
      </c>
      <c r="T218" s="3000">
        <v>0.99</v>
      </c>
      <c r="U218" s="3000">
        <v>17087</v>
      </c>
      <c r="V218" s="3000">
        <v>318</v>
      </c>
    </row>
    <row r="219" spans="4:22" ht="14.25" thickBot="1">
      <c r="D219" s="2915">
        <v>215</v>
      </c>
      <c r="E219" s="2915"/>
      <c r="F219" s="2914" t="s">
        <v>3326</v>
      </c>
      <c r="G219" s="2915">
        <v>188.36</v>
      </c>
      <c r="H219" s="2915">
        <f t="shared" si="4"/>
        <v>33.07</v>
      </c>
      <c r="Q219" s="3004">
        <v>215</v>
      </c>
      <c r="R219" s="2999" t="s">
        <v>4862</v>
      </c>
      <c r="S219" s="3000">
        <v>188.36</v>
      </c>
      <c r="T219" s="3000">
        <v>0.99</v>
      </c>
      <c r="U219" s="3000">
        <v>17087</v>
      </c>
      <c r="V219" s="3000">
        <v>322</v>
      </c>
    </row>
    <row r="220" spans="4:22" ht="14.25" thickBot="1">
      <c r="D220" s="2915">
        <v>216</v>
      </c>
      <c r="E220" s="2915"/>
      <c r="F220" s="2914" t="s">
        <v>3327</v>
      </c>
      <c r="G220" s="2915">
        <v>175.78</v>
      </c>
      <c r="H220" s="2915">
        <f t="shared" si="4"/>
        <v>30.87</v>
      </c>
      <c r="Q220" s="3004">
        <v>216</v>
      </c>
      <c r="R220" s="2999" t="s">
        <v>4863</v>
      </c>
      <c r="S220" s="3000">
        <v>175.78</v>
      </c>
      <c r="T220" s="3000">
        <v>0.99</v>
      </c>
      <c r="U220" s="3000">
        <v>17087</v>
      </c>
      <c r="V220" s="3000">
        <v>300</v>
      </c>
    </row>
    <row r="221" spans="4:22" ht="14.25" thickBot="1">
      <c r="D221" s="2915">
        <v>217</v>
      </c>
      <c r="E221" s="2915"/>
      <c r="F221" s="2914" t="s">
        <v>3328</v>
      </c>
      <c r="G221" s="2915">
        <v>279.95999999999998</v>
      </c>
      <c r="H221" s="2915">
        <f t="shared" si="4"/>
        <v>49.16</v>
      </c>
      <c r="Q221" s="3004">
        <v>217</v>
      </c>
      <c r="R221" s="2999" t="s">
        <v>4864</v>
      </c>
      <c r="S221" s="3000">
        <v>279.95999999999998</v>
      </c>
      <c r="T221" s="3000">
        <v>0.98</v>
      </c>
      <c r="U221" s="3000">
        <v>16915</v>
      </c>
      <c r="V221" s="3000">
        <v>474</v>
      </c>
    </row>
    <row r="222" spans="4:22" ht="14.25" thickBot="1">
      <c r="D222" s="2915">
        <v>218</v>
      </c>
      <c r="E222" s="2915"/>
      <c r="F222" s="2914" t="s">
        <v>3329</v>
      </c>
      <c r="G222" s="2915">
        <v>188.43</v>
      </c>
      <c r="H222" s="2915">
        <f t="shared" si="4"/>
        <v>33.090000000000003</v>
      </c>
      <c r="Q222" s="3004">
        <v>218</v>
      </c>
      <c r="R222" s="2999" t="s">
        <v>4865</v>
      </c>
      <c r="S222" s="3000">
        <v>188.43</v>
      </c>
      <c r="T222" s="3000">
        <v>0.99</v>
      </c>
      <c r="U222" s="3000">
        <v>17087</v>
      </c>
      <c r="V222" s="3000">
        <v>322</v>
      </c>
    </row>
    <row r="223" spans="4:22" ht="14.25" thickBot="1">
      <c r="D223" s="2915">
        <v>219</v>
      </c>
      <c r="E223" s="2915"/>
      <c r="F223" s="2914" t="s">
        <v>3330</v>
      </c>
      <c r="G223" s="2915">
        <v>188.43</v>
      </c>
      <c r="H223" s="2915">
        <f t="shared" si="4"/>
        <v>33.090000000000003</v>
      </c>
      <c r="Q223" s="3004">
        <v>219</v>
      </c>
      <c r="R223" s="2999" t="s">
        <v>4866</v>
      </c>
      <c r="S223" s="3000">
        <v>188.43</v>
      </c>
      <c r="T223" s="3000">
        <v>0.99</v>
      </c>
      <c r="U223" s="3000">
        <v>17087</v>
      </c>
      <c r="V223" s="3000">
        <v>322</v>
      </c>
    </row>
    <row r="224" spans="4:22" ht="14.25" thickBot="1">
      <c r="D224" s="2915">
        <v>220</v>
      </c>
      <c r="E224" s="2915"/>
      <c r="F224" s="2914" t="s">
        <v>3331</v>
      </c>
      <c r="G224" s="2915">
        <v>188.43</v>
      </c>
      <c r="H224" s="2915">
        <f t="shared" si="4"/>
        <v>33.090000000000003</v>
      </c>
      <c r="Q224" s="3004">
        <v>220</v>
      </c>
      <c r="R224" s="2999" t="s">
        <v>4867</v>
      </c>
      <c r="S224" s="3000">
        <v>188.43</v>
      </c>
      <c r="T224" s="3000">
        <v>0.99</v>
      </c>
      <c r="U224" s="3000">
        <v>17087</v>
      </c>
      <c r="V224" s="3000">
        <v>322</v>
      </c>
    </row>
    <row r="225" spans="4:22" ht="14.25" thickBot="1">
      <c r="D225" s="2915">
        <v>221</v>
      </c>
      <c r="E225" s="2915"/>
      <c r="F225" s="2914" t="s">
        <v>3332</v>
      </c>
      <c r="G225" s="2915">
        <v>188.43</v>
      </c>
      <c r="H225" s="2915">
        <f t="shared" si="4"/>
        <v>33.090000000000003</v>
      </c>
      <c r="Q225" s="3004">
        <v>221</v>
      </c>
      <c r="R225" s="2999" t="s">
        <v>4868</v>
      </c>
      <c r="S225" s="3000">
        <v>188.43</v>
      </c>
      <c r="T225" s="3000">
        <v>0.99</v>
      </c>
      <c r="U225" s="3000">
        <v>17087</v>
      </c>
      <c r="V225" s="3000">
        <v>322</v>
      </c>
    </row>
    <row r="226" spans="4:22" ht="14.25" thickBot="1">
      <c r="D226" s="2915">
        <v>222</v>
      </c>
      <c r="E226" s="2915"/>
      <c r="F226" s="2914" t="s">
        <v>3333</v>
      </c>
      <c r="G226" s="2915">
        <v>188.43</v>
      </c>
      <c r="H226" s="2915">
        <f t="shared" si="4"/>
        <v>33.090000000000003</v>
      </c>
      <c r="Q226" s="3004">
        <v>222</v>
      </c>
      <c r="R226" s="2999" t="s">
        <v>4869</v>
      </c>
      <c r="S226" s="3000">
        <v>188.43</v>
      </c>
      <c r="T226" s="3000">
        <v>0.99</v>
      </c>
      <c r="U226" s="3000">
        <v>17087</v>
      </c>
      <c r="V226" s="3000">
        <v>322</v>
      </c>
    </row>
    <row r="227" spans="4:22" ht="14.25" thickBot="1">
      <c r="D227" s="2915">
        <v>223</v>
      </c>
      <c r="E227" s="2915"/>
      <c r="F227" s="2914" t="s">
        <v>3334</v>
      </c>
      <c r="G227" s="2915">
        <v>188.38</v>
      </c>
      <c r="H227" s="2915">
        <f t="shared" si="4"/>
        <v>33.08</v>
      </c>
      <c r="Q227" s="3004">
        <v>223</v>
      </c>
      <c r="R227" s="2999" t="s">
        <v>4870</v>
      </c>
      <c r="S227" s="3000">
        <v>188.38</v>
      </c>
      <c r="T227" s="3000">
        <v>0.99</v>
      </c>
      <c r="U227" s="3000">
        <v>17087</v>
      </c>
      <c r="V227" s="3000">
        <v>322</v>
      </c>
    </row>
    <row r="228" spans="4:22" ht="14.25" thickBot="1">
      <c r="D228" s="2915">
        <v>224</v>
      </c>
      <c r="E228" s="2915"/>
      <c r="F228" s="2914" t="s">
        <v>3335</v>
      </c>
      <c r="G228" s="2915">
        <v>208.95</v>
      </c>
      <c r="H228" s="2915">
        <f t="shared" si="4"/>
        <v>36.69</v>
      </c>
      <c r="Q228" s="3004">
        <v>224</v>
      </c>
      <c r="R228" s="2999" t="s">
        <v>4871</v>
      </c>
      <c r="S228" s="3000">
        <v>208.95</v>
      </c>
      <c r="T228" s="3000">
        <v>0.98</v>
      </c>
      <c r="U228" s="3000">
        <v>16915</v>
      </c>
      <c r="V228" s="3000">
        <v>353</v>
      </c>
    </row>
    <row r="229" spans="4:22" ht="14.25" thickBot="1">
      <c r="D229" s="2915">
        <v>225</v>
      </c>
      <c r="E229" s="2915"/>
      <c r="F229" s="2914" t="s">
        <v>3336</v>
      </c>
      <c r="G229" s="2915">
        <v>189.85</v>
      </c>
      <c r="H229" s="2915">
        <f t="shared" si="4"/>
        <v>33.340000000000003</v>
      </c>
      <c r="Q229" s="3004">
        <v>225</v>
      </c>
      <c r="R229" s="2999" t="s">
        <v>4872</v>
      </c>
      <c r="S229" s="3000">
        <v>189.85</v>
      </c>
      <c r="T229" s="3000">
        <v>0.99</v>
      </c>
      <c r="U229" s="3000">
        <v>17087</v>
      </c>
      <c r="V229" s="3000">
        <v>324</v>
      </c>
    </row>
    <row r="230" spans="4:22" ht="14.25" thickBot="1">
      <c r="D230" s="2915">
        <v>226</v>
      </c>
      <c r="E230" s="2915"/>
      <c r="F230" s="2914" t="s">
        <v>3337</v>
      </c>
      <c r="G230" s="2915">
        <v>169.23</v>
      </c>
      <c r="H230" s="2915">
        <f t="shared" si="4"/>
        <v>29.72</v>
      </c>
      <c r="Q230" s="3004">
        <v>226</v>
      </c>
      <c r="R230" s="2999" t="s">
        <v>4873</v>
      </c>
      <c r="S230" s="3000">
        <v>169.23</v>
      </c>
      <c r="T230" s="3000">
        <v>0.99</v>
      </c>
      <c r="U230" s="3000">
        <v>17087</v>
      </c>
      <c r="V230" s="3000">
        <v>289</v>
      </c>
    </row>
    <row r="231" spans="4:22" ht="14.25" thickBot="1">
      <c r="D231" s="2915">
        <v>227</v>
      </c>
      <c r="E231" s="2915"/>
      <c r="F231" s="2914" t="s">
        <v>3338</v>
      </c>
      <c r="G231" s="2915">
        <v>49.61</v>
      </c>
      <c r="H231" s="2915">
        <f t="shared" si="4"/>
        <v>8.7100000000000009</v>
      </c>
      <c r="Q231" s="3004">
        <v>227</v>
      </c>
      <c r="R231" s="2999" t="s">
        <v>4874</v>
      </c>
      <c r="S231" s="3000">
        <v>49.61</v>
      </c>
      <c r="T231" s="3000">
        <v>1</v>
      </c>
      <c r="U231" s="3000">
        <v>17260</v>
      </c>
      <c r="V231" s="3000">
        <v>86</v>
      </c>
    </row>
    <row r="232" spans="4:22" ht="14.25" thickBot="1">
      <c r="D232" s="2915">
        <v>228</v>
      </c>
      <c r="E232" s="2915"/>
      <c r="F232" s="2914" t="s">
        <v>3339</v>
      </c>
      <c r="G232" s="2915">
        <v>50.63</v>
      </c>
      <c r="H232" s="2915">
        <f t="shared" si="4"/>
        <v>8.89</v>
      </c>
      <c r="Q232" s="3004">
        <v>228</v>
      </c>
      <c r="R232" s="2999" t="s">
        <v>4875</v>
      </c>
      <c r="S232" s="3000">
        <v>50.63</v>
      </c>
      <c r="T232" s="3000">
        <v>1</v>
      </c>
      <c r="U232" s="3000">
        <v>17260</v>
      </c>
      <c r="V232" s="3000">
        <v>87</v>
      </c>
    </row>
    <row r="233" spans="4:22" ht="14.25" thickBot="1">
      <c r="D233" s="2915">
        <v>229</v>
      </c>
      <c r="E233" s="2915"/>
      <c r="F233" s="2914" t="s">
        <v>3340</v>
      </c>
      <c r="G233" s="2915">
        <v>50.63</v>
      </c>
      <c r="H233" s="2915">
        <f t="shared" si="4"/>
        <v>8.89</v>
      </c>
      <c r="Q233" s="3004">
        <v>229</v>
      </c>
      <c r="R233" s="2999" t="s">
        <v>4876</v>
      </c>
      <c r="S233" s="3000">
        <v>50.63</v>
      </c>
      <c r="T233" s="3000">
        <v>1</v>
      </c>
      <c r="U233" s="3000">
        <v>17260</v>
      </c>
      <c r="V233" s="3000">
        <v>87</v>
      </c>
    </row>
    <row r="234" spans="4:22" ht="14.25" thickBot="1">
      <c r="D234" s="2915">
        <v>230</v>
      </c>
      <c r="E234" s="2915"/>
      <c r="F234" s="2914" t="s">
        <v>3341</v>
      </c>
      <c r="G234" s="2915">
        <v>50.63</v>
      </c>
      <c r="H234" s="2915">
        <f t="shared" si="4"/>
        <v>8.89</v>
      </c>
      <c r="Q234" s="3004">
        <v>230</v>
      </c>
      <c r="R234" s="2999" t="s">
        <v>4877</v>
      </c>
      <c r="S234" s="3000">
        <v>50.63</v>
      </c>
      <c r="T234" s="3000">
        <v>1</v>
      </c>
      <c r="U234" s="3000">
        <v>17260</v>
      </c>
      <c r="V234" s="3000">
        <v>87</v>
      </c>
    </row>
    <row r="235" spans="4:22" ht="14.25" thickBot="1">
      <c r="D235" s="2915">
        <v>231</v>
      </c>
      <c r="E235" s="2915"/>
      <c r="F235" s="2914" t="s">
        <v>3342</v>
      </c>
      <c r="G235" s="2915">
        <v>50.63</v>
      </c>
      <c r="H235" s="2915">
        <f t="shared" si="4"/>
        <v>8.89</v>
      </c>
      <c r="Q235" s="3004">
        <v>231</v>
      </c>
      <c r="R235" s="2999" t="s">
        <v>4878</v>
      </c>
      <c r="S235" s="3000">
        <v>50.63</v>
      </c>
      <c r="T235" s="3000">
        <v>1</v>
      </c>
      <c r="U235" s="3000">
        <v>17260</v>
      </c>
      <c r="V235" s="3000">
        <v>87</v>
      </c>
    </row>
    <row r="236" spans="4:22" ht="14.25" thickBot="1">
      <c r="D236" s="2915">
        <v>232</v>
      </c>
      <c r="E236" s="2915"/>
      <c r="F236" s="2914" t="s">
        <v>3343</v>
      </c>
      <c r="G236" s="2915">
        <v>50.63</v>
      </c>
      <c r="H236" s="2915">
        <f t="shared" si="4"/>
        <v>8.89</v>
      </c>
      <c r="Q236" s="3004">
        <v>232</v>
      </c>
      <c r="R236" s="2999" t="s">
        <v>4879</v>
      </c>
      <c r="S236" s="3000">
        <v>50.63</v>
      </c>
      <c r="T236" s="3000">
        <v>1</v>
      </c>
      <c r="U236" s="3000">
        <v>17260</v>
      </c>
      <c r="V236" s="3000">
        <v>87</v>
      </c>
    </row>
    <row r="237" spans="4:22" ht="14.25" thickBot="1">
      <c r="D237" s="2915">
        <v>233</v>
      </c>
      <c r="E237" s="2915"/>
      <c r="F237" s="2914" t="s">
        <v>3344</v>
      </c>
      <c r="G237" s="2915">
        <v>50.63</v>
      </c>
      <c r="H237" s="2915">
        <f t="shared" si="4"/>
        <v>8.89</v>
      </c>
      <c r="Q237" s="3004">
        <v>233</v>
      </c>
      <c r="R237" s="2999" t="s">
        <v>4880</v>
      </c>
      <c r="S237" s="3000">
        <v>50.63</v>
      </c>
      <c r="T237" s="3000">
        <v>1</v>
      </c>
      <c r="U237" s="3000">
        <v>17260</v>
      </c>
      <c r="V237" s="3000">
        <v>87</v>
      </c>
    </row>
    <row r="238" spans="4:22" ht="14.25" thickBot="1">
      <c r="D238" s="2915">
        <v>234</v>
      </c>
      <c r="E238" s="2915"/>
      <c r="F238" s="2914" t="s">
        <v>3345</v>
      </c>
      <c r="G238" s="2915">
        <v>50.63</v>
      </c>
      <c r="H238" s="2915">
        <f t="shared" si="4"/>
        <v>8.89</v>
      </c>
      <c r="Q238" s="3004">
        <v>234</v>
      </c>
      <c r="R238" s="2999" t="s">
        <v>4881</v>
      </c>
      <c r="S238" s="3000">
        <v>50.63</v>
      </c>
      <c r="T238" s="3000">
        <v>1</v>
      </c>
      <c r="U238" s="3000">
        <v>17260</v>
      </c>
      <c r="V238" s="3000">
        <v>87</v>
      </c>
    </row>
    <row r="239" spans="4:22" ht="14.25" thickBot="1">
      <c r="D239" s="2915">
        <v>235</v>
      </c>
      <c r="E239" s="2915"/>
      <c r="F239" s="2914" t="s">
        <v>3346</v>
      </c>
      <c r="G239" s="2915">
        <v>50.63</v>
      </c>
      <c r="H239" s="2915">
        <f t="shared" si="4"/>
        <v>8.89</v>
      </c>
      <c r="Q239" s="3004">
        <v>235</v>
      </c>
      <c r="R239" s="2999" t="s">
        <v>4882</v>
      </c>
      <c r="S239" s="3000">
        <v>50.63</v>
      </c>
      <c r="T239" s="3000">
        <v>1</v>
      </c>
      <c r="U239" s="3000">
        <v>17260</v>
      </c>
      <c r="V239" s="3000">
        <v>87</v>
      </c>
    </row>
    <row r="240" spans="4:22" ht="14.25" thickBot="1">
      <c r="D240" s="2915">
        <v>236</v>
      </c>
      <c r="E240" s="2915"/>
      <c r="F240" s="2914" t="s">
        <v>3347</v>
      </c>
      <c r="G240" s="2915">
        <v>50.63</v>
      </c>
      <c r="H240" s="2915">
        <f t="shared" si="4"/>
        <v>8.89</v>
      </c>
      <c r="Q240" s="3004">
        <v>236</v>
      </c>
      <c r="R240" s="2999" t="s">
        <v>4883</v>
      </c>
      <c r="S240" s="3000">
        <v>50.63</v>
      </c>
      <c r="T240" s="3000">
        <v>1</v>
      </c>
      <c r="U240" s="3000">
        <v>17260</v>
      </c>
      <c r="V240" s="3000">
        <v>87</v>
      </c>
    </row>
    <row r="241" spans="4:22" ht="14.25" thickBot="1">
      <c r="D241" s="2915">
        <v>237</v>
      </c>
      <c r="E241" s="2915"/>
      <c r="F241" s="2914" t="s">
        <v>3348</v>
      </c>
      <c r="G241" s="2915">
        <v>50.63</v>
      </c>
      <c r="H241" s="2915">
        <f t="shared" si="4"/>
        <v>8.89</v>
      </c>
      <c r="Q241" s="3004">
        <v>237</v>
      </c>
      <c r="R241" s="2999" t="s">
        <v>4884</v>
      </c>
      <c r="S241" s="3000">
        <v>50.63</v>
      </c>
      <c r="T241" s="3000">
        <v>1</v>
      </c>
      <c r="U241" s="3000">
        <v>17260</v>
      </c>
      <c r="V241" s="3000">
        <v>87</v>
      </c>
    </row>
    <row r="242" spans="4:22" ht="14.25" thickBot="1">
      <c r="D242" s="2915">
        <v>238</v>
      </c>
      <c r="E242" s="2915"/>
      <c r="F242" s="2914" t="s">
        <v>3349</v>
      </c>
      <c r="G242" s="2915">
        <v>49.53</v>
      </c>
      <c r="H242" s="2915">
        <f t="shared" si="4"/>
        <v>8.6999999999999993</v>
      </c>
      <c r="Q242" s="3004">
        <v>238</v>
      </c>
      <c r="R242" s="2999" t="s">
        <v>4885</v>
      </c>
      <c r="S242" s="3000">
        <v>49.53</v>
      </c>
      <c r="T242" s="3000">
        <v>1</v>
      </c>
      <c r="U242" s="3000">
        <v>17260</v>
      </c>
      <c r="V242" s="3000">
        <v>85</v>
      </c>
    </row>
    <row r="243" spans="4:22" ht="14.25" thickBot="1">
      <c r="D243" s="2915">
        <v>239</v>
      </c>
      <c r="E243" s="2915"/>
      <c r="F243" s="2914" t="s">
        <v>3350</v>
      </c>
      <c r="G243" s="2915">
        <v>55.7</v>
      </c>
      <c r="H243" s="2915">
        <f t="shared" si="4"/>
        <v>9.7799999999999994</v>
      </c>
      <c r="Q243" s="3004">
        <v>239</v>
      </c>
      <c r="R243" s="2999" t="s">
        <v>4886</v>
      </c>
      <c r="S243" s="3000">
        <v>55.7</v>
      </c>
      <c r="T243" s="3000">
        <v>1</v>
      </c>
      <c r="U243" s="3000">
        <v>17260</v>
      </c>
      <c r="V243" s="3000">
        <v>96</v>
      </c>
    </row>
    <row r="244" spans="4:22" ht="14.25" thickBot="1">
      <c r="D244" s="2915">
        <v>240</v>
      </c>
      <c r="E244" s="2915"/>
      <c r="F244" s="2914" t="s">
        <v>3351</v>
      </c>
      <c r="G244" s="2915">
        <v>60.21</v>
      </c>
      <c r="H244" s="2915">
        <f t="shared" si="4"/>
        <v>10.57</v>
      </c>
      <c r="Q244" s="3004">
        <v>240</v>
      </c>
      <c r="R244" s="2999" t="s">
        <v>4887</v>
      </c>
      <c r="S244" s="3000">
        <v>60.21</v>
      </c>
      <c r="T244" s="3000">
        <v>1</v>
      </c>
      <c r="U244" s="3000">
        <v>17260</v>
      </c>
      <c r="V244" s="3000">
        <v>104</v>
      </c>
    </row>
    <row r="245" spans="4:22" ht="14.25" thickBot="1">
      <c r="D245" s="2915">
        <v>241</v>
      </c>
      <c r="E245" s="2915"/>
      <c r="F245" s="2914" t="s">
        <v>3352</v>
      </c>
      <c r="G245" s="2915">
        <v>58.75</v>
      </c>
      <c r="H245" s="2915">
        <f t="shared" si="4"/>
        <v>10.32</v>
      </c>
      <c r="Q245" s="3004">
        <v>241</v>
      </c>
      <c r="R245" s="2999" t="s">
        <v>4888</v>
      </c>
      <c r="S245" s="3000">
        <v>58.75</v>
      </c>
      <c r="T245" s="3000">
        <v>1</v>
      </c>
      <c r="U245" s="3000">
        <v>17260</v>
      </c>
      <c r="V245" s="3000">
        <v>101</v>
      </c>
    </row>
    <row r="246" spans="4:22" ht="14.25" thickBot="1">
      <c r="D246" s="2915">
        <v>242</v>
      </c>
      <c r="E246" s="2915"/>
      <c r="F246" s="2914" t="s">
        <v>3353</v>
      </c>
      <c r="G246" s="2915">
        <v>61.88</v>
      </c>
      <c r="H246" s="2915">
        <f t="shared" si="4"/>
        <v>10.87</v>
      </c>
      <c r="Q246" s="3004">
        <v>242</v>
      </c>
      <c r="R246" s="2999" t="s">
        <v>4889</v>
      </c>
      <c r="S246" s="3000">
        <v>61.88</v>
      </c>
      <c r="T246" s="3000">
        <v>1</v>
      </c>
      <c r="U246" s="3000">
        <v>17260</v>
      </c>
      <c r="V246" s="3000">
        <v>107</v>
      </c>
    </row>
    <row r="247" spans="4:22" ht="14.25" thickBot="1">
      <c r="D247" s="2915">
        <v>243</v>
      </c>
      <c r="E247" s="2915"/>
      <c r="F247" s="2914" t="s">
        <v>3354</v>
      </c>
      <c r="G247" s="2915">
        <v>61.41</v>
      </c>
      <c r="H247" s="2915">
        <f t="shared" si="4"/>
        <v>10.78</v>
      </c>
      <c r="Q247" s="3004">
        <v>243</v>
      </c>
      <c r="R247" s="2999" t="s">
        <v>4890</v>
      </c>
      <c r="S247" s="3000">
        <v>61.41</v>
      </c>
      <c r="T247" s="3000">
        <v>1</v>
      </c>
      <c r="U247" s="3000">
        <v>17260</v>
      </c>
      <c r="V247" s="3000">
        <v>106</v>
      </c>
    </row>
    <row r="248" spans="4:22" ht="14.25" thickBot="1">
      <c r="D248" s="2915">
        <v>244</v>
      </c>
      <c r="E248" s="2915"/>
      <c r="F248" s="2914" t="s">
        <v>3355</v>
      </c>
      <c r="G248" s="2915">
        <v>61.41</v>
      </c>
      <c r="H248" s="2915">
        <f t="shared" si="4"/>
        <v>10.78</v>
      </c>
      <c r="Q248" s="3004">
        <v>244</v>
      </c>
      <c r="R248" s="2999" t="s">
        <v>4891</v>
      </c>
      <c r="S248" s="3000">
        <v>61.41</v>
      </c>
      <c r="T248" s="3000">
        <v>1</v>
      </c>
      <c r="U248" s="3000">
        <v>17260</v>
      </c>
      <c r="V248" s="3000">
        <v>106</v>
      </c>
    </row>
    <row r="249" spans="4:22" ht="14.25" thickBot="1">
      <c r="D249" s="2915">
        <v>245</v>
      </c>
      <c r="E249" s="2915"/>
      <c r="F249" s="2914" t="s">
        <v>3356</v>
      </c>
      <c r="G249" s="2915">
        <v>61.41</v>
      </c>
      <c r="H249" s="2915">
        <f t="shared" si="4"/>
        <v>10.78</v>
      </c>
      <c r="Q249" s="3004">
        <v>245</v>
      </c>
      <c r="R249" s="2999" t="s">
        <v>4892</v>
      </c>
      <c r="S249" s="3000">
        <v>61.41</v>
      </c>
      <c r="T249" s="3000">
        <v>1</v>
      </c>
      <c r="U249" s="3000">
        <v>17260</v>
      </c>
      <c r="V249" s="3000">
        <v>106</v>
      </c>
    </row>
    <row r="250" spans="4:22" ht="14.25" thickBot="1">
      <c r="D250" s="2915">
        <v>246</v>
      </c>
      <c r="E250" s="2915"/>
      <c r="F250" s="2914" t="s">
        <v>3357</v>
      </c>
      <c r="G250" s="2915">
        <v>65.760000000000005</v>
      </c>
      <c r="H250" s="2915">
        <f t="shared" si="4"/>
        <v>11.55</v>
      </c>
      <c r="Q250" s="3004">
        <v>246</v>
      </c>
      <c r="R250" s="2999" t="s">
        <v>4893</v>
      </c>
      <c r="S250" s="3000">
        <v>65.760000000000005</v>
      </c>
      <c r="T250" s="3000">
        <v>1</v>
      </c>
      <c r="U250" s="3000">
        <v>17260</v>
      </c>
      <c r="V250" s="3000">
        <v>114</v>
      </c>
    </row>
    <row r="251" spans="4:22" ht="14.25" thickBot="1">
      <c r="D251" s="2915">
        <v>247</v>
      </c>
      <c r="E251" s="2915"/>
      <c r="F251" s="2914" t="s">
        <v>3358</v>
      </c>
      <c r="G251" s="2915">
        <v>59.41</v>
      </c>
      <c r="H251" s="2915">
        <f t="shared" si="4"/>
        <v>10.43</v>
      </c>
      <c r="Q251" s="3004">
        <v>247</v>
      </c>
      <c r="R251" s="2999" t="s">
        <v>4894</v>
      </c>
      <c r="S251" s="3000">
        <v>59.41</v>
      </c>
      <c r="T251" s="3000">
        <v>1</v>
      </c>
      <c r="U251" s="3000">
        <v>17260</v>
      </c>
      <c r="V251" s="3000">
        <v>103</v>
      </c>
    </row>
    <row r="252" spans="4:22" ht="14.25" thickBot="1">
      <c r="D252" s="2915">
        <v>248</v>
      </c>
      <c r="E252" s="2915"/>
      <c r="F252" s="2914" t="s">
        <v>3359</v>
      </c>
      <c r="G252" s="2915">
        <v>60.69</v>
      </c>
      <c r="H252" s="2915">
        <f t="shared" si="4"/>
        <v>10.66</v>
      </c>
      <c r="Q252" s="3004">
        <v>248</v>
      </c>
      <c r="R252" s="2999" t="s">
        <v>4895</v>
      </c>
      <c r="S252" s="3000">
        <v>60.69</v>
      </c>
      <c r="T252" s="3000">
        <v>1</v>
      </c>
      <c r="U252" s="3000">
        <v>17260</v>
      </c>
      <c r="V252" s="3000">
        <v>105</v>
      </c>
    </row>
    <row r="253" spans="4:22" ht="14.25" thickBot="1">
      <c r="D253" s="2915">
        <v>249</v>
      </c>
      <c r="E253" s="2915"/>
      <c r="F253" s="2914" t="s">
        <v>3360</v>
      </c>
      <c r="G253" s="2915">
        <v>60.69</v>
      </c>
      <c r="H253" s="2915">
        <f t="shared" si="4"/>
        <v>10.66</v>
      </c>
      <c r="Q253" s="3004">
        <v>249</v>
      </c>
      <c r="R253" s="2999" t="s">
        <v>4896</v>
      </c>
      <c r="S253" s="3000">
        <v>60.69</v>
      </c>
      <c r="T253" s="3000">
        <v>1</v>
      </c>
      <c r="U253" s="3000">
        <v>17260</v>
      </c>
      <c r="V253" s="3000">
        <v>105</v>
      </c>
    </row>
    <row r="254" spans="4:22" ht="14.25" thickBot="1">
      <c r="D254" s="2915">
        <v>250</v>
      </c>
      <c r="E254" s="2915"/>
      <c r="F254" s="2914" t="s">
        <v>3361</v>
      </c>
      <c r="G254" s="2915">
        <v>60.69</v>
      </c>
      <c r="H254" s="2915">
        <f t="shared" si="4"/>
        <v>10.66</v>
      </c>
      <c r="Q254" s="3004">
        <v>250</v>
      </c>
      <c r="R254" s="2999" t="s">
        <v>4897</v>
      </c>
      <c r="S254" s="3000">
        <v>60.69</v>
      </c>
      <c r="T254" s="3000">
        <v>1</v>
      </c>
      <c r="U254" s="3000">
        <v>17260</v>
      </c>
      <c r="V254" s="3000">
        <v>105</v>
      </c>
    </row>
    <row r="255" spans="4:22" ht="14.25" thickBot="1">
      <c r="D255" s="2915">
        <v>251</v>
      </c>
      <c r="E255" s="2915"/>
      <c r="F255" s="2914" t="s">
        <v>3362</v>
      </c>
      <c r="G255" s="2915">
        <v>60.69</v>
      </c>
      <c r="H255" s="2915">
        <f t="shared" si="4"/>
        <v>10.66</v>
      </c>
      <c r="Q255" s="3004">
        <v>251</v>
      </c>
      <c r="R255" s="2999" t="s">
        <v>4898</v>
      </c>
      <c r="S255" s="3000">
        <v>60.69</v>
      </c>
      <c r="T255" s="3000">
        <v>1</v>
      </c>
      <c r="U255" s="3000">
        <v>17260</v>
      </c>
      <c r="V255" s="3000">
        <v>105</v>
      </c>
    </row>
    <row r="256" spans="4:22" ht="14.25" thickBot="1">
      <c r="D256" s="2915">
        <v>252</v>
      </c>
      <c r="E256" s="2915"/>
      <c r="F256" s="2914" t="s">
        <v>3363</v>
      </c>
      <c r="G256" s="2915">
        <v>60.69</v>
      </c>
      <c r="H256" s="2915">
        <f t="shared" si="4"/>
        <v>10.66</v>
      </c>
      <c r="Q256" s="3004">
        <v>252</v>
      </c>
      <c r="R256" s="2999" t="s">
        <v>4899</v>
      </c>
      <c r="S256" s="3000">
        <v>60.69</v>
      </c>
      <c r="T256" s="3000">
        <v>1</v>
      </c>
      <c r="U256" s="3000">
        <v>17260</v>
      </c>
      <c r="V256" s="3000">
        <v>105</v>
      </c>
    </row>
    <row r="257" spans="4:22" ht="14.25" thickBot="1">
      <c r="D257" s="2915">
        <v>253</v>
      </c>
      <c r="E257" s="2915"/>
      <c r="F257" s="2914" t="s">
        <v>3364</v>
      </c>
      <c r="G257" s="2915">
        <v>60.69</v>
      </c>
      <c r="H257" s="2915">
        <f t="shared" si="4"/>
        <v>10.66</v>
      </c>
      <c r="Q257" s="3004">
        <v>253</v>
      </c>
      <c r="R257" s="2999" t="s">
        <v>4900</v>
      </c>
      <c r="S257" s="3000">
        <v>60.69</v>
      </c>
      <c r="T257" s="3000">
        <v>1</v>
      </c>
      <c r="U257" s="3000">
        <v>17260</v>
      </c>
      <c r="V257" s="3000">
        <v>105</v>
      </c>
    </row>
    <row r="258" spans="4:22" ht="14.25" thickBot="1">
      <c r="D258" s="2915">
        <v>254</v>
      </c>
      <c r="E258" s="2915"/>
      <c r="F258" s="2914" t="s">
        <v>3365</v>
      </c>
      <c r="G258" s="2915">
        <v>60.69</v>
      </c>
      <c r="H258" s="2915">
        <f t="shared" si="4"/>
        <v>10.66</v>
      </c>
      <c r="Q258" s="3004">
        <v>254</v>
      </c>
      <c r="R258" s="2999" t="s">
        <v>4901</v>
      </c>
      <c r="S258" s="3000">
        <v>60.69</v>
      </c>
      <c r="T258" s="3000">
        <v>1</v>
      </c>
      <c r="U258" s="3000">
        <v>17260</v>
      </c>
      <c r="V258" s="3000">
        <v>105</v>
      </c>
    </row>
    <row r="259" spans="4:22" ht="14.25" thickBot="1">
      <c r="D259" s="2915">
        <v>255</v>
      </c>
      <c r="E259" s="2915"/>
      <c r="F259" s="2914" t="s">
        <v>3366</v>
      </c>
      <c r="G259" s="2915">
        <v>60.69</v>
      </c>
      <c r="H259" s="2915">
        <f t="shared" si="4"/>
        <v>10.66</v>
      </c>
      <c r="Q259" s="3004">
        <v>255</v>
      </c>
      <c r="R259" s="2999" t="s">
        <v>4902</v>
      </c>
      <c r="S259" s="3000">
        <v>60.69</v>
      </c>
      <c r="T259" s="3000">
        <v>1</v>
      </c>
      <c r="U259" s="3000">
        <v>17260</v>
      </c>
      <c r="V259" s="3000">
        <v>105</v>
      </c>
    </row>
    <row r="260" spans="4:22" ht="14.25" thickBot="1">
      <c r="D260" s="2915">
        <v>256</v>
      </c>
      <c r="E260" s="2915"/>
      <c r="F260" s="2914" t="s">
        <v>3367</v>
      </c>
      <c r="G260" s="2915">
        <v>60.69</v>
      </c>
      <c r="H260" s="2915">
        <f t="shared" si="4"/>
        <v>10.66</v>
      </c>
      <c r="Q260" s="3004">
        <v>256</v>
      </c>
      <c r="R260" s="2999" t="s">
        <v>4903</v>
      </c>
      <c r="S260" s="3000">
        <v>60.69</v>
      </c>
      <c r="T260" s="3000">
        <v>1</v>
      </c>
      <c r="U260" s="3000">
        <v>17260</v>
      </c>
      <c r="V260" s="3000">
        <v>105</v>
      </c>
    </row>
    <row r="261" spans="4:22" ht="14.25" thickBot="1">
      <c r="D261" s="2915">
        <v>257</v>
      </c>
      <c r="E261" s="2915"/>
      <c r="F261" s="2914" t="s">
        <v>3368</v>
      </c>
      <c r="G261" s="2915">
        <v>48.86</v>
      </c>
      <c r="H261" s="2915">
        <f t="shared" si="4"/>
        <v>8.58</v>
      </c>
      <c r="Q261" s="3004">
        <v>257</v>
      </c>
      <c r="R261" s="2999" t="s">
        <v>4904</v>
      </c>
      <c r="S261" s="3000">
        <v>48.86</v>
      </c>
      <c r="T261" s="3000">
        <v>1</v>
      </c>
      <c r="U261" s="3000">
        <v>17260</v>
      </c>
      <c r="V261" s="3000">
        <v>84</v>
      </c>
    </row>
    <row r="262" spans="4:22" ht="14.25" thickBot="1">
      <c r="D262" s="2915">
        <v>258</v>
      </c>
      <c r="E262" s="2915"/>
      <c r="F262" s="2914" t="s">
        <v>3369</v>
      </c>
      <c r="G262" s="2915">
        <v>48.86</v>
      </c>
      <c r="H262" s="2915">
        <f t="shared" ref="H262:H325" si="5">ROUND(G262/$N$7*$M$7,2)</f>
        <v>8.58</v>
      </c>
      <c r="Q262" s="3004">
        <v>258</v>
      </c>
      <c r="R262" s="2999" t="s">
        <v>4905</v>
      </c>
      <c r="S262" s="3000">
        <v>48.86</v>
      </c>
      <c r="T262" s="3000">
        <v>1</v>
      </c>
      <c r="U262" s="3000">
        <v>17260</v>
      </c>
      <c r="V262" s="3000">
        <v>84</v>
      </c>
    </row>
    <row r="263" spans="4:22" ht="14.25" thickBot="1">
      <c r="D263" s="2915">
        <v>259</v>
      </c>
      <c r="E263" s="2915"/>
      <c r="F263" s="2914" t="s">
        <v>3370</v>
      </c>
      <c r="G263" s="2915">
        <v>48.86</v>
      </c>
      <c r="H263" s="2915">
        <f t="shared" si="5"/>
        <v>8.58</v>
      </c>
      <c r="Q263" s="3004">
        <v>259</v>
      </c>
      <c r="R263" s="2999" t="s">
        <v>4906</v>
      </c>
      <c r="S263" s="3000">
        <v>48.86</v>
      </c>
      <c r="T263" s="3000">
        <v>1</v>
      </c>
      <c r="U263" s="3000">
        <v>17260</v>
      </c>
      <c r="V263" s="3000">
        <v>84</v>
      </c>
    </row>
    <row r="264" spans="4:22" ht="14.25" thickBot="1">
      <c r="D264" s="2915">
        <v>260</v>
      </c>
      <c r="E264" s="2915"/>
      <c r="F264" s="2914" t="s">
        <v>3371</v>
      </c>
      <c r="G264" s="2915">
        <v>54.87</v>
      </c>
      <c r="H264" s="2915">
        <f t="shared" si="5"/>
        <v>9.6300000000000008</v>
      </c>
      <c r="Q264" s="3004">
        <v>260</v>
      </c>
      <c r="R264" s="2999" t="s">
        <v>4907</v>
      </c>
      <c r="S264" s="3000">
        <v>54.87</v>
      </c>
      <c r="T264" s="3000">
        <v>1</v>
      </c>
      <c r="U264" s="3000">
        <v>17260</v>
      </c>
      <c r="V264" s="3000">
        <v>95</v>
      </c>
    </row>
    <row r="265" spans="4:22" ht="14.25" thickBot="1">
      <c r="D265" s="2915">
        <v>261</v>
      </c>
      <c r="E265" s="2915"/>
      <c r="F265" s="2914" t="s">
        <v>3372</v>
      </c>
      <c r="G265" s="2915">
        <v>88.13</v>
      </c>
      <c r="H265" s="2915">
        <f t="shared" si="5"/>
        <v>15.47</v>
      </c>
      <c r="Q265" s="3004">
        <v>261</v>
      </c>
      <c r="R265" s="2999" t="s">
        <v>4908</v>
      </c>
      <c r="S265" s="3000">
        <v>88.13</v>
      </c>
      <c r="T265" s="3000">
        <v>1</v>
      </c>
      <c r="U265" s="3000">
        <v>17260</v>
      </c>
      <c r="V265" s="3000">
        <v>152</v>
      </c>
    </row>
    <row r="266" spans="4:22" ht="14.25" thickBot="1">
      <c r="D266" s="2915">
        <v>262</v>
      </c>
      <c r="E266" s="2915"/>
      <c r="F266" s="2914" t="s">
        <v>3373</v>
      </c>
      <c r="G266" s="2915">
        <v>5.81</v>
      </c>
      <c r="H266" s="2915">
        <f t="shared" si="5"/>
        <v>1.02</v>
      </c>
      <c r="Q266" s="3004">
        <v>262</v>
      </c>
      <c r="R266" s="2999" t="s">
        <v>4909</v>
      </c>
      <c r="S266" s="3000">
        <v>5.81</v>
      </c>
      <c r="T266" s="3000">
        <v>1</v>
      </c>
      <c r="U266" s="3000">
        <v>17260</v>
      </c>
      <c r="V266" s="3000">
        <v>10</v>
      </c>
    </row>
    <row r="267" spans="4:22" ht="14.25" thickBot="1">
      <c r="D267" s="2915">
        <v>263</v>
      </c>
      <c r="E267" s="2915"/>
      <c r="F267" s="2914" t="s">
        <v>3374</v>
      </c>
      <c r="G267" s="2915">
        <v>186.33</v>
      </c>
      <c r="H267" s="2915">
        <f t="shared" si="5"/>
        <v>32.72</v>
      </c>
      <c r="Q267" s="3004">
        <v>263</v>
      </c>
      <c r="R267" s="2999" t="s">
        <v>4910</v>
      </c>
      <c r="S267" s="3000">
        <v>186.33</v>
      </c>
      <c r="T267" s="3000">
        <v>0.99</v>
      </c>
      <c r="U267" s="3000">
        <v>17087</v>
      </c>
      <c r="V267" s="3000">
        <v>318</v>
      </c>
    </row>
    <row r="268" spans="4:22" ht="14.25" thickBot="1">
      <c r="D268" s="2915">
        <v>264</v>
      </c>
      <c r="E268" s="2915"/>
      <c r="F268" s="2914" t="s">
        <v>3375</v>
      </c>
      <c r="G268" s="2915">
        <v>188.39</v>
      </c>
      <c r="H268" s="2915">
        <f t="shared" si="5"/>
        <v>33.08</v>
      </c>
      <c r="Q268" s="3004">
        <v>264</v>
      </c>
      <c r="R268" s="2999" t="s">
        <v>4911</v>
      </c>
      <c r="S268" s="3000">
        <v>188.39</v>
      </c>
      <c r="T268" s="3000">
        <v>0.99</v>
      </c>
      <c r="U268" s="3000">
        <v>17087</v>
      </c>
      <c r="V268" s="3000">
        <v>322</v>
      </c>
    </row>
    <row r="269" spans="4:22" ht="14.25" thickBot="1">
      <c r="D269" s="2915">
        <v>265</v>
      </c>
      <c r="E269" s="2915"/>
      <c r="F269" s="2914" t="s">
        <v>3376</v>
      </c>
      <c r="G269" s="2915">
        <v>188.39</v>
      </c>
      <c r="H269" s="2915">
        <f t="shared" si="5"/>
        <v>33.08</v>
      </c>
      <c r="Q269" s="3004">
        <v>265</v>
      </c>
      <c r="R269" s="2999" t="s">
        <v>4912</v>
      </c>
      <c r="S269" s="3000">
        <v>188.39</v>
      </c>
      <c r="T269" s="3000">
        <v>0.99</v>
      </c>
      <c r="U269" s="3000">
        <v>17087</v>
      </c>
      <c r="V269" s="3000">
        <v>322</v>
      </c>
    </row>
    <row r="270" spans="4:22" ht="14.25" thickBot="1">
      <c r="D270" s="2915">
        <v>266</v>
      </c>
      <c r="E270" s="2915"/>
      <c r="F270" s="2914" t="s">
        <v>3377</v>
      </c>
      <c r="G270" s="2915">
        <v>188.39</v>
      </c>
      <c r="H270" s="2915">
        <f t="shared" si="5"/>
        <v>33.08</v>
      </c>
      <c r="Q270" s="3004">
        <v>266</v>
      </c>
      <c r="R270" s="2999" t="s">
        <v>4913</v>
      </c>
      <c r="S270" s="3000">
        <v>188.39</v>
      </c>
      <c r="T270" s="3000">
        <v>0.99</v>
      </c>
      <c r="U270" s="3000">
        <v>17087</v>
      </c>
      <c r="V270" s="3000">
        <v>322</v>
      </c>
    </row>
    <row r="271" spans="4:22" ht="14.25" thickBot="1">
      <c r="D271" s="2915">
        <v>267</v>
      </c>
      <c r="E271" s="2915"/>
      <c r="F271" s="2914" t="s">
        <v>3378</v>
      </c>
      <c r="G271" s="2915">
        <v>188.39</v>
      </c>
      <c r="H271" s="2915">
        <f t="shared" si="5"/>
        <v>33.08</v>
      </c>
      <c r="Q271" s="3004">
        <v>267</v>
      </c>
      <c r="R271" s="2999" t="s">
        <v>4914</v>
      </c>
      <c r="S271" s="3000">
        <v>188.39</v>
      </c>
      <c r="T271" s="3000">
        <v>0.99</v>
      </c>
      <c r="U271" s="3000">
        <v>17087</v>
      </c>
      <c r="V271" s="3000">
        <v>322</v>
      </c>
    </row>
    <row r="272" spans="4:22" ht="14.25" thickBot="1">
      <c r="D272" s="2915">
        <v>268</v>
      </c>
      <c r="E272" s="2915"/>
      <c r="F272" s="2914" t="s">
        <v>3379</v>
      </c>
      <c r="G272" s="2915">
        <v>188.39</v>
      </c>
      <c r="H272" s="2915">
        <f t="shared" si="5"/>
        <v>33.08</v>
      </c>
      <c r="Q272" s="3004">
        <v>268</v>
      </c>
      <c r="R272" s="2999" t="s">
        <v>4915</v>
      </c>
      <c r="S272" s="3000">
        <v>188.39</v>
      </c>
      <c r="T272" s="3000">
        <v>0.99</v>
      </c>
      <c r="U272" s="3000">
        <v>17087</v>
      </c>
      <c r="V272" s="3000">
        <v>322</v>
      </c>
    </row>
    <row r="273" spans="4:22" ht="14.25" thickBot="1">
      <c r="D273" s="2915">
        <v>269</v>
      </c>
      <c r="E273" s="2915"/>
      <c r="F273" s="2914" t="s">
        <v>3380</v>
      </c>
      <c r="G273" s="2915">
        <v>187.53</v>
      </c>
      <c r="H273" s="2915">
        <f t="shared" si="5"/>
        <v>32.93</v>
      </c>
      <c r="Q273" s="3004">
        <v>269</v>
      </c>
      <c r="R273" s="2999" t="s">
        <v>4916</v>
      </c>
      <c r="S273" s="3000">
        <v>187.53</v>
      </c>
      <c r="T273" s="3000">
        <v>0.99</v>
      </c>
      <c r="U273" s="3000">
        <v>17087</v>
      </c>
      <c r="V273" s="3000">
        <v>320</v>
      </c>
    </row>
    <row r="274" spans="4:22" ht="14.25" thickBot="1">
      <c r="D274" s="2915">
        <v>270</v>
      </c>
      <c r="E274" s="2915"/>
      <c r="F274" s="2914" t="s">
        <v>3381</v>
      </c>
      <c r="G274" s="2915">
        <v>210.19</v>
      </c>
      <c r="H274" s="2915">
        <f t="shared" si="5"/>
        <v>36.909999999999997</v>
      </c>
      <c r="Q274" s="3004">
        <v>270</v>
      </c>
      <c r="R274" s="2999" t="s">
        <v>4917</v>
      </c>
      <c r="S274" s="3000">
        <v>210.19</v>
      </c>
      <c r="T274" s="3000">
        <v>0.98</v>
      </c>
      <c r="U274" s="3000">
        <v>16915</v>
      </c>
      <c r="V274" s="3000">
        <v>356</v>
      </c>
    </row>
    <row r="275" spans="4:22" ht="14.25" thickBot="1">
      <c r="D275" s="2915">
        <v>271</v>
      </c>
      <c r="E275" s="2915"/>
      <c r="F275" s="2914" t="s">
        <v>3382</v>
      </c>
      <c r="G275" s="2915">
        <v>169.2</v>
      </c>
      <c r="H275" s="2915">
        <f t="shared" si="5"/>
        <v>29.71</v>
      </c>
      <c r="Q275" s="3004">
        <v>271</v>
      </c>
      <c r="R275" s="2999" t="s">
        <v>4918</v>
      </c>
      <c r="S275" s="3000">
        <v>169.2</v>
      </c>
      <c r="T275" s="3000">
        <v>0.99</v>
      </c>
      <c r="U275" s="3000">
        <v>17087</v>
      </c>
      <c r="V275" s="3000">
        <v>289</v>
      </c>
    </row>
    <row r="276" spans="4:22" ht="14.25" thickBot="1">
      <c r="D276" s="2915">
        <v>272</v>
      </c>
      <c r="E276" s="2915"/>
      <c r="F276" s="2914" t="s">
        <v>3383</v>
      </c>
      <c r="G276" s="2915">
        <v>178.35</v>
      </c>
      <c r="H276" s="2915">
        <f t="shared" si="5"/>
        <v>31.32</v>
      </c>
      <c r="Q276" s="3004">
        <v>272</v>
      </c>
      <c r="R276" s="2999" t="s">
        <v>4919</v>
      </c>
      <c r="S276" s="3000">
        <v>178.35</v>
      </c>
      <c r="T276" s="3000">
        <v>0.99</v>
      </c>
      <c r="U276" s="3000">
        <v>17087</v>
      </c>
      <c r="V276" s="3000">
        <v>305</v>
      </c>
    </row>
    <row r="277" spans="4:22" ht="14.25" thickBot="1">
      <c r="D277" s="2915">
        <v>273</v>
      </c>
      <c r="E277" s="2915"/>
      <c r="F277" s="2914" t="s">
        <v>3384</v>
      </c>
      <c r="G277" s="2915">
        <v>208.92</v>
      </c>
      <c r="H277" s="2915">
        <f t="shared" si="5"/>
        <v>36.68</v>
      </c>
      <c r="Q277" s="3004">
        <v>273</v>
      </c>
      <c r="R277" s="2999" t="s">
        <v>4920</v>
      </c>
      <c r="S277" s="3000">
        <v>208.92</v>
      </c>
      <c r="T277" s="3000">
        <v>0.98</v>
      </c>
      <c r="U277" s="3000">
        <v>16915</v>
      </c>
      <c r="V277" s="3000">
        <v>353</v>
      </c>
    </row>
    <row r="278" spans="4:22" ht="14.25" thickBot="1">
      <c r="D278" s="2915">
        <v>274</v>
      </c>
      <c r="E278" s="2915"/>
      <c r="F278" s="2914" t="s">
        <v>3385</v>
      </c>
      <c r="G278" s="2915">
        <v>188.35</v>
      </c>
      <c r="H278" s="2915">
        <f t="shared" si="5"/>
        <v>33.07</v>
      </c>
      <c r="Q278" s="3004">
        <v>274</v>
      </c>
      <c r="R278" s="2999" t="s">
        <v>4921</v>
      </c>
      <c r="S278" s="3000">
        <v>188.35</v>
      </c>
      <c r="T278" s="3000">
        <v>0.99</v>
      </c>
      <c r="U278" s="3000">
        <v>17087</v>
      </c>
      <c r="V278" s="3000">
        <v>322</v>
      </c>
    </row>
    <row r="279" spans="4:22" ht="14.25" thickBot="1">
      <c r="D279" s="2915">
        <v>275</v>
      </c>
      <c r="E279" s="2915"/>
      <c r="F279" s="2914" t="s">
        <v>3386</v>
      </c>
      <c r="G279" s="2915">
        <v>188.39</v>
      </c>
      <c r="H279" s="2915">
        <f t="shared" si="5"/>
        <v>33.08</v>
      </c>
      <c r="Q279" s="3004">
        <v>275</v>
      </c>
      <c r="R279" s="2999" t="s">
        <v>4922</v>
      </c>
      <c r="S279" s="3000">
        <v>188.39</v>
      </c>
      <c r="T279" s="3000">
        <v>0.99</v>
      </c>
      <c r="U279" s="3000">
        <v>17087</v>
      </c>
      <c r="V279" s="3000">
        <v>322</v>
      </c>
    </row>
    <row r="280" spans="4:22" ht="14.25" thickBot="1">
      <c r="D280" s="2915">
        <v>276</v>
      </c>
      <c r="E280" s="2915"/>
      <c r="F280" s="2914" t="s">
        <v>3387</v>
      </c>
      <c r="G280" s="2915">
        <v>188.39</v>
      </c>
      <c r="H280" s="2915">
        <f t="shared" si="5"/>
        <v>33.08</v>
      </c>
      <c r="Q280" s="3004">
        <v>276</v>
      </c>
      <c r="R280" s="2999" t="s">
        <v>4923</v>
      </c>
      <c r="S280" s="3000">
        <v>188.39</v>
      </c>
      <c r="T280" s="3000">
        <v>0.99</v>
      </c>
      <c r="U280" s="3000">
        <v>17087</v>
      </c>
      <c r="V280" s="3000">
        <v>322</v>
      </c>
    </row>
    <row r="281" spans="4:22" ht="14.25" thickBot="1">
      <c r="D281" s="2915">
        <v>277</v>
      </c>
      <c r="E281" s="2915"/>
      <c r="F281" s="2914" t="s">
        <v>3388</v>
      </c>
      <c r="G281" s="2915">
        <v>188.39</v>
      </c>
      <c r="H281" s="2915">
        <f t="shared" si="5"/>
        <v>33.08</v>
      </c>
      <c r="Q281" s="3004">
        <v>277</v>
      </c>
      <c r="R281" s="2999" t="s">
        <v>4924</v>
      </c>
      <c r="S281" s="3000">
        <v>188.39</v>
      </c>
      <c r="T281" s="3000">
        <v>0.99</v>
      </c>
      <c r="U281" s="3000">
        <v>17087</v>
      </c>
      <c r="V281" s="3000">
        <v>322</v>
      </c>
    </row>
    <row r="282" spans="4:22" ht="14.25" thickBot="1">
      <c r="D282" s="2915">
        <v>278</v>
      </c>
      <c r="E282" s="2915"/>
      <c r="F282" s="2914" t="s">
        <v>3389</v>
      </c>
      <c r="G282" s="2915">
        <v>188.39</v>
      </c>
      <c r="H282" s="2915">
        <f t="shared" si="5"/>
        <v>33.08</v>
      </c>
      <c r="Q282" s="3004">
        <v>278</v>
      </c>
      <c r="R282" s="2999" t="s">
        <v>4925</v>
      </c>
      <c r="S282" s="3000">
        <v>188.39</v>
      </c>
      <c r="T282" s="3000">
        <v>0.99</v>
      </c>
      <c r="U282" s="3000">
        <v>17087</v>
      </c>
      <c r="V282" s="3000">
        <v>322</v>
      </c>
    </row>
    <row r="283" spans="4:22" ht="14.25" thickBot="1">
      <c r="D283" s="2915">
        <v>279</v>
      </c>
      <c r="E283" s="2915"/>
      <c r="F283" s="2914" t="s">
        <v>3390</v>
      </c>
      <c r="G283" s="2915">
        <v>188.39</v>
      </c>
      <c r="H283" s="2915">
        <f t="shared" si="5"/>
        <v>33.08</v>
      </c>
      <c r="Q283" s="3004">
        <v>279</v>
      </c>
      <c r="R283" s="2999" t="s">
        <v>4926</v>
      </c>
      <c r="S283" s="3000">
        <v>188.39</v>
      </c>
      <c r="T283" s="3000">
        <v>0.99</v>
      </c>
      <c r="U283" s="3000">
        <v>17087</v>
      </c>
      <c r="V283" s="3000">
        <v>322</v>
      </c>
    </row>
    <row r="284" spans="4:22" ht="14.25" thickBot="1">
      <c r="D284" s="2915">
        <v>280</v>
      </c>
      <c r="E284" s="2915"/>
      <c r="F284" s="2914" t="s">
        <v>3391</v>
      </c>
      <c r="G284" s="2915">
        <v>279.91000000000003</v>
      </c>
      <c r="H284" s="2915">
        <f t="shared" si="5"/>
        <v>49.15</v>
      </c>
      <c r="Q284" s="3004">
        <v>280</v>
      </c>
      <c r="R284" s="2999" t="s">
        <v>4927</v>
      </c>
      <c r="S284" s="3000">
        <v>279.91000000000003</v>
      </c>
      <c r="T284" s="3000">
        <v>0.98</v>
      </c>
      <c r="U284" s="3000">
        <v>16915</v>
      </c>
      <c r="V284" s="3000">
        <v>473</v>
      </c>
    </row>
    <row r="285" spans="4:22" ht="14.25" thickBot="1">
      <c r="D285" s="2915">
        <v>281</v>
      </c>
      <c r="E285" s="2915"/>
      <c r="F285" s="2914" t="s">
        <v>3392</v>
      </c>
      <c r="G285" s="2915">
        <v>175.75</v>
      </c>
      <c r="H285" s="2915">
        <f t="shared" si="5"/>
        <v>30.86</v>
      </c>
      <c r="Q285" s="3004">
        <v>281</v>
      </c>
      <c r="R285" s="2999" t="s">
        <v>4928</v>
      </c>
      <c r="S285" s="3000">
        <v>175.75</v>
      </c>
      <c r="T285" s="3000">
        <v>0.99</v>
      </c>
      <c r="U285" s="3000">
        <v>17087</v>
      </c>
      <c r="V285" s="3000">
        <v>300</v>
      </c>
    </row>
    <row r="286" spans="4:22" ht="14.25" thickBot="1">
      <c r="D286" s="2915">
        <v>282</v>
      </c>
      <c r="E286" s="2915"/>
      <c r="F286" s="2914" t="s">
        <v>3393</v>
      </c>
      <c r="G286" s="2915">
        <v>188.32</v>
      </c>
      <c r="H286" s="2915">
        <f t="shared" si="5"/>
        <v>33.07</v>
      </c>
      <c r="Q286" s="3004">
        <v>282</v>
      </c>
      <c r="R286" s="2999" t="s">
        <v>4929</v>
      </c>
      <c r="S286" s="3000">
        <v>188.32</v>
      </c>
      <c r="T286" s="3000">
        <v>0.99</v>
      </c>
      <c r="U286" s="3000">
        <v>17087</v>
      </c>
      <c r="V286" s="3000">
        <v>322</v>
      </c>
    </row>
    <row r="287" spans="4:22" ht="14.25" thickBot="1">
      <c r="D287" s="2915">
        <v>283</v>
      </c>
      <c r="E287" s="2915"/>
      <c r="F287" s="2914" t="s">
        <v>3394</v>
      </c>
      <c r="G287" s="2915">
        <v>210.22</v>
      </c>
      <c r="H287" s="2915">
        <f t="shared" si="5"/>
        <v>36.909999999999997</v>
      </c>
      <c r="Q287" s="3004">
        <v>283</v>
      </c>
      <c r="R287" s="2999" t="s">
        <v>4930</v>
      </c>
      <c r="S287" s="3000">
        <v>210.22</v>
      </c>
      <c r="T287" s="3000">
        <v>0.98</v>
      </c>
      <c r="U287" s="3000">
        <v>16915</v>
      </c>
      <c r="V287" s="3000">
        <v>356</v>
      </c>
    </row>
    <row r="288" spans="4:22" ht="14.25" thickBot="1">
      <c r="D288" s="2915">
        <v>284</v>
      </c>
      <c r="E288" s="2915"/>
      <c r="F288" s="2914" t="s">
        <v>3395</v>
      </c>
      <c r="G288" s="2915">
        <v>187.56</v>
      </c>
      <c r="H288" s="2915">
        <f t="shared" si="5"/>
        <v>32.93</v>
      </c>
      <c r="Q288" s="3004">
        <v>284</v>
      </c>
      <c r="R288" s="2999" t="s">
        <v>4931</v>
      </c>
      <c r="S288" s="3000">
        <v>187.56</v>
      </c>
      <c r="T288" s="3000">
        <v>0.99</v>
      </c>
      <c r="U288" s="3000">
        <v>17087</v>
      </c>
      <c r="V288" s="3000">
        <v>320</v>
      </c>
    </row>
    <row r="289" spans="4:22" ht="14.25" thickBot="1">
      <c r="D289" s="2915">
        <v>285</v>
      </c>
      <c r="E289" s="2915"/>
      <c r="F289" s="2914" t="s">
        <v>3396</v>
      </c>
      <c r="G289" s="2915">
        <v>188.42</v>
      </c>
      <c r="H289" s="2915">
        <f t="shared" si="5"/>
        <v>33.08</v>
      </c>
      <c r="Q289" s="3004">
        <v>285</v>
      </c>
      <c r="R289" s="2999" t="s">
        <v>4932</v>
      </c>
      <c r="S289" s="3000">
        <v>188.42</v>
      </c>
      <c r="T289" s="3000">
        <v>0.99</v>
      </c>
      <c r="U289" s="3000">
        <v>17087</v>
      </c>
      <c r="V289" s="3000">
        <v>322</v>
      </c>
    </row>
    <row r="290" spans="4:22" ht="14.25" thickBot="1">
      <c r="D290" s="2915">
        <v>286</v>
      </c>
      <c r="E290" s="2915"/>
      <c r="F290" s="2914" t="s">
        <v>3397</v>
      </c>
      <c r="G290" s="2915">
        <v>188.42</v>
      </c>
      <c r="H290" s="2915">
        <f t="shared" si="5"/>
        <v>33.08</v>
      </c>
      <c r="Q290" s="3004">
        <v>286</v>
      </c>
      <c r="R290" s="2999" t="s">
        <v>4933</v>
      </c>
      <c r="S290" s="3000">
        <v>188.42</v>
      </c>
      <c r="T290" s="3000">
        <v>0.99</v>
      </c>
      <c r="U290" s="3000">
        <v>17087</v>
      </c>
      <c r="V290" s="3000">
        <v>322</v>
      </c>
    </row>
    <row r="291" spans="4:22" ht="14.25" thickBot="1">
      <c r="D291" s="2915">
        <v>287</v>
      </c>
      <c r="E291" s="2915"/>
      <c r="F291" s="2914" t="s">
        <v>3398</v>
      </c>
      <c r="G291" s="2915">
        <v>188.42</v>
      </c>
      <c r="H291" s="2915">
        <f t="shared" si="5"/>
        <v>33.08</v>
      </c>
      <c r="Q291" s="3004">
        <v>287</v>
      </c>
      <c r="R291" s="2999" t="s">
        <v>4934</v>
      </c>
      <c r="S291" s="3000">
        <v>188.42</v>
      </c>
      <c r="T291" s="3000">
        <v>0.99</v>
      </c>
      <c r="U291" s="3000">
        <v>17087</v>
      </c>
      <c r="V291" s="3000">
        <v>322</v>
      </c>
    </row>
    <row r="292" spans="4:22" ht="14.25" thickBot="1">
      <c r="D292" s="2915">
        <v>288</v>
      </c>
      <c r="E292" s="2915"/>
      <c r="F292" s="2914" t="s">
        <v>3399</v>
      </c>
      <c r="G292" s="2915">
        <v>188.42</v>
      </c>
      <c r="H292" s="2915">
        <f t="shared" si="5"/>
        <v>33.08</v>
      </c>
      <c r="Q292" s="3004">
        <v>288</v>
      </c>
      <c r="R292" s="2999" t="s">
        <v>4935</v>
      </c>
      <c r="S292" s="3000">
        <v>188.42</v>
      </c>
      <c r="T292" s="3000">
        <v>0.99</v>
      </c>
      <c r="U292" s="3000">
        <v>17087</v>
      </c>
      <c r="V292" s="3000">
        <v>322</v>
      </c>
    </row>
    <row r="293" spans="4:22" ht="14.25" thickBot="1">
      <c r="D293" s="2915">
        <v>289</v>
      </c>
      <c r="E293" s="2915"/>
      <c r="F293" s="2914" t="s">
        <v>3400</v>
      </c>
      <c r="G293" s="2915">
        <v>188.42</v>
      </c>
      <c r="H293" s="2915">
        <f t="shared" si="5"/>
        <v>33.08</v>
      </c>
      <c r="Q293" s="3004">
        <v>289</v>
      </c>
      <c r="R293" s="2999" t="s">
        <v>4936</v>
      </c>
      <c r="S293" s="3000">
        <v>188.42</v>
      </c>
      <c r="T293" s="3000">
        <v>0.99</v>
      </c>
      <c r="U293" s="3000">
        <v>17087</v>
      </c>
      <c r="V293" s="3000">
        <v>322</v>
      </c>
    </row>
    <row r="294" spans="4:22" ht="14.25" thickBot="1">
      <c r="D294" s="2915">
        <v>290</v>
      </c>
      <c r="E294" s="2915"/>
      <c r="F294" s="2914" t="s">
        <v>3401</v>
      </c>
      <c r="G294" s="2915">
        <v>186.36</v>
      </c>
      <c r="H294" s="2915">
        <f t="shared" si="5"/>
        <v>32.72</v>
      </c>
      <c r="Q294" s="3004">
        <v>290</v>
      </c>
      <c r="R294" s="2999" t="s">
        <v>4937</v>
      </c>
      <c r="S294" s="3000">
        <v>186.36</v>
      </c>
      <c r="T294" s="3000">
        <v>0.99</v>
      </c>
      <c r="U294" s="3000">
        <v>17087</v>
      </c>
      <c r="V294" s="3000">
        <v>318</v>
      </c>
    </row>
    <row r="295" spans="4:22" ht="14.25" thickBot="1">
      <c r="D295" s="2915">
        <v>291</v>
      </c>
      <c r="E295" s="2915"/>
      <c r="F295" s="2914" t="s">
        <v>3402</v>
      </c>
      <c r="G295" s="2915">
        <v>188.36</v>
      </c>
      <c r="H295" s="2915">
        <f t="shared" si="5"/>
        <v>33.07</v>
      </c>
      <c r="Q295" s="3004">
        <v>291</v>
      </c>
      <c r="R295" s="2999" t="s">
        <v>4938</v>
      </c>
      <c r="S295" s="3000">
        <v>188.36</v>
      </c>
      <c r="T295" s="3000">
        <v>0.99</v>
      </c>
      <c r="U295" s="3000">
        <v>17087</v>
      </c>
      <c r="V295" s="3000">
        <v>322</v>
      </c>
    </row>
    <row r="296" spans="4:22" ht="14.25" thickBot="1">
      <c r="D296" s="2915">
        <v>292</v>
      </c>
      <c r="E296" s="2915"/>
      <c r="F296" s="2914" t="s">
        <v>3403</v>
      </c>
      <c r="G296" s="2915">
        <v>175.78</v>
      </c>
      <c r="H296" s="2915">
        <f t="shared" si="5"/>
        <v>30.87</v>
      </c>
      <c r="Q296" s="3004">
        <v>292</v>
      </c>
      <c r="R296" s="2999" t="s">
        <v>4939</v>
      </c>
      <c r="S296" s="3000">
        <v>175.78</v>
      </c>
      <c r="T296" s="3000">
        <v>0.99</v>
      </c>
      <c r="U296" s="3000">
        <v>17087</v>
      </c>
      <c r="V296" s="3000">
        <v>300</v>
      </c>
    </row>
    <row r="297" spans="4:22" ht="14.25" thickBot="1">
      <c r="D297" s="2915">
        <v>293</v>
      </c>
      <c r="E297" s="2915"/>
      <c r="F297" s="2914" t="s">
        <v>3404</v>
      </c>
      <c r="G297" s="2915">
        <v>279.95999999999998</v>
      </c>
      <c r="H297" s="2915">
        <f t="shared" si="5"/>
        <v>49.16</v>
      </c>
      <c r="Q297" s="3004">
        <v>293</v>
      </c>
      <c r="R297" s="2999" t="s">
        <v>4940</v>
      </c>
      <c r="S297" s="3000">
        <v>279.95999999999998</v>
      </c>
      <c r="T297" s="3000">
        <v>0.98</v>
      </c>
      <c r="U297" s="3000">
        <v>16915</v>
      </c>
      <c r="V297" s="3000">
        <v>474</v>
      </c>
    </row>
    <row r="298" spans="4:22" ht="14.25" thickBot="1">
      <c r="D298" s="2915">
        <v>294</v>
      </c>
      <c r="E298" s="2915"/>
      <c r="F298" s="2914" t="s">
        <v>3405</v>
      </c>
      <c r="G298" s="2915">
        <v>188.43</v>
      </c>
      <c r="H298" s="2915">
        <f t="shared" si="5"/>
        <v>33.090000000000003</v>
      </c>
      <c r="Q298" s="3004">
        <v>294</v>
      </c>
      <c r="R298" s="2999" t="s">
        <v>4941</v>
      </c>
      <c r="S298" s="3000">
        <v>188.43</v>
      </c>
      <c r="T298" s="3000">
        <v>0.99</v>
      </c>
      <c r="U298" s="3000">
        <v>17087</v>
      </c>
      <c r="V298" s="3000">
        <v>322</v>
      </c>
    </row>
    <row r="299" spans="4:22" ht="14.25" thickBot="1">
      <c r="D299" s="2915">
        <v>295</v>
      </c>
      <c r="E299" s="2915"/>
      <c r="F299" s="2914" t="s">
        <v>3406</v>
      </c>
      <c r="G299" s="2915">
        <v>188.43</v>
      </c>
      <c r="H299" s="2915">
        <f t="shared" si="5"/>
        <v>33.090000000000003</v>
      </c>
      <c r="Q299" s="3004">
        <v>295</v>
      </c>
      <c r="R299" s="2999" t="s">
        <v>4942</v>
      </c>
      <c r="S299" s="3000">
        <v>188.43</v>
      </c>
      <c r="T299" s="3000">
        <v>0.99</v>
      </c>
      <c r="U299" s="3000">
        <v>17087</v>
      </c>
      <c r="V299" s="3000">
        <v>322</v>
      </c>
    </row>
    <row r="300" spans="4:22" ht="14.25" thickBot="1">
      <c r="D300" s="2915">
        <v>296</v>
      </c>
      <c r="E300" s="2915"/>
      <c r="F300" s="2914" t="s">
        <v>3407</v>
      </c>
      <c r="G300" s="2915">
        <v>188.43</v>
      </c>
      <c r="H300" s="2915">
        <f t="shared" si="5"/>
        <v>33.090000000000003</v>
      </c>
      <c r="Q300" s="3004">
        <v>296</v>
      </c>
      <c r="R300" s="2999" t="s">
        <v>4943</v>
      </c>
      <c r="S300" s="3000">
        <v>188.43</v>
      </c>
      <c r="T300" s="3000">
        <v>0.99</v>
      </c>
      <c r="U300" s="3000">
        <v>17087</v>
      </c>
      <c r="V300" s="3000">
        <v>322</v>
      </c>
    </row>
    <row r="301" spans="4:22" ht="14.25" thickBot="1">
      <c r="D301" s="2915">
        <v>297</v>
      </c>
      <c r="E301" s="2915"/>
      <c r="F301" s="2914" t="s">
        <v>3408</v>
      </c>
      <c r="G301" s="2915">
        <v>188.43</v>
      </c>
      <c r="H301" s="2915">
        <f t="shared" si="5"/>
        <v>33.090000000000003</v>
      </c>
      <c r="Q301" s="3004">
        <v>297</v>
      </c>
      <c r="R301" s="2999" t="s">
        <v>4944</v>
      </c>
      <c r="S301" s="3000">
        <v>188.43</v>
      </c>
      <c r="T301" s="3000">
        <v>0.99</v>
      </c>
      <c r="U301" s="3000">
        <v>17087</v>
      </c>
      <c r="V301" s="3000">
        <v>322</v>
      </c>
    </row>
    <row r="302" spans="4:22" ht="14.25" thickBot="1">
      <c r="D302" s="2915">
        <v>298</v>
      </c>
      <c r="E302" s="2915"/>
      <c r="F302" s="2914" t="s">
        <v>3409</v>
      </c>
      <c r="G302" s="2915">
        <v>188.43</v>
      </c>
      <c r="H302" s="2915">
        <f t="shared" si="5"/>
        <v>33.090000000000003</v>
      </c>
      <c r="Q302" s="3004">
        <v>298</v>
      </c>
      <c r="R302" s="2999" t="s">
        <v>4945</v>
      </c>
      <c r="S302" s="3000">
        <v>188.43</v>
      </c>
      <c r="T302" s="3000">
        <v>0.99</v>
      </c>
      <c r="U302" s="3000">
        <v>17087</v>
      </c>
      <c r="V302" s="3000">
        <v>322</v>
      </c>
    </row>
    <row r="303" spans="4:22" ht="14.25" thickBot="1">
      <c r="D303" s="2915">
        <v>299</v>
      </c>
      <c r="E303" s="2915"/>
      <c r="F303" s="2914" t="s">
        <v>3410</v>
      </c>
      <c r="G303" s="2915">
        <v>188.38</v>
      </c>
      <c r="H303" s="2915">
        <f t="shared" si="5"/>
        <v>33.08</v>
      </c>
      <c r="Q303" s="3004">
        <v>299</v>
      </c>
      <c r="R303" s="2999" t="s">
        <v>4946</v>
      </c>
      <c r="S303" s="3000">
        <v>188.38</v>
      </c>
      <c r="T303" s="3000">
        <v>0.99</v>
      </c>
      <c r="U303" s="3000">
        <v>17087</v>
      </c>
      <c r="V303" s="3000">
        <v>322</v>
      </c>
    </row>
    <row r="304" spans="4:22" ht="14.25" thickBot="1">
      <c r="D304" s="2915">
        <v>300</v>
      </c>
      <c r="E304" s="2915"/>
      <c r="F304" s="2914" t="s">
        <v>3411</v>
      </c>
      <c r="G304" s="2915">
        <v>208.95</v>
      </c>
      <c r="H304" s="2915">
        <f t="shared" si="5"/>
        <v>36.69</v>
      </c>
      <c r="Q304" s="3004">
        <v>300</v>
      </c>
      <c r="R304" s="2999" t="s">
        <v>4947</v>
      </c>
      <c r="S304" s="3000">
        <v>208.95</v>
      </c>
      <c r="T304" s="3000">
        <v>0.98</v>
      </c>
      <c r="U304" s="3000">
        <v>16915</v>
      </c>
      <c r="V304" s="3000">
        <v>353</v>
      </c>
    </row>
    <row r="305" spans="4:22" ht="14.25" thickBot="1">
      <c r="D305" s="2915">
        <v>301</v>
      </c>
      <c r="E305" s="2915"/>
      <c r="F305" s="2914" t="s">
        <v>3412</v>
      </c>
      <c r="G305" s="2915">
        <v>189.85</v>
      </c>
      <c r="H305" s="2915">
        <f t="shared" si="5"/>
        <v>33.340000000000003</v>
      </c>
      <c r="Q305" s="3004">
        <v>301</v>
      </c>
      <c r="R305" s="2999" t="s">
        <v>4948</v>
      </c>
      <c r="S305" s="3000">
        <v>189.85</v>
      </c>
      <c r="T305" s="3000">
        <v>0.99</v>
      </c>
      <c r="U305" s="3000">
        <v>17087</v>
      </c>
      <c r="V305" s="3000">
        <v>324</v>
      </c>
    </row>
    <row r="306" spans="4:22" ht="14.25" thickBot="1">
      <c r="D306" s="2915">
        <v>302</v>
      </c>
      <c r="E306" s="2915"/>
      <c r="F306" s="2914" t="s">
        <v>3413</v>
      </c>
      <c r="G306" s="2915">
        <v>169.23</v>
      </c>
      <c r="H306" s="2915">
        <f t="shared" si="5"/>
        <v>29.72</v>
      </c>
      <c r="Q306" s="3004">
        <v>302</v>
      </c>
      <c r="R306" s="2999" t="s">
        <v>4949</v>
      </c>
      <c r="S306" s="3000">
        <v>169.23</v>
      </c>
      <c r="T306" s="3000">
        <v>0.99</v>
      </c>
      <c r="U306" s="3000">
        <v>17087</v>
      </c>
      <c r="V306" s="3000">
        <v>289</v>
      </c>
    </row>
    <row r="307" spans="4:22" ht="14.25" thickBot="1">
      <c r="D307" s="2915">
        <v>303</v>
      </c>
      <c r="E307" s="2915"/>
      <c r="F307" s="2914" t="s">
        <v>3414</v>
      </c>
      <c r="G307" s="2915">
        <v>55.7</v>
      </c>
      <c r="H307" s="2915">
        <f t="shared" si="5"/>
        <v>9.7799999999999994</v>
      </c>
      <c r="Q307" s="3004">
        <v>303</v>
      </c>
      <c r="R307" s="2999" t="s">
        <v>4950</v>
      </c>
      <c r="S307" s="3000">
        <v>55.7</v>
      </c>
      <c r="T307" s="3000">
        <v>1</v>
      </c>
      <c r="U307" s="3000">
        <v>17260</v>
      </c>
      <c r="V307" s="3000">
        <v>96</v>
      </c>
    </row>
    <row r="308" spans="4:22" ht="14.25" thickBot="1">
      <c r="D308" s="2915">
        <v>304</v>
      </c>
      <c r="E308" s="2915"/>
      <c r="F308" s="2914" t="s">
        <v>3415</v>
      </c>
      <c r="G308" s="2915">
        <v>49.53</v>
      </c>
      <c r="H308" s="2915">
        <f t="shared" si="5"/>
        <v>8.6999999999999993</v>
      </c>
      <c r="Q308" s="3004">
        <v>304</v>
      </c>
      <c r="R308" s="2999" t="s">
        <v>4951</v>
      </c>
      <c r="S308" s="3000">
        <v>49.53</v>
      </c>
      <c r="T308" s="3000">
        <v>1</v>
      </c>
      <c r="U308" s="3000">
        <v>17260</v>
      </c>
      <c r="V308" s="3000">
        <v>85</v>
      </c>
    </row>
    <row r="309" spans="4:22" ht="14.25" thickBot="1">
      <c r="D309" s="2915">
        <v>305</v>
      </c>
      <c r="E309" s="2915"/>
      <c r="F309" s="2914" t="s">
        <v>3416</v>
      </c>
      <c r="G309" s="2915">
        <v>50.63</v>
      </c>
      <c r="H309" s="2915">
        <f t="shared" si="5"/>
        <v>8.89</v>
      </c>
      <c r="Q309" s="3004">
        <v>305</v>
      </c>
      <c r="R309" s="2999" t="s">
        <v>4952</v>
      </c>
      <c r="S309" s="3000">
        <v>50.63</v>
      </c>
      <c r="T309" s="3000">
        <v>1</v>
      </c>
      <c r="U309" s="3000">
        <v>17260</v>
      </c>
      <c r="V309" s="3000">
        <v>87</v>
      </c>
    </row>
    <row r="310" spans="4:22" ht="14.25" thickBot="1">
      <c r="D310" s="2915">
        <v>306</v>
      </c>
      <c r="E310" s="2915"/>
      <c r="F310" s="2914" t="s">
        <v>3417</v>
      </c>
      <c r="G310" s="2915">
        <v>50.63</v>
      </c>
      <c r="H310" s="2915">
        <f t="shared" si="5"/>
        <v>8.89</v>
      </c>
      <c r="Q310" s="3004">
        <v>306</v>
      </c>
      <c r="R310" s="2999" t="s">
        <v>4953</v>
      </c>
      <c r="S310" s="3000">
        <v>50.63</v>
      </c>
      <c r="T310" s="3000">
        <v>1</v>
      </c>
      <c r="U310" s="3000">
        <v>17260</v>
      </c>
      <c r="V310" s="3000">
        <v>87</v>
      </c>
    </row>
    <row r="311" spans="4:22" ht="14.25" thickBot="1">
      <c r="D311" s="2915">
        <v>307</v>
      </c>
      <c r="E311" s="2915"/>
      <c r="F311" s="2914" t="s">
        <v>3418</v>
      </c>
      <c r="G311" s="2915">
        <v>50.63</v>
      </c>
      <c r="H311" s="2915">
        <f t="shared" si="5"/>
        <v>8.89</v>
      </c>
      <c r="Q311" s="3004">
        <v>307</v>
      </c>
      <c r="R311" s="2999" t="s">
        <v>4954</v>
      </c>
      <c r="S311" s="3000">
        <v>50.63</v>
      </c>
      <c r="T311" s="3000">
        <v>1</v>
      </c>
      <c r="U311" s="3000">
        <v>17260</v>
      </c>
      <c r="V311" s="3000">
        <v>87</v>
      </c>
    </row>
    <row r="312" spans="4:22" ht="14.25" thickBot="1">
      <c r="D312" s="2915">
        <v>308</v>
      </c>
      <c r="E312" s="2915"/>
      <c r="F312" s="2914" t="s">
        <v>3419</v>
      </c>
      <c r="G312" s="2915">
        <v>50.63</v>
      </c>
      <c r="H312" s="2915">
        <f t="shared" si="5"/>
        <v>8.89</v>
      </c>
      <c r="Q312" s="3004">
        <v>308</v>
      </c>
      <c r="R312" s="2999" t="s">
        <v>4955</v>
      </c>
      <c r="S312" s="3000">
        <v>50.63</v>
      </c>
      <c r="T312" s="3000">
        <v>1</v>
      </c>
      <c r="U312" s="3000">
        <v>17260</v>
      </c>
      <c r="V312" s="3000">
        <v>87</v>
      </c>
    </row>
    <row r="313" spans="4:22" ht="14.25" thickBot="1">
      <c r="D313" s="2915">
        <v>309</v>
      </c>
      <c r="E313" s="2915"/>
      <c r="F313" s="2914" t="s">
        <v>3420</v>
      </c>
      <c r="G313" s="2915">
        <v>50.63</v>
      </c>
      <c r="H313" s="2915">
        <f t="shared" si="5"/>
        <v>8.89</v>
      </c>
      <c r="Q313" s="3004">
        <v>309</v>
      </c>
      <c r="R313" s="2999" t="s">
        <v>4956</v>
      </c>
      <c r="S313" s="3000">
        <v>50.63</v>
      </c>
      <c r="T313" s="3000">
        <v>1</v>
      </c>
      <c r="U313" s="3000">
        <v>17260</v>
      </c>
      <c r="V313" s="3000">
        <v>87</v>
      </c>
    </row>
    <row r="314" spans="4:22" ht="14.25" thickBot="1">
      <c r="D314" s="2915">
        <v>310</v>
      </c>
      <c r="E314" s="2915"/>
      <c r="F314" s="2914" t="s">
        <v>3421</v>
      </c>
      <c r="G314" s="2915">
        <v>50.63</v>
      </c>
      <c r="H314" s="2915">
        <f t="shared" si="5"/>
        <v>8.89</v>
      </c>
      <c r="Q314" s="3004">
        <v>310</v>
      </c>
      <c r="R314" s="2999" t="s">
        <v>4957</v>
      </c>
      <c r="S314" s="3000">
        <v>50.63</v>
      </c>
      <c r="T314" s="3000">
        <v>1</v>
      </c>
      <c r="U314" s="3000">
        <v>17260</v>
      </c>
      <c r="V314" s="3000">
        <v>87</v>
      </c>
    </row>
    <row r="315" spans="4:22" ht="14.25" thickBot="1">
      <c r="D315" s="2915">
        <v>311</v>
      </c>
      <c r="E315" s="2915"/>
      <c r="F315" s="2914" t="s">
        <v>3422</v>
      </c>
      <c r="G315" s="2915">
        <v>50.63</v>
      </c>
      <c r="H315" s="2915">
        <f t="shared" si="5"/>
        <v>8.89</v>
      </c>
      <c r="Q315" s="3004">
        <v>311</v>
      </c>
      <c r="R315" s="2999" t="s">
        <v>4958</v>
      </c>
      <c r="S315" s="3000">
        <v>50.63</v>
      </c>
      <c r="T315" s="3000">
        <v>1</v>
      </c>
      <c r="U315" s="3000">
        <v>17260</v>
      </c>
      <c r="V315" s="3000">
        <v>87</v>
      </c>
    </row>
    <row r="316" spans="4:22" ht="14.25" thickBot="1">
      <c r="D316" s="2915">
        <v>312</v>
      </c>
      <c r="E316" s="2915"/>
      <c r="F316" s="2914" t="s">
        <v>3423</v>
      </c>
      <c r="G316" s="2915">
        <v>50.63</v>
      </c>
      <c r="H316" s="2915">
        <f t="shared" si="5"/>
        <v>8.89</v>
      </c>
      <c r="Q316" s="3004">
        <v>312</v>
      </c>
      <c r="R316" s="2999" t="s">
        <v>4959</v>
      </c>
      <c r="S316" s="3000">
        <v>50.63</v>
      </c>
      <c r="T316" s="3000">
        <v>1</v>
      </c>
      <c r="U316" s="3000">
        <v>17260</v>
      </c>
      <c r="V316" s="3000">
        <v>87</v>
      </c>
    </row>
    <row r="317" spans="4:22" ht="14.25" thickBot="1">
      <c r="D317" s="2915">
        <v>313</v>
      </c>
      <c r="E317" s="2915"/>
      <c r="F317" s="2914" t="s">
        <v>3424</v>
      </c>
      <c r="G317" s="2915">
        <v>50.63</v>
      </c>
      <c r="H317" s="2915">
        <f t="shared" si="5"/>
        <v>8.89</v>
      </c>
      <c r="Q317" s="3004">
        <v>313</v>
      </c>
      <c r="R317" s="2999" t="s">
        <v>4960</v>
      </c>
      <c r="S317" s="3000">
        <v>50.63</v>
      </c>
      <c r="T317" s="3000">
        <v>1</v>
      </c>
      <c r="U317" s="3000">
        <v>17260</v>
      </c>
      <c r="V317" s="3000">
        <v>87</v>
      </c>
    </row>
    <row r="318" spans="4:22" ht="14.25" thickBot="1">
      <c r="D318" s="2915">
        <v>314</v>
      </c>
      <c r="E318" s="2915"/>
      <c r="F318" s="2914" t="s">
        <v>3425</v>
      </c>
      <c r="G318" s="2915">
        <v>50.63</v>
      </c>
      <c r="H318" s="2915">
        <f t="shared" si="5"/>
        <v>8.89</v>
      </c>
      <c r="Q318" s="3004">
        <v>314</v>
      </c>
      <c r="R318" s="2999" t="s">
        <v>4961</v>
      </c>
      <c r="S318" s="3000">
        <v>50.63</v>
      </c>
      <c r="T318" s="3000">
        <v>1</v>
      </c>
      <c r="U318" s="3000">
        <v>17260</v>
      </c>
      <c r="V318" s="3000">
        <v>87</v>
      </c>
    </row>
    <row r="319" spans="4:22" ht="14.25" thickBot="1">
      <c r="D319" s="2915">
        <v>315</v>
      </c>
      <c r="E319" s="2915"/>
      <c r="F319" s="2914" t="s">
        <v>3426</v>
      </c>
      <c r="G319" s="2915">
        <v>49.61</v>
      </c>
      <c r="H319" s="2915">
        <f t="shared" si="5"/>
        <v>8.7100000000000009</v>
      </c>
      <c r="Q319" s="3004">
        <v>315</v>
      </c>
      <c r="R319" s="2999" t="s">
        <v>4962</v>
      </c>
      <c r="S319" s="3000">
        <v>49.61</v>
      </c>
      <c r="T319" s="3000">
        <v>1</v>
      </c>
      <c r="U319" s="3000">
        <v>17260</v>
      </c>
      <c r="V319" s="3000">
        <v>86</v>
      </c>
    </row>
    <row r="320" spans="4:22" ht="14.25" thickBot="1">
      <c r="D320" s="2915">
        <v>316</v>
      </c>
      <c r="E320" s="2915"/>
      <c r="F320" s="2914" t="s">
        <v>3427</v>
      </c>
      <c r="G320" s="2915">
        <v>46.31</v>
      </c>
      <c r="H320" s="2915">
        <f t="shared" si="5"/>
        <v>8.1300000000000008</v>
      </c>
      <c r="Q320" s="3004">
        <v>316</v>
      </c>
      <c r="R320" s="2999" t="s">
        <v>4963</v>
      </c>
      <c r="S320" s="3000">
        <v>46.31</v>
      </c>
      <c r="T320" s="3000">
        <v>1</v>
      </c>
      <c r="U320" s="3000">
        <v>17260</v>
      </c>
      <c r="V320" s="3000">
        <v>80</v>
      </c>
    </row>
    <row r="321" spans="4:22" ht="14.25" thickBot="1">
      <c r="D321" s="2915">
        <v>317</v>
      </c>
      <c r="E321" s="2915"/>
      <c r="F321" s="2914" t="s">
        <v>3428</v>
      </c>
      <c r="G321" s="2915">
        <v>50.63</v>
      </c>
      <c r="H321" s="2915">
        <f t="shared" si="5"/>
        <v>8.89</v>
      </c>
      <c r="Q321" s="3004">
        <v>317</v>
      </c>
      <c r="R321" s="2999" t="s">
        <v>4964</v>
      </c>
      <c r="S321" s="3000">
        <v>50.63</v>
      </c>
      <c r="T321" s="3000">
        <v>1</v>
      </c>
      <c r="U321" s="3000">
        <v>17260</v>
      </c>
      <c r="V321" s="3000">
        <v>87</v>
      </c>
    </row>
    <row r="322" spans="4:22" ht="14.25" thickBot="1">
      <c r="D322" s="2915">
        <v>318</v>
      </c>
      <c r="E322" s="2915"/>
      <c r="F322" s="2914" t="s">
        <v>3429</v>
      </c>
      <c r="G322" s="2915">
        <v>50.63</v>
      </c>
      <c r="H322" s="2915">
        <f t="shared" si="5"/>
        <v>8.89</v>
      </c>
      <c r="Q322" s="3004">
        <v>318</v>
      </c>
      <c r="R322" s="2999" t="s">
        <v>4965</v>
      </c>
      <c r="S322" s="3000">
        <v>50.63</v>
      </c>
      <c r="T322" s="3000">
        <v>1</v>
      </c>
      <c r="U322" s="3000">
        <v>17260</v>
      </c>
      <c r="V322" s="3000">
        <v>87</v>
      </c>
    </row>
    <row r="323" spans="4:22" ht="14.25" thickBot="1">
      <c r="D323" s="2915">
        <v>319</v>
      </c>
      <c r="E323" s="2915"/>
      <c r="F323" s="2914" t="s">
        <v>3430</v>
      </c>
      <c r="G323" s="2915">
        <v>62.54</v>
      </c>
      <c r="H323" s="2915">
        <f t="shared" si="5"/>
        <v>10.98</v>
      </c>
      <c r="Q323" s="3004">
        <v>319</v>
      </c>
      <c r="R323" s="2999" t="s">
        <v>4966</v>
      </c>
      <c r="S323" s="3000">
        <v>62.54</v>
      </c>
      <c r="T323" s="3000">
        <v>1</v>
      </c>
      <c r="U323" s="3000">
        <v>17260</v>
      </c>
      <c r="V323" s="3000">
        <v>108</v>
      </c>
    </row>
    <row r="324" spans="4:22" ht="14.25" thickBot="1">
      <c r="D324" s="2915">
        <v>320</v>
      </c>
      <c r="E324" s="2915"/>
      <c r="F324" s="2914" t="s">
        <v>3431</v>
      </c>
      <c r="G324" s="2915">
        <v>62.17</v>
      </c>
      <c r="H324" s="2915">
        <f t="shared" si="5"/>
        <v>10.92</v>
      </c>
      <c r="Q324" s="3004">
        <v>320</v>
      </c>
      <c r="R324" s="2999" t="s">
        <v>4967</v>
      </c>
      <c r="S324" s="3000">
        <v>62.17</v>
      </c>
      <c r="T324" s="3000">
        <v>1</v>
      </c>
      <c r="U324" s="3000">
        <v>17260</v>
      </c>
      <c r="V324" s="3000">
        <v>107</v>
      </c>
    </row>
    <row r="325" spans="4:22" ht="14.25" thickBot="1">
      <c r="D325" s="2915">
        <v>321</v>
      </c>
      <c r="E325" s="2915"/>
      <c r="F325" s="2914" t="s">
        <v>3432</v>
      </c>
      <c r="G325" s="2915">
        <v>62.17</v>
      </c>
      <c r="H325" s="2915">
        <f t="shared" si="5"/>
        <v>10.92</v>
      </c>
      <c r="Q325" s="3004">
        <v>321</v>
      </c>
      <c r="R325" s="2999" t="s">
        <v>4968</v>
      </c>
      <c r="S325" s="3000">
        <v>62.17</v>
      </c>
      <c r="T325" s="3000">
        <v>1</v>
      </c>
      <c r="U325" s="3000">
        <v>17260</v>
      </c>
      <c r="V325" s="3000">
        <v>107</v>
      </c>
    </row>
    <row r="326" spans="4:22" ht="14.25" thickBot="1">
      <c r="D326" s="2915">
        <v>322</v>
      </c>
      <c r="E326" s="2915"/>
      <c r="F326" s="2914" t="s">
        <v>3433</v>
      </c>
      <c r="G326" s="2915">
        <v>62.09</v>
      </c>
      <c r="H326" s="2915">
        <f t="shared" ref="H326:H389" si="6">ROUND(G326/$N$7*$M$7,2)</f>
        <v>10.9</v>
      </c>
      <c r="Q326" s="3004">
        <v>322</v>
      </c>
      <c r="R326" s="2999" t="s">
        <v>4969</v>
      </c>
      <c r="S326" s="3000">
        <v>62.09</v>
      </c>
      <c r="T326" s="3000">
        <v>1</v>
      </c>
      <c r="U326" s="3000">
        <v>17260</v>
      </c>
      <c r="V326" s="3000">
        <v>107</v>
      </c>
    </row>
    <row r="327" spans="4:22" ht="14.25" thickBot="1">
      <c r="D327" s="2915">
        <v>323</v>
      </c>
      <c r="E327" s="2915"/>
      <c r="F327" s="2914" t="s">
        <v>3434</v>
      </c>
      <c r="G327" s="2915">
        <v>50.37</v>
      </c>
      <c r="H327" s="2915">
        <f t="shared" si="6"/>
        <v>8.84</v>
      </c>
      <c r="Q327" s="3004">
        <v>323</v>
      </c>
      <c r="R327" s="2999" t="s">
        <v>4970</v>
      </c>
      <c r="S327" s="3000">
        <v>50.37</v>
      </c>
      <c r="T327" s="3000">
        <v>1</v>
      </c>
      <c r="U327" s="3000">
        <v>17260</v>
      </c>
      <c r="V327" s="3000">
        <v>87</v>
      </c>
    </row>
    <row r="328" spans="4:22" ht="14.25" thickBot="1">
      <c r="D328" s="2915">
        <v>324</v>
      </c>
      <c r="E328" s="2915"/>
      <c r="F328" s="2914" t="s">
        <v>3435</v>
      </c>
      <c r="G328" s="2915">
        <v>50.37</v>
      </c>
      <c r="H328" s="2915">
        <f t="shared" si="6"/>
        <v>8.84</v>
      </c>
      <c r="Q328" s="3004">
        <v>324</v>
      </c>
      <c r="R328" s="2999" t="s">
        <v>4971</v>
      </c>
      <c r="S328" s="3000">
        <v>50.37</v>
      </c>
      <c r="T328" s="3000">
        <v>1</v>
      </c>
      <c r="U328" s="3000">
        <v>17260</v>
      </c>
      <c r="V328" s="3000">
        <v>87</v>
      </c>
    </row>
    <row r="329" spans="4:22" ht="14.25" thickBot="1">
      <c r="D329" s="2915">
        <v>325</v>
      </c>
      <c r="E329" s="2915"/>
      <c r="F329" s="2914" t="s">
        <v>3436</v>
      </c>
      <c r="G329" s="2915">
        <v>50.37</v>
      </c>
      <c r="H329" s="2915">
        <f t="shared" si="6"/>
        <v>8.84</v>
      </c>
      <c r="Q329" s="3004">
        <v>325</v>
      </c>
      <c r="R329" s="2999" t="s">
        <v>4972</v>
      </c>
      <c r="S329" s="3000">
        <v>50.37</v>
      </c>
      <c r="T329" s="3000">
        <v>1</v>
      </c>
      <c r="U329" s="3000">
        <v>17260</v>
      </c>
      <c r="V329" s="3000">
        <v>87</v>
      </c>
    </row>
    <row r="330" spans="4:22" ht="14.25" thickBot="1">
      <c r="D330" s="2915">
        <v>326</v>
      </c>
      <c r="E330" s="2915"/>
      <c r="F330" s="2914" t="s">
        <v>3437</v>
      </c>
      <c r="G330" s="2915">
        <v>50.37</v>
      </c>
      <c r="H330" s="2915">
        <f t="shared" si="6"/>
        <v>8.84</v>
      </c>
      <c r="Q330" s="3004">
        <v>326</v>
      </c>
      <c r="R330" s="2999" t="s">
        <v>4973</v>
      </c>
      <c r="S330" s="3000">
        <v>50.37</v>
      </c>
      <c r="T330" s="3000">
        <v>1</v>
      </c>
      <c r="U330" s="3000">
        <v>17260</v>
      </c>
      <c r="V330" s="3000">
        <v>87</v>
      </c>
    </row>
    <row r="331" spans="4:22" ht="14.25" thickBot="1">
      <c r="D331" s="2915">
        <v>327</v>
      </c>
      <c r="E331" s="2915"/>
      <c r="F331" s="2914" t="s">
        <v>3438</v>
      </c>
      <c r="G331" s="2915">
        <v>50.37</v>
      </c>
      <c r="H331" s="2915">
        <f t="shared" si="6"/>
        <v>8.84</v>
      </c>
      <c r="Q331" s="3004">
        <v>327</v>
      </c>
      <c r="R331" s="2999" t="s">
        <v>4974</v>
      </c>
      <c r="S331" s="3000">
        <v>50.37</v>
      </c>
      <c r="T331" s="3000">
        <v>1</v>
      </c>
      <c r="U331" s="3000">
        <v>17260</v>
      </c>
      <c r="V331" s="3000">
        <v>87</v>
      </c>
    </row>
    <row r="332" spans="4:22" ht="14.25" thickBot="1">
      <c r="D332" s="2915">
        <v>328</v>
      </c>
      <c r="E332" s="2915"/>
      <c r="F332" s="2914" t="s">
        <v>3439</v>
      </c>
      <c r="G332" s="2915">
        <v>50.37</v>
      </c>
      <c r="H332" s="2915">
        <f t="shared" si="6"/>
        <v>8.84</v>
      </c>
      <c r="Q332" s="3004">
        <v>328</v>
      </c>
      <c r="R332" s="2999" t="s">
        <v>4975</v>
      </c>
      <c r="S332" s="3000">
        <v>50.37</v>
      </c>
      <c r="T332" s="3000">
        <v>1</v>
      </c>
      <c r="U332" s="3000">
        <v>17260</v>
      </c>
      <c r="V332" s="3000">
        <v>87</v>
      </c>
    </row>
    <row r="333" spans="4:22" ht="14.25" thickBot="1">
      <c r="D333" s="2915">
        <v>329</v>
      </c>
      <c r="E333" s="2915"/>
      <c r="F333" s="2914" t="s">
        <v>3440</v>
      </c>
      <c r="G333" s="2915">
        <v>50.37</v>
      </c>
      <c r="H333" s="2915">
        <f t="shared" si="6"/>
        <v>8.84</v>
      </c>
      <c r="Q333" s="3004">
        <v>329</v>
      </c>
      <c r="R333" s="2999" t="s">
        <v>4976</v>
      </c>
      <c r="S333" s="3000">
        <v>50.37</v>
      </c>
      <c r="T333" s="3000">
        <v>1</v>
      </c>
      <c r="U333" s="3000">
        <v>17260</v>
      </c>
      <c r="V333" s="3000">
        <v>87</v>
      </c>
    </row>
    <row r="334" spans="4:22" ht="14.25" thickBot="1">
      <c r="D334" s="2915">
        <v>330</v>
      </c>
      <c r="E334" s="2915"/>
      <c r="F334" s="2914" t="s">
        <v>3441</v>
      </c>
      <c r="G334" s="2915">
        <v>50.37</v>
      </c>
      <c r="H334" s="2915">
        <f t="shared" si="6"/>
        <v>8.84</v>
      </c>
      <c r="Q334" s="3004">
        <v>330</v>
      </c>
      <c r="R334" s="2999" t="s">
        <v>4977</v>
      </c>
      <c r="S334" s="3000">
        <v>50.37</v>
      </c>
      <c r="T334" s="3000">
        <v>1</v>
      </c>
      <c r="U334" s="3000">
        <v>17260</v>
      </c>
      <c r="V334" s="3000">
        <v>87</v>
      </c>
    </row>
    <row r="335" spans="4:22" ht="14.25" thickBot="1">
      <c r="D335" s="2915">
        <v>331</v>
      </c>
      <c r="E335" s="2915"/>
      <c r="F335" s="2914" t="s">
        <v>3442</v>
      </c>
      <c r="G335" s="2915">
        <v>50.37</v>
      </c>
      <c r="H335" s="2915">
        <f t="shared" si="6"/>
        <v>8.84</v>
      </c>
      <c r="Q335" s="3004">
        <v>331</v>
      </c>
      <c r="R335" s="2999" t="s">
        <v>4978</v>
      </c>
      <c r="S335" s="3000">
        <v>50.37</v>
      </c>
      <c r="T335" s="3000">
        <v>1</v>
      </c>
      <c r="U335" s="3000">
        <v>17260</v>
      </c>
      <c r="V335" s="3000">
        <v>87</v>
      </c>
    </row>
    <row r="336" spans="4:22" ht="14.25" thickBot="1">
      <c r="D336" s="2915">
        <v>332</v>
      </c>
      <c r="E336" s="2915"/>
      <c r="F336" s="2914" t="s">
        <v>3443</v>
      </c>
      <c r="G336" s="2915">
        <v>50.37</v>
      </c>
      <c r="H336" s="2915">
        <f t="shared" si="6"/>
        <v>8.84</v>
      </c>
      <c r="Q336" s="3004">
        <v>332</v>
      </c>
      <c r="R336" s="2999" t="s">
        <v>4979</v>
      </c>
      <c r="S336" s="3000">
        <v>50.37</v>
      </c>
      <c r="T336" s="3000">
        <v>1</v>
      </c>
      <c r="U336" s="3000">
        <v>17260</v>
      </c>
      <c r="V336" s="3000">
        <v>87</v>
      </c>
    </row>
    <row r="337" spans="4:22" ht="14.25" thickBot="1">
      <c r="D337" s="2915">
        <v>333</v>
      </c>
      <c r="E337" s="2915"/>
      <c r="F337" s="2914" t="s">
        <v>3444</v>
      </c>
      <c r="G337" s="2915">
        <v>50.37</v>
      </c>
      <c r="H337" s="2915">
        <f t="shared" si="6"/>
        <v>8.84</v>
      </c>
      <c r="Q337" s="3004">
        <v>333</v>
      </c>
      <c r="R337" s="2999" t="s">
        <v>4980</v>
      </c>
      <c r="S337" s="3000">
        <v>50.37</v>
      </c>
      <c r="T337" s="3000">
        <v>1</v>
      </c>
      <c r="U337" s="3000">
        <v>17260</v>
      </c>
      <c r="V337" s="3000">
        <v>87</v>
      </c>
    </row>
    <row r="338" spans="4:22" ht="14.25" thickBot="1">
      <c r="D338" s="2915">
        <v>334</v>
      </c>
      <c r="E338" s="2915"/>
      <c r="F338" s="2914" t="s">
        <v>3445</v>
      </c>
      <c r="G338" s="2915">
        <v>50.37</v>
      </c>
      <c r="H338" s="2915">
        <f t="shared" si="6"/>
        <v>8.84</v>
      </c>
      <c r="Q338" s="3004">
        <v>334</v>
      </c>
      <c r="R338" s="2999" t="s">
        <v>4981</v>
      </c>
      <c r="S338" s="3000">
        <v>50.37</v>
      </c>
      <c r="T338" s="3000">
        <v>1</v>
      </c>
      <c r="U338" s="3000">
        <v>17260</v>
      </c>
      <c r="V338" s="3000">
        <v>87</v>
      </c>
    </row>
    <row r="339" spans="4:22" ht="14.25" thickBot="1">
      <c r="D339" s="2915">
        <v>335</v>
      </c>
      <c r="E339" s="2915"/>
      <c r="F339" s="2914" t="s">
        <v>3446</v>
      </c>
      <c r="G339" s="2915">
        <v>50.11</v>
      </c>
      <c r="H339" s="2915">
        <f t="shared" si="6"/>
        <v>8.8000000000000007</v>
      </c>
      <c r="Q339" s="3004">
        <v>335</v>
      </c>
      <c r="R339" s="2999" t="s">
        <v>4982</v>
      </c>
      <c r="S339" s="3000">
        <v>50.11</v>
      </c>
      <c r="T339" s="3000">
        <v>1</v>
      </c>
      <c r="U339" s="3000">
        <v>17260</v>
      </c>
      <c r="V339" s="3000">
        <v>86</v>
      </c>
    </row>
    <row r="340" spans="4:22" ht="14.25" thickBot="1">
      <c r="D340" s="2915">
        <v>336</v>
      </c>
      <c r="E340" s="2915"/>
      <c r="F340" s="2914" t="s">
        <v>3447</v>
      </c>
      <c r="G340" s="2915">
        <v>47.31</v>
      </c>
      <c r="H340" s="2915">
        <f t="shared" si="6"/>
        <v>8.31</v>
      </c>
      <c r="Q340" s="3004">
        <v>336</v>
      </c>
      <c r="R340" s="2999" t="s">
        <v>4983</v>
      </c>
      <c r="S340" s="3000">
        <v>47.31</v>
      </c>
      <c r="T340" s="3000">
        <v>1</v>
      </c>
      <c r="U340" s="3000">
        <v>17260</v>
      </c>
      <c r="V340" s="3000">
        <v>82</v>
      </c>
    </row>
    <row r="341" spans="4:22" ht="14.25" thickBot="1">
      <c r="D341" s="2915">
        <v>337</v>
      </c>
      <c r="E341" s="2915"/>
      <c r="F341" s="2914" t="s">
        <v>3448</v>
      </c>
      <c r="G341" s="2915">
        <v>68.760000000000005</v>
      </c>
      <c r="H341" s="2915">
        <f t="shared" si="6"/>
        <v>12.07</v>
      </c>
      <c r="Q341" s="3004">
        <v>337</v>
      </c>
      <c r="R341" s="2999" t="s">
        <v>4984</v>
      </c>
      <c r="S341" s="3000">
        <v>68.760000000000005</v>
      </c>
      <c r="T341" s="3000">
        <v>1</v>
      </c>
      <c r="U341" s="3000">
        <v>17260</v>
      </c>
      <c r="V341" s="3000">
        <v>119</v>
      </c>
    </row>
    <row r="342" spans="4:22" ht="14.25" thickBot="1">
      <c r="D342" s="2915">
        <v>338</v>
      </c>
      <c r="E342" s="2915"/>
      <c r="F342" s="2914" t="s">
        <v>3449</v>
      </c>
      <c r="G342" s="2915">
        <v>69.319999999999993</v>
      </c>
      <c r="H342" s="2915">
        <f t="shared" si="6"/>
        <v>12.17</v>
      </c>
      <c r="Q342" s="3004">
        <v>338</v>
      </c>
      <c r="R342" s="2999" t="s">
        <v>4985</v>
      </c>
      <c r="S342" s="3000">
        <v>69.319999999999993</v>
      </c>
      <c r="T342" s="3000">
        <v>1</v>
      </c>
      <c r="U342" s="3000">
        <v>17260</v>
      </c>
      <c r="V342" s="3000">
        <v>120</v>
      </c>
    </row>
    <row r="343" spans="4:22" ht="14.25" thickBot="1">
      <c r="D343" s="2915">
        <v>339</v>
      </c>
      <c r="E343" s="2915"/>
      <c r="F343" s="2914" t="s">
        <v>3450</v>
      </c>
      <c r="G343" s="2915">
        <v>61.41</v>
      </c>
      <c r="H343" s="2915">
        <f t="shared" si="6"/>
        <v>10.78</v>
      </c>
      <c r="Q343" s="3004">
        <v>339</v>
      </c>
      <c r="R343" s="2999" t="s">
        <v>4986</v>
      </c>
      <c r="S343" s="3000">
        <v>61.41</v>
      </c>
      <c r="T343" s="3000">
        <v>1</v>
      </c>
      <c r="U343" s="3000">
        <v>17260</v>
      </c>
      <c r="V343" s="3000">
        <v>106</v>
      </c>
    </row>
    <row r="344" spans="4:22" ht="14.25" thickBot="1">
      <c r="D344" s="2915">
        <v>340</v>
      </c>
      <c r="E344" s="2915"/>
      <c r="F344" s="2914" t="s">
        <v>3451</v>
      </c>
      <c r="G344" s="2915">
        <v>61.41</v>
      </c>
      <c r="H344" s="2915">
        <f t="shared" si="6"/>
        <v>10.78</v>
      </c>
      <c r="Q344" s="3004">
        <v>340</v>
      </c>
      <c r="R344" s="2999" t="s">
        <v>4987</v>
      </c>
      <c r="S344" s="3000">
        <v>61.41</v>
      </c>
      <c r="T344" s="3000">
        <v>1</v>
      </c>
      <c r="U344" s="3000">
        <v>17260</v>
      </c>
      <c r="V344" s="3000">
        <v>106</v>
      </c>
    </row>
    <row r="345" spans="4:22" ht="14.25" thickBot="1">
      <c r="D345" s="2915">
        <v>341</v>
      </c>
      <c r="E345" s="2915"/>
      <c r="F345" s="2914" t="s">
        <v>3452</v>
      </c>
      <c r="G345" s="2915">
        <v>61.41</v>
      </c>
      <c r="H345" s="2915">
        <f t="shared" si="6"/>
        <v>10.78</v>
      </c>
      <c r="Q345" s="3004">
        <v>341</v>
      </c>
      <c r="R345" s="2999" t="s">
        <v>4988</v>
      </c>
      <c r="S345" s="3000">
        <v>61.41</v>
      </c>
      <c r="T345" s="3000">
        <v>1</v>
      </c>
      <c r="U345" s="3000">
        <v>17260</v>
      </c>
      <c r="V345" s="3000">
        <v>106</v>
      </c>
    </row>
    <row r="346" spans="4:22" ht="14.25" thickBot="1">
      <c r="D346" s="2915">
        <v>342</v>
      </c>
      <c r="E346" s="2915"/>
      <c r="F346" s="2914" t="s">
        <v>3453</v>
      </c>
      <c r="G346" s="2915">
        <v>61.41</v>
      </c>
      <c r="H346" s="2915">
        <f t="shared" si="6"/>
        <v>10.78</v>
      </c>
      <c r="Q346" s="3004">
        <v>342</v>
      </c>
      <c r="R346" s="2999" t="s">
        <v>4989</v>
      </c>
      <c r="S346" s="3000">
        <v>61.41</v>
      </c>
      <c r="T346" s="3000">
        <v>1</v>
      </c>
      <c r="U346" s="3000">
        <v>17260</v>
      </c>
      <c r="V346" s="3000">
        <v>106</v>
      </c>
    </row>
    <row r="347" spans="4:22" ht="14.25" thickBot="1">
      <c r="D347" s="2915">
        <v>343</v>
      </c>
      <c r="E347" s="2915"/>
      <c r="F347" s="2914" t="s">
        <v>3454</v>
      </c>
      <c r="G347" s="2915">
        <v>61.41</v>
      </c>
      <c r="H347" s="2915">
        <f t="shared" si="6"/>
        <v>10.78</v>
      </c>
      <c r="Q347" s="3004">
        <v>343</v>
      </c>
      <c r="R347" s="2999" t="s">
        <v>4990</v>
      </c>
      <c r="S347" s="3000">
        <v>61.41</v>
      </c>
      <c r="T347" s="3000">
        <v>1</v>
      </c>
      <c r="U347" s="3000">
        <v>17260</v>
      </c>
      <c r="V347" s="3000">
        <v>106</v>
      </c>
    </row>
    <row r="348" spans="4:22" ht="14.25" thickBot="1">
      <c r="D348" s="2915">
        <v>344</v>
      </c>
      <c r="E348" s="2915"/>
      <c r="F348" s="2914" t="s">
        <v>3455</v>
      </c>
      <c r="G348" s="2915">
        <v>72.87</v>
      </c>
      <c r="H348" s="2915">
        <f t="shared" si="6"/>
        <v>12.8</v>
      </c>
      <c r="Q348" s="3004">
        <v>344</v>
      </c>
      <c r="R348" s="2999" t="s">
        <v>4991</v>
      </c>
      <c r="S348" s="3000">
        <v>72.87</v>
      </c>
      <c r="T348" s="3000">
        <v>1</v>
      </c>
      <c r="U348" s="3000">
        <v>17260</v>
      </c>
      <c r="V348" s="3000">
        <v>126</v>
      </c>
    </row>
    <row r="349" spans="4:22" ht="14.25" thickBot="1">
      <c r="D349" s="2915">
        <v>345</v>
      </c>
      <c r="E349" s="2915"/>
      <c r="F349" s="2914" t="s">
        <v>3456</v>
      </c>
      <c r="G349" s="2915">
        <v>81.069999999999993</v>
      </c>
      <c r="H349" s="2915">
        <f t="shared" si="6"/>
        <v>14.24</v>
      </c>
      <c r="Q349" s="3004">
        <v>345</v>
      </c>
      <c r="R349" s="2999" t="s">
        <v>4992</v>
      </c>
      <c r="S349" s="3000">
        <v>81.069999999999993</v>
      </c>
      <c r="T349" s="3000">
        <v>1</v>
      </c>
      <c r="U349" s="3000">
        <v>17260</v>
      </c>
      <c r="V349" s="3000">
        <v>140</v>
      </c>
    </row>
    <row r="350" spans="4:22" ht="14.25" thickBot="1">
      <c r="D350" s="2915">
        <v>346</v>
      </c>
      <c r="E350" s="2915"/>
      <c r="F350" s="2914" t="s">
        <v>3457</v>
      </c>
      <c r="G350" s="2915">
        <v>61.41</v>
      </c>
      <c r="H350" s="2915">
        <f t="shared" si="6"/>
        <v>10.78</v>
      </c>
      <c r="Q350" s="3004">
        <v>346</v>
      </c>
      <c r="R350" s="2999" t="s">
        <v>4993</v>
      </c>
      <c r="S350" s="3000">
        <v>61.41</v>
      </c>
      <c r="T350" s="3000">
        <v>1</v>
      </c>
      <c r="U350" s="3000">
        <v>17260</v>
      </c>
      <c r="V350" s="3000">
        <v>106</v>
      </c>
    </row>
    <row r="351" spans="4:22" ht="14.25" thickBot="1">
      <c r="D351" s="2915">
        <v>347</v>
      </c>
      <c r="E351" s="2915"/>
      <c r="F351" s="2914" t="s">
        <v>3458</v>
      </c>
      <c r="G351" s="2915">
        <v>54.6</v>
      </c>
      <c r="H351" s="2915">
        <f t="shared" si="6"/>
        <v>9.59</v>
      </c>
      <c r="Q351" s="3004">
        <v>347</v>
      </c>
      <c r="R351" s="2999" t="s">
        <v>4994</v>
      </c>
      <c r="S351" s="3000">
        <v>54.6</v>
      </c>
      <c r="T351" s="3000">
        <v>1</v>
      </c>
      <c r="U351" s="3000">
        <v>17260</v>
      </c>
      <c r="V351" s="3000">
        <v>94</v>
      </c>
    </row>
    <row r="352" spans="4:22" ht="14.25" thickBot="1">
      <c r="D352" s="2915">
        <v>348</v>
      </c>
      <c r="E352" s="2915"/>
      <c r="F352" s="2914" t="s">
        <v>3459</v>
      </c>
      <c r="G352" s="2915">
        <v>71.23</v>
      </c>
      <c r="H352" s="2915">
        <f t="shared" si="6"/>
        <v>12.51</v>
      </c>
      <c r="Q352" s="3004">
        <v>348</v>
      </c>
      <c r="R352" s="2999" t="s">
        <v>4995</v>
      </c>
      <c r="S352" s="3000">
        <v>71.23</v>
      </c>
      <c r="T352" s="3000">
        <v>1</v>
      </c>
      <c r="U352" s="3000">
        <v>17260</v>
      </c>
      <c r="V352" s="3000">
        <v>123</v>
      </c>
    </row>
    <row r="353" spans="4:22" ht="14.25" thickBot="1">
      <c r="D353" s="2915">
        <v>349</v>
      </c>
      <c r="E353" s="2915"/>
      <c r="F353" s="2914" t="s">
        <v>3460</v>
      </c>
      <c r="G353" s="2915">
        <v>61.41</v>
      </c>
      <c r="H353" s="2915">
        <f t="shared" si="6"/>
        <v>10.78</v>
      </c>
      <c r="Q353" s="3004">
        <v>349</v>
      </c>
      <c r="R353" s="2999" t="s">
        <v>4996</v>
      </c>
      <c r="S353" s="3000">
        <v>61.41</v>
      </c>
      <c r="T353" s="3000">
        <v>1</v>
      </c>
      <c r="U353" s="3000">
        <v>17260</v>
      </c>
      <c r="V353" s="3000">
        <v>106</v>
      </c>
    </row>
    <row r="354" spans="4:22" ht="14.25" thickBot="1">
      <c r="D354" s="2915">
        <v>350</v>
      </c>
      <c r="E354" s="2915"/>
      <c r="F354" s="2914" t="s">
        <v>3461</v>
      </c>
      <c r="G354" s="2915">
        <v>61.41</v>
      </c>
      <c r="H354" s="2915">
        <f t="shared" si="6"/>
        <v>10.78</v>
      </c>
      <c r="Q354" s="3004">
        <v>350</v>
      </c>
      <c r="R354" s="2999" t="s">
        <v>4997</v>
      </c>
      <c r="S354" s="3000">
        <v>61.41</v>
      </c>
      <c r="T354" s="3000">
        <v>1</v>
      </c>
      <c r="U354" s="3000">
        <v>17260</v>
      </c>
      <c r="V354" s="3000">
        <v>106</v>
      </c>
    </row>
    <row r="355" spans="4:22" ht="14.25" thickBot="1">
      <c r="D355" s="2915">
        <v>351</v>
      </c>
      <c r="E355" s="2915"/>
      <c r="F355" s="2914" t="s">
        <v>3462</v>
      </c>
      <c r="G355" s="2915">
        <v>61.41</v>
      </c>
      <c r="H355" s="2915">
        <f t="shared" si="6"/>
        <v>10.78</v>
      </c>
      <c r="Q355" s="3004">
        <v>351</v>
      </c>
      <c r="R355" s="2999" t="s">
        <v>4998</v>
      </c>
      <c r="S355" s="3000">
        <v>61.41</v>
      </c>
      <c r="T355" s="3000">
        <v>1</v>
      </c>
      <c r="U355" s="3000">
        <v>17260</v>
      </c>
      <c r="V355" s="3000">
        <v>106</v>
      </c>
    </row>
    <row r="356" spans="4:22" ht="14.25" thickBot="1">
      <c r="D356" s="2915">
        <v>352</v>
      </c>
      <c r="E356" s="2915"/>
      <c r="F356" s="2914" t="s">
        <v>3463</v>
      </c>
      <c r="G356" s="2915">
        <v>61.88</v>
      </c>
      <c r="H356" s="2915">
        <f t="shared" si="6"/>
        <v>10.87</v>
      </c>
      <c r="Q356" s="3004">
        <v>352</v>
      </c>
      <c r="R356" s="2999" t="s">
        <v>4999</v>
      </c>
      <c r="S356" s="3000">
        <v>61.88</v>
      </c>
      <c r="T356" s="3000">
        <v>1</v>
      </c>
      <c r="U356" s="3000">
        <v>17260</v>
      </c>
      <c r="V356" s="3000">
        <v>107</v>
      </c>
    </row>
    <row r="357" spans="4:22" ht="14.25" thickBot="1">
      <c r="D357" s="2915">
        <v>353</v>
      </c>
      <c r="E357" s="2915"/>
      <c r="F357" s="2914" t="s">
        <v>3464</v>
      </c>
      <c r="G357" s="2915">
        <v>58.8</v>
      </c>
      <c r="H357" s="2915">
        <f t="shared" si="6"/>
        <v>10.32</v>
      </c>
      <c r="Q357" s="3004">
        <v>353</v>
      </c>
      <c r="R357" s="2999" t="s">
        <v>5000</v>
      </c>
      <c r="S357" s="3000">
        <v>58.8</v>
      </c>
      <c r="T357" s="3000">
        <v>1</v>
      </c>
      <c r="U357" s="3000">
        <v>17260</v>
      </c>
      <c r="V357" s="3000">
        <v>101</v>
      </c>
    </row>
    <row r="358" spans="4:22" ht="14.25" thickBot="1">
      <c r="D358" s="2915">
        <v>354</v>
      </c>
      <c r="E358" s="2915"/>
      <c r="F358" s="2914" t="s">
        <v>3465</v>
      </c>
      <c r="G358" s="2915">
        <v>60.21</v>
      </c>
      <c r="H358" s="2915">
        <f t="shared" si="6"/>
        <v>10.57</v>
      </c>
      <c r="Q358" s="3004">
        <v>354</v>
      </c>
      <c r="R358" s="2999" t="s">
        <v>5001</v>
      </c>
      <c r="S358" s="3000">
        <v>60.21</v>
      </c>
      <c r="T358" s="3000">
        <v>1</v>
      </c>
      <c r="U358" s="3000">
        <v>17260</v>
      </c>
      <c r="V358" s="3000">
        <v>104</v>
      </c>
    </row>
    <row r="359" spans="4:22" ht="14.25" thickBot="1">
      <c r="D359" s="2915">
        <v>355</v>
      </c>
      <c r="E359" s="2915"/>
      <c r="F359" s="2914" t="s">
        <v>3466</v>
      </c>
      <c r="G359" s="2915">
        <v>65.760000000000005</v>
      </c>
      <c r="H359" s="2915">
        <f t="shared" si="6"/>
        <v>11.55</v>
      </c>
      <c r="Q359" s="3004">
        <v>355</v>
      </c>
      <c r="R359" s="2999" t="s">
        <v>5002</v>
      </c>
      <c r="S359" s="3000">
        <v>65.760000000000005</v>
      </c>
      <c r="T359" s="3000">
        <v>1</v>
      </c>
      <c r="U359" s="3000">
        <v>17260</v>
      </c>
      <c r="V359" s="3000">
        <v>114</v>
      </c>
    </row>
    <row r="360" spans="4:22" ht="14.25" thickBot="1">
      <c r="D360" s="2915">
        <v>356</v>
      </c>
      <c r="E360" s="2915"/>
      <c r="F360" s="2914" t="s">
        <v>3467</v>
      </c>
      <c r="G360" s="2915">
        <v>59.41</v>
      </c>
      <c r="H360" s="2915">
        <f t="shared" si="6"/>
        <v>10.43</v>
      </c>
      <c r="Q360" s="3004">
        <v>356</v>
      </c>
      <c r="R360" s="2999" t="s">
        <v>5003</v>
      </c>
      <c r="S360" s="3000">
        <v>59.41</v>
      </c>
      <c r="T360" s="3000">
        <v>1</v>
      </c>
      <c r="U360" s="3000">
        <v>17260</v>
      </c>
      <c r="V360" s="3000">
        <v>103</v>
      </c>
    </row>
    <row r="361" spans="4:22" ht="14.25" thickBot="1">
      <c r="D361" s="2915">
        <v>357</v>
      </c>
      <c r="E361" s="2915"/>
      <c r="F361" s="2914" t="s">
        <v>3468</v>
      </c>
      <c r="G361" s="2915">
        <v>60.69</v>
      </c>
      <c r="H361" s="2915">
        <f t="shared" si="6"/>
        <v>10.66</v>
      </c>
      <c r="Q361" s="3004">
        <v>357</v>
      </c>
      <c r="R361" s="2999" t="s">
        <v>5004</v>
      </c>
      <c r="S361" s="3000">
        <v>60.69</v>
      </c>
      <c r="T361" s="3000">
        <v>1</v>
      </c>
      <c r="U361" s="3000">
        <v>17260</v>
      </c>
      <c r="V361" s="3000">
        <v>105</v>
      </c>
    </row>
    <row r="362" spans="4:22" ht="14.25" thickBot="1">
      <c r="D362" s="2915">
        <v>358</v>
      </c>
      <c r="E362" s="2915"/>
      <c r="F362" s="2914" t="s">
        <v>3469</v>
      </c>
      <c r="G362" s="2915">
        <v>60.69</v>
      </c>
      <c r="H362" s="2915">
        <f t="shared" si="6"/>
        <v>10.66</v>
      </c>
      <c r="Q362" s="3004">
        <v>358</v>
      </c>
      <c r="R362" s="2999" t="s">
        <v>5005</v>
      </c>
      <c r="S362" s="3000">
        <v>60.69</v>
      </c>
      <c r="T362" s="3000">
        <v>1</v>
      </c>
      <c r="U362" s="3000">
        <v>17260</v>
      </c>
      <c r="V362" s="3000">
        <v>105</v>
      </c>
    </row>
    <row r="363" spans="4:22" ht="14.25" thickBot="1">
      <c r="D363" s="2915">
        <v>359</v>
      </c>
      <c r="E363" s="2915"/>
      <c r="F363" s="2914" t="s">
        <v>3470</v>
      </c>
      <c r="G363" s="2915">
        <v>60.69</v>
      </c>
      <c r="H363" s="2915">
        <f t="shared" si="6"/>
        <v>10.66</v>
      </c>
      <c r="Q363" s="3004">
        <v>359</v>
      </c>
      <c r="R363" s="2999" t="s">
        <v>5006</v>
      </c>
      <c r="S363" s="3000">
        <v>60.69</v>
      </c>
      <c r="T363" s="3000">
        <v>1</v>
      </c>
      <c r="U363" s="3000">
        <v>17260</v>
      </c>
      <c r="V363" s="3000">
        <v>105</v>
      </c>
    </row>
    <row r="364" spans="4:22" ht="14.25" thickBot="1">
      <c r="D364" s="2915">
        <v>360</v>
      </c>
      <c r="E364" s="2915"/>
      <c r="F364" s="2914" t="s">
        <v>3471</v>
      </c>
      <c r="G364" s="2915">
        <v>60.69</v>
      </c>
      <c r="H364" s="2915">
        <f t="shared" si="6"/>
        <v>10.66</v>
      </c>
      <c r="Q364" s="3004">
        <v>360</v>
      </c>
      <c r="R364" s="2999" t="s">
        <v>5007</v>
      </c>
      <c r="S364" s="3000">
        <v>60.69</v>
      </c>
      <c r="T364" s="3000">
        <v>1</v>
      </c>
      <c r="U364" s="3000">
        <v>17260</v>
      </c>
      <c r="V364" s="3000">
        <v>105</v>
      </c>
    </row>
    <row r="365" spans="4:22" ht="14.25" thickBot="1">
      <c r="D365" s="2915">
        <v>361</v>
      </c>
      <c r="E365" s="2915"/>
      <c r="F365" s="2914" t="s">
        <v>3472</v>
      </c>
      <c r="G365" s="2915">
        <v>60.69</v>
      </c>
      <c r="H365" s="2915">
        <f t="shared" si="6"/>
        <v>10.66</v>
      </c>
      <c r="Q365" s="3004">
        <v>361</v>
      </c>
      <c r="R365" s="2999" t="s">
        <v>5008</v>
      </c>
      <c r="S365" s="3000">
        <v>60.69</v>
      </c>
      <c r="T365" s="3000">
        <v>1</v>
      </c>
      <c r="U365" s="3000">
        <v>17260</v>
      </c>
      <c r="V365" s="3000">
        <v>105</v>
      </c>
    </row>
    <row r="366" spans="4:22" ht="14.25" thickBot="1">
      <c r="D366" s="2915">
        <v>362</v>
      </c>
      <c r="E366" s="2915"/>
      <c r="F366" s="2914" t="s">
        <v>3473</v>
      </c>
      <c r="G366" s="2915">
        <v>60.69</v>
      </c>
      <c r="H366" s="2915">
        <f t="shared" si="6"/>
        <v>10.66</v>
      </c>
      <c r="Q366" s="3004">
        <v>362</v>
      </c>
      <c r="R366" s="2999" t="s">
        <v>5009</v>
      </c>
      <c r="S366" s="3000">
        <v>60.69</v>
      </c>
      <c r="T366" s="3000">
        <v>1</v>
      </c>
      <c r="U366" s="3000">
        <v>17260</v>
      </c>
      <c r="V366" s="3000">
        <v>105</v>
      </c>
    </row>
    <row r="367" spans="4:22" ht="14.25" thickBot="1">
      <c r="D367" s="2915">
        <v>363</v>
      </c>
      <c r="E367" s="2915"/>
      <c r="F367" s="2914" t="s">
        <v>3474</v>
      </c>
      <c r="G367" s="2915">
        <v>60.69</v>
      </c>
      <c r="H367" s="2915">
        <f t="shared" si="6"/>
        <v>10.66</v>
      </c>
      <c r="Q367" s="3004">
        <v>363</v>
      </c>
      <c r="R367" s="2999" t="s">
        <v>5010</v>
      </c>
      <c r="S367" s="3000">
        <v>60.69</v>
      </c>
      <c r="T367" s="3000">
        <v>1</v>
      </c>
      <c r="U367" s="3000">
        <v>17260</v>
      </c>
      <c r="V367" s="3000">
        <v>105</v>
      </c>
    </row>
    <row r="368" spans="4:22" ht="14.25" thickBot="1">
      <c r="D368" s="2915">
        <v>364</v>
      </c>
      <c r="E368" s="2915"/>
      <c r="F368" s="2914" t="s">
        <v>3475</v>
      </c>
      <c r="G368" s="2915">
        <v>60.69</v>
      </c>
      <c r="H368" s="2915">
        <f t="shared" si="6"/>
        <v>10.66</v>
      </c>
      <c r="Q368" s="3004">
        <v>364</v>
      </c>
      <c r="R368" s="2999" t="s">
        <v>5011</v>
      </c>
      <c r="S368" s="3000">
        <v>60.69</v>
      </c>
      <c r="T368" s="3000">
        <v>1</v>
      </c>
      <c r="U368" s="3000">
        <v>17260</v>
      </c>
      <c r="V368" s="3000">
        <v>105</v>
      </c>
    </row>
    <row r="369" spans="4:22" ht="14.25" thickBot="1">
      <c r="D369" s="2915">
        <v>365</v>
      </c>
      <c r="E369" s="2915"/>
      <c r="F369" s="2914" t="s">
        <v>3476</v>
      </c>
      <c r="G369" s="2915">
        <v>60.69</v>
      </c>
      <c r="H369" s="2915">
        <f t="shared" si="6"/>
        <v>10.66</v>
      </c>
      <c r="Q369" s="3004">
        <v>365</v>
      </c>
      <c r="R369" s="2999" t="s">
        <v>5012</v>
      </c>
      <c r="S369" s="3000">
        <v>60.69</v>
      </c>
      <c r="T369" s="3000">
        <v>1</v>
      </c>
      <c r="U369" s="3000">
        <v>17260</v>
      </c>
      <c r="V369" s="3000">
        <v>105</v>
      </c>
    </row>
    <row r="370" spans="4:22" ht="14.25" thickBot="1">
      <c r="D370" s="2915">
        <v>366</v>
      </c>
      <c r="E370" s="2915"/>
      <c r="F370" s="2914" t="s">
        <v>3477</v>
      </c>
      <c r="G370" s="2915">
        <v>48.86</v>
      </c>
      <c r="H370" s="2915">
        <f t="shared" si="6"/>
        <v>8.58</v>
      </c>
      <c r="Q370" s="3004">
        <v>366</v>
      </c>
      <c r="R370" s="2999" t="s">
        <v>5013</v>
      </c>
      <c r="S370" s="3000">
        <v>48.86</v>
      </c>
      <c r="T370" s="3000">
        <v>1</v>
      </c>
      <c r="U370" s="3000">
        <v>17260</v>
      </c>
      <c r="V370" s="3000">
        <v>84</v>
      </c>
    </row>
    <row r="371" spans="4:22" ht="14.25" thickBot="1">
      <c r="D371" s="2915">
        <v>367</v>
      </c>
      <c r="E371" s="2915"/>
      <c r="F371" s="2914" t="s">
        <v>3478</v>
      </c>
      <c r="G371" s="2915">
        <v>48.86</v>
      </c>
      <c r="H371" s="2915">
        <f t="shared" si="6"/>
        <v>8.58</v>
      </c>
      <c r="Q371" s="3004">
        <v>367</v>
      </c>
      <c r="R371" s="2999" t="s">
        <v>5014</v>
      </c>
      <c r="S371" s="3000">
        <v>48.86</v>
      </c>
      <c r="T371" s="3000">
        <v>1</v>
      </c>
      <c r="U371" s="3000">
        <v>17260</v>
      </c>
      <c r="V371" s="3000">
        <v>84</v>
      </c>
    </row>
    <row r="372" spans="4:22" ht="14.25" thickBot="1">
      <c r="D372" s="2915">
        <v>368</v>
      </c>
      <c r="E372" s="2915"/>
      <c r="F372" s="2914" t="s">
        <v>3479</v>
      </c>
      <c r="G372" s="2915">
        <v>48.86</v>
      </c>
      <c r="H372" s="2915">
        <f t="shared" si="6"/>
        <v>8.58</v>
      </c>
      <c r="Q372" s="3004">
        <v>368</v>
      </c>
      <c r="R372" s="2999" t="s">
        <v>5015</v>
      </c>
      <c r="S372" s="3000">
        <v>48.86</v>
      </c>
      <c r="T372" s="3000">
        <v>1</v>
      </c>
      <c r="U372" s="3000">
        <v>17260</v>
      </c>
      <c r="V372" s="3000">
        <v>84</v>
      </c>
    </row>
    <row r="373" spans="4:22" ht="14.25" thickBot="1">
      <c r="D373" s="2915">
        <v>369</v>
      </c>
      <c r="E373" s="2915"/>
      <c r="F373" s="2914" t="s">
        <v>3480</v>
      </c>
      <c r="G373" s="2915">
        <v>54.87</v>
      </c>
      <c r="H373" s="2915">
        <f t="shared" si="6"/>
        <v>9.6300000000000008</v>
      </c>
      <c r="Q373" s="3004">
        <v>369</v>
      </c>
      <c r="R373" s="2999" t="s">
        <v>5016</v>
      </c>
      <c r="S373" s="3000">
        <v>54.87</v>
      </c>
      <c r="T373" s="3000">
        <v>1</v>
      </c>
      <c r="U373" s="3000">
        <v>17260</v>
      </c>
      <c r="V373" s="3000">
        <v>95</v>
      </c>
    </row>
    <row r="374" spans="4:22" ht="14.25" thickBot="1">
      <c r="D374" s="2915">
        <v>370</v>
      </c>
      <c r="E374" s="2915"/>
      <c r="F374" s="2914" t="s">
        <v>3481</v>
      </c>
      <c r="G374" s="2915">
        <v>88.13</v>
      </c>
      <c r="H374" s="2915">
        <f t="shared" si="6"/>
        <v>15.47</v>
      </c>
      <c r="Q374" s="3004">
        <v>370</v>
      </c>
      <c r="R374" s="2999" t="s">
        <v>5017</v>
      </c>
      <c r="S374" s="3000">
        <v>88.13</v>
      </c>
      <c r="T374" s="3000">
        <v>1</v>
      </c>
      <c r="U374" s="3000">
        <v>17260</v>
      </c>
      <c r="V374" s="3000">
        <v>152</v>
      </c>
    </row>
    <row r="375" spans="4:22" ht="14.25" thickBot="1">
      <c r="D375" s="2915">
        <v>371</v>
      </c>
      <c r="E375" s="2915"/>
      <c r="F375" s="2914" t="s">
        <v>3482</v>
      </c>
      <c r="G375" s="2915">
        <v>5.81</v>
      </c>
      <c r="H375" s="2915">
        <f t="shared" si="6"/>
        <v>1.02</v>
      </c>
      <c r="Q375" s="3004">
        <v>371</v>
      </c>
      <c r="R375" s="2999" t="s">
        <v>5018</v>
      </c>
      <c r="S375" s="3000">
        <v>5.81</v>
      </c>
      <c r="T375" s="3000">
        <v>1</v>
      </c>
      <c r="U375" s="3000">
        <v>17260</v>
      </c>
      <c r="V375" s="3000">
        <v>10</v>
      </c>
    </row>
    <row r="376" spans="4:22" ht="14.25" thickBot="1">
      <c r="D376" s="2915">
        <v>372</v>
      </c>
      <c r="E376" s="2915"/>
      <c r="F376" s="2914" t="s">
        <v>3483</v>
      </c>
      <c r="G376" s="2915">
        <v>186.33</v>
      </c>
      <c r="H376" s="2915">
        <f t="shared" si="6"/>
        <v>32.72</v>
      </c>
      <c r="Q376" s="3004">
        <v>372</v>
      </c>
      <c r="R376" s="2999" t="s">
        <v>5019</v>
      </c>
      <c r="S376" s="3000">
        <v>186.33</v>
      </c>
      <c r="T376" s="3000">
        <v>0.99</v>
      </c>
      <c r="U376" s="3000">
        <v>17087</v>
      </c>
      <c r="V376" s="3000">
        <v>318</v>
      </c>
    </row>
    <row r="377" spans="4:22" ht="14.25" thickBot="1">
      <c r="D377" s="2915">
        <v>373</v>
      </c>
      <c r="E377" s="2915"/>
      <c r="F377" s="2914" t="s">
        <v>3484</v>
      </c>
      <c r="G377" s="2915">
        <v>188.39</v>
      </c>
      <c r="H377" s="2915">
        <f t="shared" si="6"/>
        <v>33.08</v>
      </c>
      <c r="Q377" s="3004">
        <v>373</v>
      </c>
      <c r="R377" s="2999" t="s">
        <v>5020</v>
      </c>
      <c r="S377" s="3000">
        <v>188.39</v>
      </c>
      <c r="T377" s="3000">
        <v>0.99</v>
      </c>
      <c r="U377" s="3000">
        <v>17087</v>
      </c>
      <c r="V377" s="3000">
        <v>322</v>
      </c>
    </row>
    <row r="378" spans="4:22" ht="14.25" thickBot="1">
      <c r="D378" s="2915">
        <v>374</v>
      </c>
      <c r="E378" s="2915"/>
      <c r="F378" s="2914" t="s">
        <v>3485</v>
      </c>
      <c r="G378" s="2915">
        <v>188.39</v>
      </c>
      <c r="H378" s="2915">
        <f t="shared" si="6"/>
        <v>33.08</v>
      </c>
      <c r="Q378" s="3004">
        <v>374</v>
      </c>
      <c r="R378" s="2999" t="s">
        <v>5021</v>
      </c>
      <c r="S378" s="3000">
        <v>188.39</v>
      </c>
      <c r="T378" s="3000">
        <v>0.99</v>
      </c>
      <c r="U378" s="3000">
        <v>17087</v>
      </c>
      <c r="V378" s="3000">
        <v>322</v>
      </c>
    </row>
    <row r="379" spans="4:22" ht="14.25" thickBot="1">
      <c r="D379" s="2915">
        <v>375</v>
      </c>
      <c r="E379" s="2915"/>
      <c r="F379" s="2914" t="s">
        <v>3486</v>
      </c>
      <c r="G379" s="2915">
        <v>188.39</v>
      </c>
      <c r="H379" s="2915">
        <f t="shared" si="6"/>
        <v>33.08</v>
      </c>
      <c r="Q379" s="3004">
        <v>375</v>
      </c>
      <c r="R379" s="2999" t="s">
        <v>5022</v>
      </c>
      <c r="S379" s="3000">
        <v>188.39</v>
      </c>
      <c r="T379" s="3000">
        <v>0.99</v>
      </c>
      <c r="U379" s="3000">
        <v>17087</v>
      </c>
      <c r="V379" s="3000">
        <v>322</v>
      </c>
    </row>
    <row r="380" spans="4:22" ht="14.25" thickBot="1">
      <c r="D380" s="2915">
        <v>376</v>
      </c>
      <c r="E380" s="2915"/>
      <c r="F380" s="2914" t="s">
        <v>3487</v>
      </c>
      <c r="G380" s="2915">
        <v>188.39</v>
      </c>
      <c r="H380" s="2915">
        <f t="shared" si="6"/>
        <v>33.08</v>
      </c>
      <c r="Q380" s="3004">
        <v>376</v>
      </c>
      <c r="R380" s="2999" t="s">
        <v>5023</v>
      </c>
      <c r="S380" s="3000">
        <v>188.39</v>
      </c>
      <c r="T380" s="3000">
        <v>0.99</v>
      </c>
      <c r="U380" s="3000">
        <v>17087</v>
      </c>
      <c r="V380" s="3000">
        <v>322</v>
      </c>
    </row>
    <row r="381" spans="4:22" ht="14.25" thickBot="1">
      <c r="D381" s="2915">
        <v>377</v>
      </c>
      <c r="E381" s="2915"/>
      <c r="F381" s="2914" t="s">
        <v>3488</v>
      </c>
      <c r="G381" s="2915">
        <v>188.39</v>
      </c>
      <c r="H381" s="2915">
        <f t="shared" si="6"/>
        <v>33.08</v>
      </c>
      <c r="Q381" s="3004">
        <v>377</v>
      </c>
      <c r="R381" s="2999" t="s">
        <v>5024</v>
      </c>
      <c r="S381" s="3000">
        <v>188.39</v>
      </c>
      <c r="T381" s="3000">
        <v>0.99</v>
      </c>
      <c r="U381" s="3000">
        <v>17087</v>
      </c>
      <c r="V381" s="3000">
        <v>322</v>
      </c>
    </row>
    <row r="382" spans="4:22" ht="14.25" thickBot="1">
      <c r="D382" s="2915">
        <v>378</v>
      </c>
      <c r="E382" s="2915"/>
      <c r="F382" s="2914" t="s">
        <v>3489</v>
      </c>
      <c r="G382" s="2915">
        <v>187.53</v>
      </c>
      <c r="H382" s="2915">
        <f t="shared" si="6"/>
        <v>32.93</v>
      </c>
      <c r="Q382" s="3004">
        <v>378</v>
      </c>
      <c r="R382" s="2999" t="s">
        <v>5025</v>
      </c>
      <c r="S382" s="3000">
        <v>187.53</v>
      </c>
      <c r="T382" s="3000">
        <v>0.99</v>
      </c>
      <c r="U382" s="3000">
        <v>17087</v>
      </c>
      <c r="V382" s="3000">
        <v>320</v>
      </c>
    </row>
    <row r="383" spans="4:22" ht="14.25" thickBot="1">
      <c r="D383" s="2915">
        <v>379</v>
      </c>
      <c r="E383" s="2915"/>
      <c r="F383" s="2914" t="s">
        <v>3490</v>
      </c>
      <c r="G383" s="2915">
        <v>210.19</v>
      </c>
      <c r="H383" s="2915">
        <f t="shared" si="6"/>
        <v>36.909999999999997</v>
      </c>
      <c r="Q383" s="3004">
        <v>379</v>
      </c>
      <c r="R383" s="2999" t="s">
        <v>5026</v>
      </c>
      <c r="S383" s="3000">
        <v>210.19</v>
      </c>
      <c r="T383" s="3000">
        <v>0.98</v>
      </c>
      <c r="U383" s="3000">
        <v>16915</v>
      </c>
      <c r="V383" s="3000">
        <v>356</v>
      </c>
    </row>
    <row r="384" spans="4:22" ht="14.25" thickBot="1">
      <c r="D384" s="2915">
        <v>380</v>
      </c>
      <c r="E384" s="2915"/>
      <c r="F384" s="2914" t="s">
        <v>3491</v>
      </c>
      <c r="G384" s="2915">
        <v>169.2</v>
      </c>
      <c r="H384" s="2915">
        <f t="shared" si="6"/>
        <v>29.71</v>
      </c>
      <c r="Q384" s="3004">
        <v>380</v>
      </c>
      <c r="R384" s="2999" t="s">
        <v>5027</v>
      </c>
      <c r="S384" s="3000">
        <v>169.2</v>
      </c>
      <c r="T384" s="3000">
        <v>0.99</v>
      </c>
      <c r="U384" s="3000">
        <v>17087</v>
      </c>
      <c r="V384" s="3000">
        <v>289</v>
      </c>
    </row>
    <row r="385" spans="4:22" ht="14.25" thickBot="1">
      <c r="D385" s="2915">
        <v>381</v>
      </c>
      <c r="E385" s="2915"/>
      <c r="F385" s="2914" t="s">
        <v>3492</v>
      </c>
      <c r="G385" s="2915">
        <v>178.35</v>
      </c>
      <c r="H385" s="2915">
        <f t="shared" si="6"/>
        <v>31.32</v>
      </c>
      <c r="Q385" s="3004">
        <v>381</v>
      </c>
      <c r="R385" s="2999" t="s">
        <v>5028</v>
      </c>
      <c r="S385" s="3000">
        <v>178.35</v>
      </c>
      <c r="T385" s="3000">
        <v>0.99</v>
      </c>
      <c r="U385" s="3000">
        <v>17087</v>
      </c>
      <c r="V385" s="3000">
        <v>305</v>
      </c>
    </row>
    <row r="386" spans="4:22" ht="14.25" thickBot="1">
      <c r="D386" s="2915">
        <v>382</v>
      </c>
      <c r="E386" s="2915"/>
      <c r="F386" s="2914" t="s">
        <v>3493</v>
      </c>
      <c r="G386" s="2915">
        <v>208.92</v>
      </c>
      <c r="H386" s="2915">
        <f t="shared" si="6"/>
        <v>36.68</v>
      </c>
      <c r="Q386" s="3004">
        <v>382</v>
      </c>
      <c r="R386" s="2999" t="s">
        <v>5029</v>
      </c>
      <c r="S386" s="3000">
        <v>208.92</v>
      </c>
      <c r="T386" s="3000">
        <v>0.98</v>
      </c>
      <c r="U386" s="3000">
        <v>16915</v>
      </c>
      <c r="V386" s="3000">
        <v>353</v>
      </c>
    </row>
    <row r="387" spans="4:22" ht="14.25" thickBot="1">
      <c r="D387" s="2915">
        <v>383</v>
      </c>
      <c r="E387" s="2915"/>
      <c r="F387" s="2914" t="s">
        <v>3494</v>
      </c>
      <c r="G387" s="2915">
        <v>188.35</v>
      </c>
      <c r="H387" s="2915">
        <f t="shared" si="6"/>
        <v>33.07</v>
      </c>
      <c r="Q387" s="3004">
        <v>383</v>
      </c>
      <c r="R387" s="2999" t="s">
        <v>5030</v>
      </c>
      <c r="S387" s="3000">
        <v>188.35</v>
      </c>
      <c r="T387" s="3000">
        <v>0.99</v>
      </c>
      <c r="U387" s="3000">
        <v>17087</v>
      </c>
      <c r="V387" s="3000">
        <v>322</v>
      </c>
    </row>
    <row r="388" spans="4:22" ht="14.25" thickBot="1">
      <c r="D388" s="2915">
        <v>384</v>
      </c>
      <c r="E388" s="2915"/>
      <c r="F388" s="2914" t="s">
        <v>3495</v>
      </c>
      <c r="G388" s="2915">
        <v>188.39</v>
      </c>
      <c r="H388" s="2915">
        <f t="shared" si="6"/>
        <v>33.08</v>
      </c>
      <c r="Q388" s="3004">
        <v>384</v>
      </c>
      <c r="R388" s="2999" t="s">
        <v>5031</v>
      </c>
      <c r="S388" s="3000">
        <v>188.39</v>
      </c>
      <c r="T388" s="3000">
        <v>0.99</v>
      </c>
      <c r="U388" s="3000">
        <v>17087</v>
      </c>
      <c r="V388" s="3000">
        <v>322</v>
      </c>
    </row>
    <row r="389" spans="4:22" ht="14.25" thickBot="1">
      <c r="D389" s="2915">
        <v>385</v>
      </c>
      <c r="E389" s="2915"/>
      <c r="F389" s="2914" t="s">
        <v>3496</v>
      </c>
      <c r="G389" s="2915">
        <v>188.39</v>
      </c>
      <c r="H389" s="2915">
        <f t="shared" si="6"/>
        <v>33.08</v>
      </c>
      <c r="Q389" s="3004">
        <v>385</v>
      </c>
      <c r="R389" s="2999" t="s">
        <v>5032</v>
      </c>
      <c r="S389" s="3000">
        <v>188.39</v>
      </c>
      <c r="T389" s="3000">
        <v>0.99</v>
      </c>
      <c r="U389" s="3000">
        <v>17087</v>
      </c>
      <c r="V389" s="3000">
        <v>322</v>
      </c>
    </row>
    <row r="390" spans="4:22" ht="14.25" thickBot="1">
      <c r="D390" s="2915">
        <v>386</v>
      </c>
      <c r="E390" s="2915"/>
      <c r="F390" s="2914" t="s">
        <v>3497</v>
      </c>
      <c r="G390" s="2915">
        <v>188.39</v>
      </c>
      <c r="H390" s="2915">
        <f t="shared" ref="H390:H453" si="7">ROUND(G390/$N$7*$M$7,2)</f>
        <v>33.08</v>
      </c>
      <c r="Q390" s="3004">
        <v>386</v>
      </c>
      <c r="R390" s="2999" t="s">
        <v>5033</v>
      </c>
      <c r="S390" s="3000">
        <v>188.39</v>
      </c>
      <c r="T390" s="3000">
        <v>0.99</v>
      </c>
      <c r="U390" s="3000">
        <v>17087</v>
      </c>
      <c r="V390" s="3000">
        <v>322</v>
      </c>
    </row>
    <row r="391" spans="4:22" ht="14.25" thickBot="1">
      <c r="D391" s="2915">
        <v>387</v>
      </c>
      <c r="E391" s="2915"/>
      <c r="F391" s="2914" t="s">
        <v>3498</v>
      </c>
      <c r="G391" s="2915">
        <v>188.39</v>
      </c>
      <c r="H391" s="2915">
        <f t="shared" si="7"/>
        <v>33.08</v>
      </c>
      <c r="Q391" s="3004">
        <v>387</v>
      </c>
      <c r="R391" s="2999" t="s">
        <v>5034</v>
      </c>
      <c r="S391" s="3000">
        <v>188.39</v>
      </c>
      <c r="T391" s="3000">
        <v>0.99</v>
      </c>
      <c r="U391" s="3000">
        <v>17087</v>
      </c>
      <c r="V391" s="3000">
        <v>322</v>
      </c>
    </row>
    <row r="392" spans="4:22" ht="14.25" thickBot="1">
      <c r="D392" s="2915">
        <v>388</v>
      </c>
      <c r="E392" s="2915"/>
      <c r="F392" s="2914" t="s">
        <v>3499</v>
      </c>
      <c r="G392" s="2915">
        <v>188.39</v>
      </c>
      <c r="H392" s="2915">
        <f t="shared" si="7"/>
        <v>33.08</v>
      </c>
      <c r="Q392" s="3004">
        <v>388</v>
      </c>
      <c r="R392" s="2999" t="s">
        <v>5035</v>
      </c>
      <c r="S392" s="3000">
        <v>188.39</v>
      </c>
      <c r="T392" s="3000">
        <v>0.99</v>
      </c>
      <c r="U392" s="3000">
        <v>17087</v>
      </c>
      <c r="V392" s="3000">
        <v>322</v>
      </c>
    </row>
    <row r="393" spans="4:22" ht="14.25" thickBot="1">
      <c r="D393" s="2915">
        <v>389</v>
      </c>
      <c r="E393" s="2915"/>
      <c r="F393" s="2914" t="s">
        <v>3500</v>
      </c>
      <c r="G393" s="2915">
        <v>279.91000000000003</v>
      </c>
      <c r="H393" s="2915">
        <f t="shared" si="7"/>
        <v>49.15</v>
      </c>
      <c r="Q393" s="3004">
        <v>389</v>
      </c>
      <c r="R393" s="2999" t="s">
        <v>5036</v>
      </c>
      <c r="S393" s="3000">
        <v>279.91000000000003</v>
      </c>
      <c r="T393" s="3000">
        <v>0.98</v>
      </c>
      <c r="U393" s="3000">
        <v>16915</v>
      </c>
      <c r="V393" s="3000">
        <v>473</v>
      </c>
    </row>
    <row r="394" spans="4:22" ht="14.25" thickBot="1">
      <c r="D394" s="2915">
        <v>390</v>
      </c>
      <c r="E394" s="2915"/>
      <c r="F394" s="2914" t="s">
        <v>3501</v>
      </c>
      <c r="G394" s="2915">
        <v>175.75</v>
      </c>
      <c r="H394" s="2915">
        <f t="shared" si="7"/>
        <v>30.86</v>
      </c>
      <c r="Q394" s="3004">
        <v>390</v>
      </c>
      <c r="R394" s="2999" t="s">
        <v>5037</v>
      </c>
      <c r="S394" s="3000">
        <v>175.75</v>
      </c>
      <c r="T394" s="3000">
        <v>0.99</v>
      </c>
      <c r="U394" s="3000">
        <v>17087</v>
      </c>
      <c r="V394" s="3000">
        <v>300</v>
      </c>
    </row>
    <row r="395" spans="4:22" ht="14.25" thickBot="1">
      <c r="D395" s="2915">
        <v>391</v>
      </c>
      <c r="E395" s="2915"/>
      <c r="F395" s="2914" t="s">
        <v>3502</v>
      </c>
      <c r="G395" s="2915">
        <v>188.32</v>
      </c>
      <c r="H395" s="2915">
        <f t="shared" si="7"/>
        <v>33.07</v>
      </c>
      <c r="Q395" s="3004">
        <v>391</v>
      </c>
      <c r="R395" s="2999" t="s">
        <v>5038</v>
      </c>
      <c r="S395" s="3000">
        <v>188.32</v>
      </c>
      <c r="T395" s="3000">
        <v>0.99</v>
      </c>
      <c r="U395" s="3000">
        <v>17087</v>
      </c>
      <c r="V395" s="3000">
        <v>322</v>
      </c>
    </row>
    <row r="396" spans="4:22" ht="14.25" thickBot="1">
      <c r="D396" s="2915">
        <v>392</v>
      </c>
      <c r="E396" s="2915"/>
      <c r="F396" s="2914" t="s">
        <v>3503</v>
      </c>
      <c r="G396" s="2915">
        <v>210.22</v>
      </c>
      <c r="H396" s="2915">
        <f t="shared" si="7"/>
        <v>36.909999999999997</v>
      </c>
      <c r="Q396" s="3004">
        <v>392</v>
      </c>
      <c r="R396" s="2999" t="s">
        <v>5039</v>
      </c>
      <c r="S396" s="3000">
        <v>210.22</v>
      </c>
      <c r="T396" s="3000">
        <v>0.98</v>
      </c>
      <c r="U396" s="3000">
        <v>16915</v>
      </c>
      <c r="V396" s="3000">
        <v>356</v>
      </c>
    </row>
    <row r="397" spans="4:22" ht="14.25" thickBot="1">
      <c r="D397" s="2915">
        <v>393</v>
      </c>
      <c r="E397" s="2915"/>
      <c r="F397" s="2914" t="s">
        <v>3504</v>
      </c>
      <c r="G397" s="2915">
        <v>187.56</v>
      </c>
      <c r="H397" s="2915">
        <f t="shared" si="7"/>
        <v>32.93</v>
      </c>
      <c r="Q397" s="3004">
        <v>393</v>
      </c>
      <c r="R397" s="2999" t="s">
        <v>5040</v>
      </c>
      <c r="S397" s="3000">
        <v>187.56</v>
      </c>
      <c r="T397" s="3000">
        <v>0.99</v>
      </c>
      <c r="U397" s="3000">
        <v>17087</v>
      </c>
      <c r="V397" s="3000">
        <v>320</v>
      </c>
    </row>
    <row r="398" spans="4:22" ht="14.25" thickBot="1">
      <c r="D398" s="2915">
        <v>394</v>
      </c>
      <c r="E398" s="2915"/>
      <c r="F398" s="2914" t="s">
        <v>3505</v>
      </c>
      <c r="G398" s="2915">
        <v>188.42</v>
      </c>
      <c r="H398" s="2915">
        <f t="shared" si="7"/>
        <v>33.08</v>
      </c>
      <c r="Q398" s="3004">
        <v>394</v>
      </c>
      <c r="R398" s="2999" t="s">
        <v>5041</v>
      </c>
      <c r="S398" s="3000">
        <v>188.42</v>
      </c>
      <c r="T398" s="3000">
        <v>0.99</v>
      </c>
      <c r="U398" s="3000">
        <v>17087</v>
      </c>
      <c r="V398" s="3000">
        <v>322</v>
      </c>
    </row>
    <row r="399" spans="4:22" ht="14.25" thickBot="1">
      <c r="D399" s="2915">
        <v>395</v>
      </c>
      <c r="E399" s="2915"/>
      <c r="F399" s="2914" t="s">
        <v>3506</v>
      </c>
      <c r="G399" s="2915">
        <v>188.42</v>
      </c>
      <c r="H399" s="2915">
        <f t="shared" si="7"/>
        <v>33.08</v>
      </c>
      <c r="Q399" s="3004">
        <v>395</v>
      </c>
      <c r="R399" s="2999" t="s">
        <v>5042</v>
      </c>
      <c r="S399" s="3000">
        <v>188.42</v>
      </c>
      <c r="T399" s="3000">
        <v>0.99</v>
      </c>
      <c r="U399" s="3000">
        <v>17087</v>
      </c>
      <c r="V399" s="3000">
        <v>322</v>
      </c>
    </row>
    <row r="400" spans="4:22" ht="14.25" thickBot="1">
      <c r="D400" s="2915">
        <v>396</v>
      </c>
      <c r="E400" s="2915"/>
      <c r="F400" s="2914" t="s">
        <v>3507</v>
      </c>
      <c r="G400" s="2915">
        <v>188.42</v>
      </c>
      <c r="H400" s="2915">
        <f t="shared" si="7"/>
        <v>33.08</v>
      </c>
      <c r="Q400" s="3004">
        <v>396</v>
      </c>
      <c r="R400" s="2999" t="s">
        <v>5043</v>
      </c>
      <c r="S400" s="3000">
        <v>188.42</v>
      </c>
      <c r="T400" s="3000">
        <v>0.99</v>
      </c>
      <c r="U400" s="3000">
        <v>17087</v>
      </c>
      <c r="V400" s="3000">
        <v>322</v>
      </c>
    </row>
    <row r="401" spans="4:22" ht="14.25" thickBot="1">
      <c r="D401" s="2915">
        <v>397</v>
      </c>
      <c r="E401" s="2915"/>
      <c r="F401" s="2914" t="s">
        <v>3508</v>
      </c>
      <c r="G401" s="2915">
        <v>188.42</v>
      </c>
      <c r="H401" s="2915">
        <f t="shared" si="7"/>
        <v>33.08</v>
      </c>
      <c r="Q401" s="3004">
        <v>397</v>
      </c>
      <c r="R401" s="2999" t="s">
        <v>5044</v>
      </c>
      <c r="S401" s="3000">
        <v>188.42</v>
      </c>
      <c r="T401" s="3000">
        <v>0.99</v>
      </c>
      <c r="U401" s="3000">
        <v>17087</v>
      </c>
      <c r="V401" s="3000">
        <v>322</v>
      </c>
    </row>
    <row r="402" spans="4:22" ht="14.25" thickBot="1">
      <c r="D402" s="2915">
        <v>398</v>
      </c>
      <c r="E402" s="2915"/>
      <c r="F402" s="2914" t="s">
        <v>3509</v>
      </c>
      <c r="G402" s="2915">
        <v>188.42</v>
      </c>
      <c r="H402" s="2915">
        <f t="shared" si="7"/>
        <v>33.08</v>
      </c>
      <c r="Q402" s="3004">
        <v>398</v>
      </c>
      <c r="R402" s="2999" t="s">
        <v>5045</v>
      </c>
      <c r="S402" s="3000">
        <v>188.42</v>
      </c>
      <c r="T402" s="3000">
        <v>0.99</v>
      </c>
      <c r="U402" s="3000">
        <v>17087</v>
      </c>
      <c r="V402" s="3000">
        <v>322</v>
      </c>
    </row>
    <row r="403" spans="4:22" ht="14.25" thickBot="1">
      <c r="D403" s="2915">
        <v>399</v>
      </c>
      <c r="E403" s="2915"/>
      <c r="F403" s="2914" t="s">
        <v>3510</v>
      </c>
      <c r="G403" s="2915">
        <v>186.36</v>
      </c>
      <c r="H403" s="2915">
        <f t="shared" si="7"/>
        <v>32.72</v>
      </c>
      <c r="Q403" s="3004">
        <v>399</v>
      </c>
      <c r="R403" s="2999" t="s">
        <v>5046</v>
      </c>
      <c r="S403" s="3000">
        <v>186.36</v>
      </c>
      <c r="T403" s="3000">
        <v>0.99</v>
      </c>
      <c r="U403" s="3000">
        <v>17087</v>
      </c>
      <c r="V403" s="3000">
        <v>318</v>
      </c>
    </row>
    <row r="404" spans="4:22" ht="14.25" thickBot="1">
      <c r="D404" s="2915">
        <v>400</v>
      </c>
      <c r="E404" s="2915"/>
      <c r="F404" s="2914" t="s">
        <v>3511</v>
      </c>
      <c r="G404" s="2915">
        <v>188.36</v>
      </c>
      <c r="H404" s="2915">
        <f t="shared" si="7"/>
        <v>33.07</v>
      </c>
      <c r="Q404" s="3004">
        <v>400</v>
      </c>
      <c r="R404" s="2999" t="s">
        <v>5047</v>
      </c>
      <c r="S404" s="3000">
        <v>188.36</v>
      </c>
      <c r="T404" s="3000">
        <v>0.99</v>
      </c>
      <c r="U404" s="3000">
        <v>17087</v>
      </c>
      <c r="V404" s="3000">
        <v>322</v>
      </c>
    </row>
    <row r="405" spans="4:22" ht="14.25" thickBot="1">
      <c r="D405" s="2915">
        <v>401</v>
      </c>
      <c r="E405" s="2915"/>
      <c r="F405" s="2914" t="s">
        <v>3512</v>
      </c>
      <c r="G405" s="2915">
        <v>175.78</v>
      </c>
      <c r="H405" s="2915">
        <f t="shared" si="7"/>
        <v>30.87</v>
      </c>
      <c r="Q405" s="3004">
        <v>401</v>
      </c>
      <c r="R405" s="2999" t="s">
        <v>5048</v>
      </c>
      <c r="S405" s="3000">
        <v>175.78</v>
      </c>
      <c r="T405" s="3000">
        <v>0.99</v>
      </c>
      <c r="U405" s="3000">
        <v>17087</v>
      </c>
      <c r="V405" s="3000">
        <v>300</v>
      </c>
    </row>
    <row r="406" spans="4:22" ht="14.25" thickBot="1">
      <c r="D406" s="2915">
        <v>402</v>
      </c>
      <c r="E406" s="2915"/>
      <c r="F406" s="2914" t="s">
        <v>3513</v>
      </c>
      <c r="G406" s="2915">
        <v>279.95999999999998</v>
      </c>
      <c r="H406" s="2915">
        <f t="shared" si="7"/>
        <v>49.16</v>
      </c>
      <c r="Q406" s="3004">
        <v>402</v>
      </c>
      <c r="R406" s="2999" t="s">
        <v>5049</v>
      </c>
      <c r="S406" s="3000">
        <v>279.95999999999998</v>
      </c>
      <c r="T406" s="3000">
        <v>0.98</v>
      </c>
      <c r="U406" s="3000">
        <v>16915</v>
      </c>
      <c r="V406" s="3000">
        <v>474</v>
      </c>
    </row>
    <row r="407" spans="4:22" ht="14.25" thickBot="1">
      <c r="D407" s="2915">
        <v>403</v>
      </c>
      <c r="E407" s="2915"/>
      <c r="F407" s="2914" t="s">
        <v>3514</v>
      </c>
      <c r="G407" s="2915">
        <v>188.43</v>
      </c>
      <c r="H407" s="2915">
        <f t="shared" si="7"/>
        <v>33.090000000000003</v>
      </c>
      <c r="Q407" s="3004">
        <v>403</v>
      </c>
      <c r="R407" s="2999" t="s">
        <v>5050</v>
      </c>
      <c r="S407" s="3000">
        <v>188.43</v>
      </c>
      <c r="T407" s="3000">
        <v>0.99</v>
      </c>
      <c r="U407" s="3000">
        <v>17087</v>
      </c>
      <c r="V407" s="3000">
        <v>322</v>
      </c>
    </row>
    <row r="408" spans="4:22" ht="14.25" thickBot="1">
      <c r="D408" s="2915">
        <v>404</v>
      </c>
      <c r="E408" s="2915"/>
      <c r="F408" s="2914" t="s">
        <v>3515</v>
      </c>
      <c r="G408" s="2915">
        <v>188.43</v>
      </c>
      <c r="H408" s="2915">
        <f t="shared" si="7"/>
        <v>33.090000000000003</v>
      </c>
      <c r="Q408" s="3004">
        <v>404</v>
      </c>
      <c r="R408" s="2999" t="s">
        <v>5051</v>
      </c>
      <c r="S408" s="3000">
        <v>188.43</v>
      </c>
      <c r="T408" s="3000">
        <v>0.99</v>
      </c>
      <c r="U408" s="3000">
        <v>17087</v>
      </c>
      <c r="V408" s="3000">
        <v>322</v>
      </c>
    </row>
    <row r="409" spans="4:22" ht="14.25" thickBot="1">
      <c r="D409" s="2915">
        <v>405</v>
      </c>
      <c r="E409" s="2915"/>
      <c r="F409" s="2914" t="s">
        <v>3516</v>
      </c>
      <c r="G409" s="2915">
        <v>188.43</v>
      </c>
      <c r="H409" s="2915">
        <f t="shared" si="7"/>
        <v>33.090000000000003</v>
      </c>
      <c r="Q409" s="3004">
        <v>405</v>
      </c>
      <c r="R409" s="2999" t="s">
        <v>5052</v>
      </c>
      <c r="S409" s="3000">
        <v>188.43</v>
      </c>
      <c r="T409" s="3000">
        <v>0.99</v>
      </c>
      <c r="U409" s="3000">
        <v>17087</v>
      </c>
      <c r="V409" s="3000">
        <v>322</v>
      </c>
    </row>
    <row r="410" spans="4:22" ht="14.25" thickBot="1">
      <c r="D410" s="2915">
        <v>406</v>
      </c>
      <c r="E410" s="2915"/>
      <c r="F410" s="2914" t="s">
        <v>3517</v>
      </c>
      <c r="G410" s="2915">
        <v>188.43</v>
      </c>
      <c r="H410" s="2915">
        <f t="shared" si="7"/>
        <v>33.090000000000003</v>
      </c>
      <c r="Q410" s="3004">
        <v>406</v>
      </c>
      <c r="R410" s="2999" t="s">
        <v>5053</v>
      </c>
      <c r="S410" s="3000">
        <v>188.43</v>
      </c>
      <c r="T410" s="3000">
        <v>0.99</v>
      </c>
      <c r="U410" s="3000">
        <v>17087</v>
      </c>
      <c r="V410" s="3000">
        <v>322</v>
      </c>
    </row>
    <row r="411" spans="4:22" ht="14.25" thickBot="1">
      <c r="D411" s="2915">
        <v>407</v>
      </c>
      <c r="E411" s="2915"/>
      <c r="F411" s="2914" t="s">
        <v>3518</v>
      </c>
      <c r="G411" s="2915">
        <v>188.43</v>
      </c>
      <c r="H411" s="2915">
        <f t="shared" si="7"/>
        <v>33.090000000000003</v>
      </c>
      <c r="Q411" s="3004">
        <v>407</v>
      </c>
      <c r="R411" s="2999" t="s">
        <v>5054</v>
      </c>
      <c r="S411" s="3000">
        <v>188.43</v>
      </c>
      <c r="T411" s="3000">
        <v>0.99</v>
      </c>
      <c r="U411" s="3000">
        <v>17087</v>
      </c>
      <c r="V411" s="3000">
        <v>322</v>
      </c>
    </row>
    <row r="412" spans="4:22" ht="14.25" thickBot="1">
      <c r="D412" s="2915">
        <v>408</v>
      </c>
      <c r="E412" s="2915"/>
      <c r="F412" s="2914" t="s">
        <v>3519</v>
      </c>
      <c r="G412" s="2915">
        <v>188.38</v>
      </c>
      <c r="H412" s="2915">
        <f t="shared" si="7"/>
        <v>33.08</v>
      </c>
      <c r="Q412" s="3004">
        <v>408</v>
      </c>
      <c r="R412" s="2999" t="s">
        <v>5055</v>
      </c>
      <c r="S412" s="3000">
        <v>188.38</v>
      </c>
      <c r="T412" s="3000">
        <v>0.99</v>
      </c>
      <c r="U412" s="3000">
        <v>17087</v>
      </c>
      <c r="V412" s="3000">
        <v>322</v>
      </c>
    </row>
    <row r="413" spans="4:22" ht="14.25" thickBot="1">
      <c r="D413" s="2915">
        <v>409</v>
      </c>
      <c r="E413" s="2915"/>
      <c r="F413" s="2914" t="s">
        <v>3520</v>
      </c>
      <c r="G413" s="2915">
        <v>208.95</v>
      </c>
      <c r="H413" s="2915">
        <f t="shared" si="7"/>
        <v>36.69</v>
      </c>
      <c r="Q413" s="3004">
        <v>409</v>
      </c>
      <c r="R413" s="2999" t="s">
        <v>5056</v>
      </c>
      <c r="S413" s="3000">
        <v>208.95</v>
      </c>
      <c r="T413" s="3000">
        <v>0.98</v>
      </c>
      <c r="U413" s="3000">
        <v>16915</v>
      </c>
      <c r="V413" s="3000">
        <v>353</v>
      </c>
    </row>
    <row r="414" spans="4:22" ht="14.25" thickBot="1">
      <c r="D414" s="2915">
        <v>410</v>
      </c>
      <c r="E414" s="2915"/>
      <c r="F414" s="2914" t="s">
        <v>3521</v>
      </c>
      <c r="G414" s="2915">
        <v>189.85</v>
      </c>
      <c r="H414" s="2915">
        <f t="shared" si="7"/>
        <v>33.340000000000003</v>
      </c>
      <c r="Q414" s="3004">
        <v>410</v>
      </c>
      <c r="R414" s="2999" t="s">
        <v>5057</v>
      </c>
      <c r="S414" s="3000">
        <v>189.85</v>
      </c>
      <c r="T414" s="3000">
        <v>0.99</v>
      </c>
      <c r="U414" s="3000">
        <v>17087</v>
      </c>
      <c r="V414" s="3000">
        <v>324</v>
      </c>
    </row>
    <row r="415" spans="4:22" ht="14.25" thickBot="1">
      <c r="D415" s="2915">
        <v>411</v>
      </c>
      <c r="E415" s="2915"/>
      <c r="F415" s="2914" t="s">
        <v>3522</v>
      </c>
      <c r="G415" s="2915">
        <v>169.23</v>
      </c>
      <c r="H415" s="2915">
        <f t="shared" si="7"/>
        <v>29.72</v>
      </c>
      <c r="Q415" s="3004">
        <v>411</v>
      </c>
      <c r="R415" s="2999" t="s">
        <v>5058</v>
      </c>
      <c r="S415" s="3000">
        <v>169.23</v>
      </c>
      <c r="T415" s="3000">
        <v>0.99</v>
      </c>
      <c r="U415" s="3000">
        <v>17087</v>
      </c>
      <c r="V415" s="3000">
        <v>289</v>
      </c>
    </row>
    <row r="416" spans="4:22" ht="14.25" thickBot="1">
      <c r="D416" s="2915">
        <v>412</v>
      </c>
      <c r="E416" s="2915"/>
      <c r="F416" s="2914" t="s">
        <v>3523</v>
      </c>
      <c r="G416" s="2915">
        <v>55.7</v>
      </c>
      <c r="H416" s="2915">
        <f t="shared" si="7"/>
        <v>9.7799999999999994</v>
      </c>
      <c r="Q416" s="3004">
        <v>412</v>
      </c>
      <c r="R416" s="2999" t="s">
        <v>5059</v>
      </c>
      <c r="S416" s="3000">
        <v>55.7</v>
      </c>
      <c r="T416" s="3000">
        <v>1</v>
      </c>
      <c r="U416" s="3000">
        <v>17260</v>
      </c>
      <c r="V416" s="3000">
        <v>96</v>
      </c>
    </row>
    <row r="417" spans="4:22" ht="14.25" thickBot="1">
      <c r="D417" s="2915">
        <v>413</v>
      </c>
      <c r="E417" s="2915"/>
      <c r="F417" s="2914" t="s">
        <v>3524</v>
      </c>
      <c r="G417" s="2915">
        <v>49.53</v>
      </c>
      <c r="H417" s="2915">
        <f t="shared" si="7"/>
        <v>8.6999999999999993</v>
      </c>
      <c r="Q417" s="3004">
        <v>413</v>
      </c>
      <c r="R417" s="2999" t="s">
        <v>5060</v>
      </c>
      <c r="S417" s="3000">
        <v>49.53</v>
      </c>
      <c r="T417" s="3000">
        <v>1</v>
      </c>
      <c r="U417" s="3000">
        <v>17260</v>
      </c>
      <c r="V417" s="3000">
        <v>85</v>
      </c>
    </row>
    <row r="418" spans="4:22" ht="14.25" thickBot="1">
      <c r="D418" s="2915">
        <v>414</v>
      </c>
      <c r="E418" s="2915"/>
      <c r="F418" s="2914" t="s">
        <v>3525</v>
      </c>
      <c r="G418" s="2915">
        <v>50.63</v>
      </c>
      <c r="H418" s="2915">
        <f t="shared" si="7"/>
        <v>8.89</v>
      </c>
      <c r="Q418" s="3004">
        <v>414</v>
      </c>
      <c r="R418" s="2999" t="s">
        <v>5061</v>
      </c>
      <c r="S418" s="3000">
        <v>50.63</v>
      </c>
      <c r="T418" s="3000">
        <v>1</v>
      </c>
      <c r="U418" s="3000">
        <v>17260</v>
      </c>
      <c r="V418" s="3000">
        <v>87</v>
      </c>
    </row>
    <row r="419" spans="4:22" ht="14.25" thickBot="1">
      <c r="D419" s="2915">
        <v>415</v>
      </c>
      <c r="E419" s="2915"/>
      <c r="F419" s="2914" t="s">
        <v>3526</v>
      </c>
      <c r="G419" s="2915">
        <v>50.63</v>
      </c>
      <c r="H419" s="2915">
        <f t="shared" si="7"/>
        <v>8.89</v>
      </c>
      <c r="Q419" s="3004">
        <v>415</v>
      </c>
      <c r="R419" s="2999" t="s">
        <v>5062</v>
      </c>
      <c r="S419" s="3000">
        <v>50.63</v>
      </c>
      <c r="T419" s="3000">
        <v>1</v>
      </c>
      <c r="U419" s="3000">
        <v>17260</v>
      </c>
      <c r="V419" s="3000">
        <v>87</v>
      </c>
    </row>
    <row r="420" spans="4:22" ht="14.25" thickBot="1">
      <c r="D420" s="2915">
        <v>416</v>
      </c>
      <c r="E420" s="2915"/>
      <c r="F420" s="2914" t="s">
        <v>3527</v>
      </c>
      <c r="G420" s="2915">
        <v>50.63</v>
      </c>
      <c r="H420" s="2915">
        <f t="shared" si="7"/>
        <v>8.89</v>
      </c>
      <c r="Q420" s="3004">
        <v>416</v>
      </c>
      <c r="R420" s="2999" t="s">
        <v>5063</v>
      </c>
      <c r="S420" s="3000">
        <v>50.63</v>
      </c>
      <c r="T420" s="3000">
        <v>1</v>
      </c>
      <c r="U420" s="3000">
        <v>17260</v>
      </c>
      <c r="V420" s="3000">
        <v>87</v>
      </c>
    </row>
    <row r="421" spans="4:22" ht="14.25" thickBot="1">
      <c r="D421" s="2915">
        <v>417</v>
      </c>
      <c r="E421" s="2915"/>
      <c r="F421" s="2914" t="s">
        <v>3528</v>
      </c>
      <c r="G421" s="2915">
        <v>50.63</v>
      </c>
      <c r="H421" s="2915">
        <f t="shared" si="7"/>
        <v>8.89</v>
      </c>
      <c r="Q421" s="3004">
        <v>417</v>
      </c>
      <c r="R421" s="2999" t="s">
        <v>5064</v>
      </c>
      <c r="S421" s="3000">
        <v>50.63</v>
      </c>
      <c r="T421" s="3000">
        <v>1</v>
      </c>
      <c r="U421" s="3000">
        <v>17260</v>
      </c>
      <c r="V421" s="3000">
        <v>87</v>
      </c>
    </row>
    <row r="422" spans="4:22" ht="14.25" thickBot="1">
      <c r="D422" s="2915">
        <v>418</v>
      </c>
      <c r="E422" s="2915"/>
      <c r="F422" s="2914" t="s">
        <v>3529</v>
      </c>
      <c r="G422" s="2915">
        <v>50.63</v>
      </c>
      <c r="H422" s="2915">
        <f t="shared" si="7"/>
        <v>8.89</v>
      </c>
      <c r="Q422" s="3004">
        <v>418</v>
      </c>
      <c r="R422" s="2999" t="s">
        <v>5065</v>
      </c>
      <c r="S422" s="3000">
        <v>50.63</v>
      </c>
      <c r="T422" s="3000">
        <v>1</v>
      </c>
      <c r="U422" s="3000">
        <v>17260</v>
      </c>
      <c r="V422" s="3000">
        <v>87</v>
      </c>
    </row>
    <row r="423" spans="4:22" ht="14.25" thickBot="1">
      <c r="D423" s="2915">
        <v>419</v>
      </c>
      <c r="E423" s="2915"/>
      <c r="F423" s="2914" t="s">
        <v>3530</v>
      </c>
      <c r="G423" s="2915">
        <v>50.63</v>
      </c>
      <c r="H423" s="2915">
        <f t="shared" si="7"/>
        <v>8.89</v>
      </c>
      <c r="Q423" s="3004">
        <v>419</v>
      </c>
      <c r="R423" s="2999" t="s">
        <v>5066</v>
      </c>
      <c r="S423" s="3000">
        <v>50.63</v>
      </c>
      <c r="T423" s="3000">
        <v>1</v>
      </c>
      <c r="U423" s="3000">
        <v>17260</v>
      </c>
      <c r="V423" s="3000">
        <v>87</v>
      </c>
    </row>
    <row r="424" spans="4:22" ht="14.25" thickBot="1">
      <c r="D424" s="2915">
        <v>420</v>
      </c>
      <c r="E424" s="2915"/>
      <c r="F424" s="2914" t="s">
        <v>3531</v>
      </c>
      <c r="G424" s="2915">
        <v>50.63</v>
      </c>
      <c r="H424" s="2915">
        <f t="shared" si="7"/>
        <v>8.89</v>
      </c>
      <c r="Q424" s="3004">
        <v>420</v>
      </c>
      <c r="R424" s="2999" t="s">
        <v>5067</v>
      </c>
      <c r="S424" s="3000">
        <v>50.63</v>
      </c>
      <c r="T424" s="3000">
        <v>1</v>
      </c>
      <c r="U424" s="3000">
        <v>17260</v>
      </c>
      <c r="V424" s="3000">
        <v>87</v>
      </c>
    </row>
    <row r="425" spans="4:22" ht="14.25" thickBot="1">
      <c r="D425" s="2915">
        <v>421</v>
      </c>
      <c r="E425" s="2915"/>
      <c r="F425" s="2914" t="s">
        <v>3532</v>
      </c>
      <c r="G425" s="2915">
        <v>50.63</v>
      </c>
      <c r="H425" s="2915">
        <f t="shared" si="7"/>
        <v>8.89</v>
      </c>
      <c r="Q425" s="3004">
        <v>421</v>
      </c>
      <c r="R425" s="2999" t="s">
        <v>5068</v>
      </c>
      <c r="S425" s="3000">
        <v>50.63</v>
      </c>
      <c r="T425" s="3000">
        <v>1</v>
      </c>
      <c r="U425" s="3000">
        <v>17260</v>
      </c>
      <c r="V425" s="3000">
        <v>87</v>
      </c>
    </row>
    <row r="426" spans="4:22" ht="14.25" thickBot="1">
      <c r="D426" s="2915">
        <v>422</v>
      </c>
      <c r="E426" s="2915"/>
      <c r="F426" s="2914" t="s">
        <v>3533</v>
      </c>
      <c r="G426" s="2915">
        <v>50.63</v>
      </c>
      <c r="H426" s="2915">
        <f t="shared" si="7"/>
        <v>8.89</v>
      </c>
      <c r="Q426" s="3004">
        <v>422</v>
      </c>
      <c r="R426" s="2999" t="s">
        <v>5069</v>
      </c>
      <c r="S426" s="3000">
        <v>50.63</v>
      </c>
      <c r="T426" s="3000">
        <v>1</v>
      </c>
      <c r="U426" s="3000">
        <v>17260</v>
      </c>
      <c r="V426" s="3000">
        <v>87</v>
      </c>
    </row>
    <row r="427" spans="4:22" ht="14.25" thickBot="1">
      <c r="D427" s="2915">
        <v>423</v>
      </c>
      <c r="E427" s="2915"/>
      <c r="F427" s="2914" t="s">
        <v>3534</v>
      </c>
      <c r="G427" s="2915">
        <v>50.63</v>
      </c>
      <c r="H427" s="2915">
        <f t="shared" si="7"/>
        <v>8.89</v>
      </c>
      <c r="Q427" s="3004">
        <v>423</v>
      </c>
      <c r="R427" s="2999" t="s">
        <v>5070</v>
      </c>
      <c r="S427" s="3000">
        <v>50.63</v>
      </c>
      <c r="T427" s="3000">
        <v>1</v>
      </c>
      <c r="U427" s="3000">
        <v>17260</v>
      </c>
      <c r="V427" s="3000">
        <v>87</v>
      </c>
    </row>
    <row r="428" spans="4:22" ht="14.25" thickBot="1">
      <c r="D428" s="2915">
        <v>424</v>
      </c>
      <c r="E428" s="2915"/>
      <c r="F428" s="2914" t="s">
        <v>3535</v>
      </c>
      <c r="G428" s="2915">
        <v>49.61</v>
      </c>
      <c r="H428" s="2915">
        <f t="shared" si="7"/>
        <v>8.7100000000000009</v>
      </c>
      <c r="Q428" s="3004">
        <v>424</v>
      </c>
      <c r="R428" s="2999" t="s">
        <v>5071</v>
      </c>
      <c r="S428" s="3000">
        <v>49.61</v>
      </c>
      <c r="T428" s="3000">
        <v>1</v>
      </c>
      <c r="U428" s="3000">
        <v>17260</v>
      </c>
      <c r="V428" s="3000">
        <v>86</v>
      </c>
    </row>
    <row r="429" spans="4:22" ht="14.25" thickBot="1">
      <c r="D429" s="2915">
        <v>425</v>
      </c>
      <c r="E429" s="2915"/>
      <c r="F429" s="2914" t="s">
        <v>3536</v>
      </c>
      <c r="G429" s="2915">
        <v>46.31</v>
      </c>
      <c r="H429" s="2915">
        <f t="shared" si="7"/>
        <v>8.1300000000000008</v>
      </c>
      <c r="Q429" s="3004">
        <v>425</v>
      </c>
      <c r="R429" s="2999" t="s">
        <v>5072</v>
      </c>
      <c r="S429" s="3000">
        <v>46.31</v>
      </c>
      <c r="T429" s="3000">
        <v>1</v>
      </c>
      <c r="U429" s="3000">
        <v>17260</v>
      </c>
      <c r="V429" s="3000">
        <v>80</v>
      </c>
    </row>
    <row r="430" spans="4:22" ht="14.25" thickBot="1">
      <c r="D430" s="2915">
        <v>426</v>
      </c>
      <c r="E430" s="2915"/>
      <c r="F430" s="2914" t="s">
        <v>3537</v>
      </c>
      <c r="G430" s="2915">
        <v>50.63</v>
      </c>
      <c r="H430" s="2915">
        <f t="shared" si="7"/>
        <v>8.89</v>
      </c>
      <c r="Q430" s="3004">
        <v>426</v>
      </c>
      <c r="R430" s="2999" t="s">
        <v>5073</v>
      </c>
      <c r="S430" s="3000">
        <v>50.63</v>
      </c>
      <c r="T430" s="3000">
        <v>1</v>
      </c>
      <c r="U430" s="3000">
        <v>17260</v>
      </c>
      <c r="V430" s="3000">
        <v>87</v>
      </c>
    </row>
    <row r="431" spans="4:22" ht="14.25" thickBot="1">
      <c r="D431" s="2915">
        <v>427</v>
      </c>
      <c r="E431" s="2915"/>
      <c r="F431" s="2914" t="s">
        <v>3538</v>
      </c>
      <c r="G431" s="2915">
        <v>50.63</v>
      </c>
      <c r="H431" s="2915">
        <f t="shared" si="7"/>
        <v>8.89</v>
      </c>
      <c r="Q431" s="3004">
        <v>427</v>
      </c>
      <c r="R431" s="2999" t="s">
        <v>5074</v>
      </c>
      <c r="S431" s="3000">
        <v>50.63</v>
      </c>
      <c r="T431" s="3000">
        <v>1</v>
      </c>
      <c r="U431" s="3000">
        <v>17260</v>
      </c>
      <c r="V431" s="3000">
        <v>87</v>
      </c>
    </row>
    <row r="432" spans="4:22" ht="14.25" thickBot="1">
      <c r="D432" s="2915">
        <v>428</v>
      </c>
      <c r="E432" s="2915"/>
      <c r="F432" s="2914" t="s">
        <v>3539</v>
      </c>
      <c r="G432" s="2915">
        <v>62.54</v>
      </c>
      <c r="H432" s="2915">
        <f t="shared" si="7"/>
        <v>10.98</v>
      </c>
      <c r="Q432" s="3004">
        <v>428</v>
      </c>
      <c r="R432" s="2999" t="s">
        <v>5075</v>
      </c>
      <c r="S432" s="3000">
        <v>62.54</v>
      </c>
      <c r="T432" s="3000">
        <v>1</v>
      </c>
      <c r="U432" s="3000">
        <v>17260</v>
      </c>
      <c r="V432" s="3000">
        <v>108</v>
      </c>
    </row>
    <row r="433" spans="4:22" ht="14.25" thickBot="1">
      <c r="D433" s="2915">
        <v>429</v>
      </c>
      <c r="E433" s="2915"/>
      <c r="F433" s="2914" t="s">
        <v>3540</v>
      </c>
      <c r="G433" s="2915">
        <v>62.56</v>
      </c>
      <c r="H433" s="2915">
        <f t="shared" si="7"/>
        <v>10.99</v>
      </c>
      <c r="Q433" s="3004">
        <v>429</v>
      </c>
      <c r="R433" s="2999" t="s">
        <v>5076</v>
      </c>
      <c r="S433" s="3000">
        <v>62.56</v>
      </c>
      <c r="T433" s="3000">
        <v>1</v>
      </c>
      <c r="U433" s="3000">
        <v>17260</v>
      </c>
      <c r="V433" s="3000">
        <v>108</v>
      </c>
    </row>
    <row r="434" spans="4:22" ht="14.25" thickBot="1">
      <c r="D434" s="2915">
        <v>430</v>
      </c>
      <c r="E434" s="2915"/>
      <c r="F434" s="2914" t="s">
        <v>3541</v>
      </c>
      <c r="G434" s="2915">
        <v>62.56</v>
      </c>
      <c r="H434" s="2915">
        <f t="shared" si="7"/>
        <v>10.99</v>
      </c>
      <c r="Q434" s="3004">
        <v>430</v>
      </c>
      <c r="R434" s="2999" t="s">
        <v>5077</v>
      </c>
      <c r="S434" s="3000">
        <v>62.56</v>
      </c>
      <c r="T434" s="3000">
        <v>1</v>
      </c>
      <c r="U434" s="3000">
        <v>17260</v>
      </c>
      <c r="V434" s="3000">
        <v>108</v>
      </c>
    </row>
    <row r="435" spans="4:22" ht="14.25" thickBot="1">
      <c r="D435" s="2915">
        <v>431</v>
      </c>
      <c r="E435" s="2915"/>
      <c r="F435" s="2914" t="s">
        <v>3542</v>
      </c>
      <c r="G435" s="2915">
        <v>62.54</v>
      </c>
      <c r="H435" s="2915">
        <f t="shared" si="7"/>
        <v>10.98</v>
      </c>
      <c r="Q435" s="3004">
        <v>431</v>
      </c>
      <c r="R435" s="2999" t="s">
        <v>5078</v>
      </c>
      <c r="S435" s="3000">
        <v>62.54</v>
      </c>
      <c r="T435" s="3000">
        <v>1</v>
      </c>
      <c r="U435" s="3000">
        <v>17260</v>
      </c>
      <c r="V435" s="3000">
        <v>108</v>
      </c>
    </row>
    <row r="436" spans="4:22" ht="14.25" thickBot="1">
      <c r="D436" s="2915">
        <v>432</v>
      </c>
      <c r="E436" s="2915"/>
      <c r="F436" s="2914" t="s">
        <v>3543</v>
      </c>
      <c r="G436" s="2915">
        <v>50.63</v>
      </c>
      <c r="H436" s="2915">
        <f t="shared" si="7"/>
        <v>8.89</v>
      </c>
      <c r="Q436" s="3004">
        <v>432</v>
      </c>
      <c r="R436" s="2999" t="s">
        <v>5079</v>
      </c>
      <c r="S436" s="3000">
        <v>50.63</v>
      </c>
      <c r="T436" s="3000">
        <v>1</v>
      </c>
      <c r="U436" s="3000">
        <v>17260</v>
      </c>
      <c r="V436" s="3000">
        <v>87</v>
      </c>
    </row>
    <row r="437" spans="4:22" ht="14.25" thickBot="1">
      <c r="D437" s="2915">
        <v>433</v>
      </c>
      <c r="E437" s="2915"/>
      <c r="F437" s="2914" t="s">
        <v>3544</v>
      </c>
      <c r="G437" s="2915">
        <v>50.63</v>
      </c>
      <c r="H437" s="2915">
        <f t="shared" si="7"/>
        <v>8.89</v>
      </c>
      <c r="Q437" s="3004">
        <v>433</v>
      </c>
      <c r="R437" s="2999" t="s">
        <v>5080</v>
      </c>
      <c r="S437" s="3000">
        <v>50.63</v>
      </c>
      <c r="T437" s="3000">
        <v>1</v>
      </c>
      <c r="U437" s="3000">
        <v>17260</v>
      </c>
      <c r="V437" s="3000">
        <v>87</v>
      </c>
    </row>
    <row r="438" spans="4:22" ht="14.25" thickBot="1">
      <c r="D438" s="2915">
        <v>434</v>
      </c>
      <c r="E438" s="2915"/>
      <c r="F438" s="2914" t="s">
        <v>3545</v>
      </c>
      <c r="G438" s="2915">
        <v>50.63</v>
      </c>
      <c r="H438" s="2915">
        <f t="shared" si="7"/>
        <v>8.89</v>
      </c>
      <c r="Q438" s="3004">
        <v>434</v>
      </c>
      <c r="R438" s="2999" t="s">
        <v>5081</v>
      </c>
      <c r="S438" s="3000">
        <v>50.63</v>
      </c>
      <c r="T438" s="3000">
        <v>1</v>
      </c>
      <c r="U438" s="3000">
        <v>17260</v>
      </c>
      <c r="V438" s="3000">
        <v>87</v>
      </c>
    </row>
    <row r="439" spans="4:22" ht="14.25" thickBot="1">
      <c r="D439" s="2915">
        <v>435</v>
      </c>
      <c r="E439" s="2915"/>
      <c r="F439" s="2914" t="s">
        <v>3546</v>
      </c>
      <c r="G439" s="2915">
        <v>50.63</v>
      </c>
      <c r="H439" s="2915">
        <f t="shared" si="7"/>
        <v>8.89</v>
      </c>
      <c r="Q439" s="3004">
        <v>435</v>
      </c>
      <c r="R439" s="2999" t="s">
        <v>5082</v>
      </c>
      <c r="S439" s="3000">
        <v>50.63</v>
      </c>
      <c r="T439" s="3000">
        <v>1</v>
      </c>
      <c r="U439" s="3000">
        <v>17260</v>
      </c>
      <c r="V439" s="3000">
        <v>87</v>
      </c>
    </row>
    <row r="440" spans="4:22" ht="14.25" thickBot="1">
      <c r="D440" s="2915">
        <v>436</v>
      </c>
      <c r="E440" s="2915"/>
      <c r="F440" s="2914" t="s">
        <v>3547</v>
      </c>
      <c r="G440" s="2915">
        <v>50.63</v>
      </c>
      <c r="H440" s="2915">
        <f t="shared" si="7"/>
        <v>8.89</v>
      </c>
      <c r="Q440" s="3004">
        <v>436</v>
      </c>
      <c r="R440" s="2999" t="s">
        <v>5083</v>
      </c>
      <c r="S440" s="3000">
        <v>50.63</v>
      </c>
      <c r="T440" s="3000">
        <v>1</v>
      </c>
      <c r="U440" s="3000">
        <v>17260</v>
      </c>
      <c r="V440" s="3000">
        <v>87</v>
      </c>
    </row>
    <row r="441" spans="4:22" ht="14.25" thickBot="1">
      <c r="D441" s="2915">
        <v>437</v>
      </c>
      <c r="E441" s="2915"/>
      <c r="F441" s="2914" t="s">
        <v>3548</v>
      </c>
      <c r="G441" s="2915">
        <v>50.63</v>
      </c>
      <c r="H441" s="2915">
        <f t="shared" si="7"/>
        <v>8.89</v>
      </c>
      <c r="Q441" s="3004">
        <v>437</v>
      </c>
      <c r="R441" s="2999" t="s">
        <v>5084</v>
      </c>
      <c r="S441" s="3000">
        <v>50.63</v>
      </c>
      <c r="T441" s="3000">
        <v>1</v>
      </c>
      <c r="U441" s="3000">
        <v>17260</v>
      </c>
      <c r="V441" s="3000">
        <v>87</v>
      </c>
    </row>
    <row r="442" spans="4:22" ht="14.25" thickBot="1">
      <c r="D442" s="2915">
        <v>438</v>
      </c>
      <c r="E442" s="2915"/>
      <c r="F442" s="2914" t="s">
        <v>3549</v>
      </c>
      <c r="G442" s="2915">
        <v>50.63</v>
      </c>
      <c r="H442" s="2915">
        <f t="shared" si="7"/>
        <v>8.89</v>
      </c>
      <c r="Q442" s="3004">
        <v>438</v>
      </c>
      <c r="R442" s="2999" t="s">
        <v>5085</v>
      </c>
      <c r="S442" s="3000">
        <v>50.63</v>
      </c>
      <c r="T442" s="3000">
        <v>1</v>
      </c>
      <c r="U442" s="3000">
        <v>17260</v>
      </c>
      <c r="V442" s="3000">
        <v>87</v>
      </c>
    </row>
    <row r="443" spans="4:22" ht="14.25" thickBot="1">
      <c r="D443" s="2915">
        <v>439</v>
      </c>
      <c r="E443" s="2915"/>
      <c r="F443" s="2914" t="s">
        <v>3550</v>
      </c>
      <c r="G443" s="2915">
        <v>50.63</v>
      </c>
      <c r="H443" s="2915">
        <f t="shared" si="7"/>
        <v>8.89</v>
      </c>
      <c r="Q443" s="3004">
        <v>439</v>
      </c>
      <c r="R443" s="2999" t="s">
        <v>5086</v>
      </c>
      <c r="S443" s="3000">
        <v>50.63</v>
      </c>
      <c r="T443" s="3000">
        <v>1</v>
      </c>
      <c r="U443" s="3000">
        <v>17260</v>
      </c>
      <c r="V443" s="3000">
        <v>87</v>
      </c>
    </row>
    <row r="444" spans="4:22" ht="14.25" thickBot="1">
      <c r="D444" s="2915">
        <v>440</v>
      </c>
      <c r="E444" s="2915"/>
      <c r="F444" s="2914" t="s">
        <v>3551</v>
      </c>
      <c r="G444" s="2915">
        <v>50.63</v>
      </c>
      <c r="H444" s="2915">
        <f t="shared" si="7"/>
        <v>8.89</v>
      </c>
      <c r="Q444" s="3004">
        <v>440</v>
      </c>
      <c r="R444" s="2999" t="s">
        <v>5087</v>
      </c>
      <c r="S444" s="3000">
        <v>50.63</v>
      </c>
      <c r="T444" s="3000">
        <v>1</v>
      </c>
      <c r="U444" s="3000">
        <v>17260</v>
      </c>
      <c r="V444" s="3000">
        <v>87</v>
      </c>
    </row>
    <row r="445" spans="4:22" ht="14.25" thickBot="1">
      <c r="D445" s="2915">
        <v>441</v>
      </c>
      <c r="E445" s="2915"/>
      <c r="F445" s="2914" t="s">
        <v>3552</v>
      </c>
      <c r="G445" s="2915">
        <v>50.63</v>
      </c>
      <c r="H445" s="2915">
        <f t="shared" si="7"/>
        <v>8.89</v>
      </c>
      <c r="Q445" s="3004">
        <v>441</v>
      </c>
      <c r="R445" s="2999" t="s">
        <v>5088</v>
      </c>
      <c r="S445" s="3000">
        <v>50.63</v>
      </c>
      <c r="T445" s="3000">
        <v>1</v>
      </c>
      <c r="U445" s="3000">
        <v>17260</v>
      </c>
      <c r="V445" s="3000">
        <v>87</v>
      </c>
    </row>
    <row r="446" spans="4:22" ht="14.25" thickBot="1">
      <c r="D446" s="2915">
        <v>442</v>
      </c>
      <c r="E446" s="2915"/>
      <c r="F446" s="2914" t="s">
        <v>3553</v>
      </c>
      <c r="G446" s="2915">
        <v>50.63</v>
      </c>
      <c r="H446" s="2915">
        <f t="shared" si="7"/>
        <v>8.89</v>
      </c>
      <c r="Q446" s="3004">
        <v>442</v>
      </c>
      <c r="R446" s="2999" t="s">
        <v>5089</v>
      </c>
      <c r="S446" s="3000">
        <v>50.63</v>
      </c>
      <c r="T446" s="3000">
        <v>1</v>
      </c>
      <c r="U446" s="3000">
        <v>17260</v>
      </c>
      <c r="V446" s="3000">
        <v>87</v>
      </c>
    </row>
    <row r="447" spans="4:22" ht="14.25" thickBot="1">
      <c r="D447" s="2915">
        <v>443</v>
      </c>
      <c r="E447" s="2915"/>
      <c r="F447" s="2914" t="s">
        <v>3554</v>
      </c>
      <c r="G447" s="2915">
        <v>50.63</v>
      </c>
      <c r="H447" s="2915">
        <f t="shared" si="7"/>
        <v>8.89</v>
      </c>
      <c r="Q447" s="3004">
        <v>443</v>
      </c>
      <c r="R447" s="2999" t="s">
        <v>5090</v>
      </c>
      <c r="S447" s="3000">
        <v>50.63</v>
      </c>
      <c r="T447" s="3000">
        <v>1</v>
      </c>
      <c r="U447" s="3000">
        <v>17260</v>
      </c>
      <c r="V447" s="3000">
        <v>87</v>
      </c>
    </row>
    <row r="448" spans="4:22" ht="14.25" thickBot="1">
      <c r="D448" s="2915">
        <v>444</v>
      </c>
      <c r="E448" s="2915"/>
      <c r="F448" s="2914" t="s">
        <v>3555</v>
      </c>
      <c r="G448" s="2915">
        <v>50.38</v>
      </c>
      <c r="H448" s="2915">
        <f t="shared" si="7"/>
        <v>8.85</v>
      </c>
      <c r="Q448" s="3004">
        <v>444</v>
      </c>
      <c r="R448" s="2999" t="s">
        <v>5091</v>
      </c>
      <c r="S448" s="3000">
        <v>50.38</v>
      </c>
      <c r="T448" s="3000">
        <v>1</v>
      </c>
      <c r="U448" s="3000">
        <v>17260</v>
      </c>
      <c r="V448" s="3000">
        <v>87</v>
      </c>
    </row>
    <row r="449" spans="4:22" ht="14.25" thickBot="1">
      <c r="D449" s="2915">
        <v>445</v>
      </c>
      <c r="E449" s="2915"/>
      <c r="F449" s="2914" t="s">
        <v>3556</v>
      </c>
      <c r="G449" s="2915">
        <v>51.12</v>
      </c>
      <c r="H449" s="2915">
        <f t="shared" si="7"/>
        <v>8.98</v>
      </c>
      <c r="Q449" s="3004">
        <v>445</v>
      </c>
      <c r="R449" s="2999" t="s">
        <v>5092</v>
      </c>
      <c r="S449" s="3000">
        <v>51.12</v>
      </c>
      <c r="T449" s="3000">
        <v>1</v>
      </c>
      <c r="U449" s="3000">
        <v>17260</v>
      </c>
      <c r="V449" s="3000">
        <v>88</v>
      </c>
    </row>
    <row r="450" spans="4:22" ht="14.25" thickBot="1">
      <c r="D450" s="2915">
        <v>446</v>
      </c>
      <c r="E450" s="2915"/>
      <c r="F450" s="2914" t="s">
        <v>3557</v>
      </c>
      <c r="G450" s="2915">
        <v>68.760000000000005</v>
      </c>
      <c r="H450" s="2915">
        <f t="shared" si="7"/>
        <v>12.07</v>
      </c>
      <c r="Q450" s="3004">
        <v>446</v>
      </c>
      <c r="R450" s="2999" t="s">
        <v>5093</v>
      </c>
      <c r="S450" s="3000">
        <v>68.760000000000005</v>
      </c>
      <c r="T450" s="3000">
        <v>1</v>
      </c>
      <c r="U450" s="3000">
        <v>17260</v>
      </c>
      <c r="V450" s="3000">
        <v>119</v>
      </c>
    </row>
    <row r="451" spans="4:22" ht="14.25" thickBot="1">
      <c r="D451" s="2915">
        <v>447</v>
      </c>
      <c r="E451" s="2915"/>
      <c r="F451" s="2914" t="s">
        <v>3558</v>
      </c>
      <c r="G451" s="2915">
        <v>69.319999999999993</v>
      </c>
      <c r="H451" s="2915">
        <f t="shared" si="7"/>
        <v>12.17</v>
      </c>
      <c r="Q451" s="3004">
        <v>447</v>
      </c>
      <c r="R451" s="2999" t="s">
        <v>5094</v>
      </c>
      <c r="S451" s="3000">
        <v>69.319999999999993</v>
      </c>
      <c r="T451" s="3000">
        <v>1</v>
      </c>
      <c r="U451" s="3000">
        <v>17260</v>
      </c>
      <c r="V451" s="3000">
        <v>120</v>
      </c>
    </row>
    <row r="452" spans="4:22" ht="14.25" thickBot="1">
      <c r="D452" s="2915">
        <v>448</v>
      </c>
      <c r="E452" s="2915"/>
      <c r="F452" s="2914" t="s">
        <v>3559</v>
      </c>
      <c r="G452" s="2915">
        <v>61.41</v>
      </c>
      <c r="H452" s="2915">
        <f t="shared" si="7"/>
        <v>10.78</v>
      </c>
      <c r="Q452" s="3004">
        <v>448</v>
      </c>
      <c r="R452" s="2999" t="s">
        <v>5095</v>
      </c>
      <c r="S452" s="3000">
        <v>61.41</v>
      </c>
      <c r="T452" s="3000">
        <v>1</v>
      </c>
      <c r="U452" s="3000">
        <v>17260</v>
      </c>
      <c r="V452" s="3000">
        <v>106</v>
      </c>
    </row>
    <row r="453" spans="4:22" ht="14.25" thickBot="1">
      <c r="D453" s="2915">
        <v>449</v>
      </c>
      <c r="E453" s="2915"/>
      <c r="F453" s="2914" t="s">
        <v>3560</v>
      </c>
      <c r="G453" s="2915">
        <v>61.41</v>
      </c>
      <c r="H453" s="2915">
        <f t="shared" si="7"/>
        <v>10.78</v>
      </c>
      <c r="Q453" s="3004">
        <v>449</v>
      </c>
      <c r="R453" s="2999" t="s">
        <v>5096</v>
      </c>
      <c r="S453" s="3000">
        <v>61.41</v>
      </c>
      <c r="T453" s="3000">
        <v>1</v>
      </c>
      <c r="U453" s="3000">
        <v>17260</v>
      </c>
      <c r="V453" s="3000">
        <v>106</v>
      </c>
    </row>
    <row r="454" spans="4:22" ht="14.25" thickBot="1">
      <c r="D454" s="2915">
        <v>450</v>
      </c>
      <c r="E454" s="2915"/>
      <c r="F454" s="2914" t="s">
        <v>3561</v>
      </c>
      <c r="G454" s="2915">
        <v>61.41</v>
      </c>
      <c r="H454" s="2915">
        <f t="shared" ref="H454:H517" si="8">ROUND(G454/$N$7*$M$7,2)</f>
        <v>10.78</v>
      </c>
      <c r="Q454" s="3004">
        <v>450</v>
      </c>
      <c r="R454" s="2999" t="s">
        <v>5097</v>
      </c>
      <c r="S454" s="3000">
        <v>61.41</v>
      </c>
      <c r="T454" s="3000">
        <v>1</v>
      </c>
      <c r="U454" s="3000">
        <v>17260</v>
      </c>
      <c r="V454" s="3000">
        <v>106</v>
      </c>
    </row>
    <row r="455" spans="4:22" ht="14.25" thickBot="1">
      <c r="D455" s="2915">
        <v>451</v>
      </c>
      <c r="E455" s="2915"/>
      <c r="F455" s="2914" t="s">
        <v>3562</v>
      </c>
      <c r="G455" s="2915">
        <v>61.41</v>
      </c>
      <c r="H455" s="2915">
        <f t="shared" si="8"/>
        <v>10.78</v>
      </c>
      <c r="Q455" s="3004">
        <v>451</v>
      </c>
      <c r="R455" s="2999" t="s">
        <v>5098</v>
      </c>
      <c r="S455" s="3000">
        <v>61.41</v>
      </c>
      <c r="T455" s="3000">
        <v>1</v>
      </c>
      <c r="U455" s="3000">
        <v>17260</v>
      </c>
      <c r="V455" s="3000">
        <v>106</v>
      </c>
    </row>
    <row r="456" spans="4:22" ht="14.25" thickBot="1">
      <c r="D456" s="2915">
        <v>452</v>
      </c>
      <c r="E456" s="2915"/>
      <c r="F456" s="2914" t="s">
        <v>3563</v>
      </c>
      <c r="G456" s="2915">
        <v>61.41</v>
      </c>
      <c r="H456" s="2915">
        <f t="shared" si="8"/>
        <v>10.78</v>
      </c>
      <c r="Q456" s="3004">
        <v>452</v>
      </c>
      <c r="R456" s="2999" t="s">
        <v>5099</v>
      </c>
      <c r="S456" s="3000">
        <v>61.41</v>
      </c>
      <c r="T456" s="3000">
        <v>1</v>
      </c>
      <c r="U456" s="3000">
        <v>17260</v>
      </c>
      <c r="V456" s="3000">
        <v>106</v>
      </c>
    </row>
    <row r="457" spans="4:22" ht="14.25" thickBot="1">
      <c r="D457" s="2915">
        <v>453</v>
      </c>
      <c r="E457" s="2915"/>
      <c r="F457" s="2914" t="s">
        <v>3564</v>
      </c>
      <c r="G457" s="2915">
        <v>72.87</v>
      </c>
      <c r="H457" s="2915">
        <f t="shared" si="8"/>
        <v>12.8</v>
      </c>
      <c r="Q457" s="3004">
        <v>453</v>
      </c>
      <c r="R457" s="2999" t="s">
        <v>5100</v>
      </c>
      <c r="S457" s="3000">
        <v>72.87</v>
      </c>
      <c r="T457" s="3000">
        <v>1</v>
      </c>
      <c r="U457" s="3000">
        <v>17260</v>
      </c>
      <c r="V457" s="3000">
        <v>126</v>
      </c>
    </row>
    <row r="458" spans="4:22" ht="14.25" thickBot="1">
      <c r="D458" s="2915">
        <v>454</v>
      </c>
      <c r="E458" s="2915"/>
      <c r="F458" s="2914" t="s">
        <v>3565</v>
      </c>
      <c r="G458" s="2915">
        <v>81.069999999999993</v>
      </c>
      <c r="H458" s="2915">
        <f t="shared" si="8"/>
        <v>14.24</v>
      </c>
      <c r="Q458" s="3004">
        <v>454</v>
      </c>
      <c r="R458" s="2999" t="s">
        <v>5101</v>
      </c>
      <c r="S458" s="3000">
        <v>81.069999999999993</v>
      </c>
      <c r="T458" s="3000">
        <v>1</v>
      </c>
      <c r="U458" s="3000">
        <v>17260</v>
      </c>
      <c r="V458" s="3000">
        <v>140</v>
      </c>
    </row>
    <row r="459" spans="4:22" ht="14.25" thickBot="1">
      <c r="D459" s="2915">
        <v>455</v>
      </c>
      <c r="E459" s="2915"/>
      <c r="F459" s="2914" t="s">
        <v>3566</v>
      </c>
      <c r="G459" s="2915">
        <v>61.41</v>
      </c>
      <c r="H459" s="2915">
        <f t="shared" si="8"/>
        <v>10.78</v>
      </c>
      <c r="Q459" s="3004">
        <v>455</v>
      </c>
      <c r="R459" s="2999" t="s">
        <v>5102</v>
      </c>
      <c r="S459" s="3000">
        <v>61.41</v>
      </c>
      <c r="T459" s="3000">
        <v>1</v>
      </c>
      <c r="U459" s="3000">
        <v>17260</v>
      </c>
      <c r="V459" s="3000">
        <v>106</v>
      </c>
    </row>
    <row r="460" spans="4:22" ht="14.25" thickBot="1">
      <c r="D460" s="2915">
        <v>456</v>
      </c>
      <c r="E460" s="2915"/>
      <c r="F460" s="2914" t="s">
        <v>3567</v>
      </c>
      <c r="G460" s="2915">
        <v>54.6</v>
      </c>
      <c r="H460" s="2915">
        <f t="shared" si="8"/>
        <v>9.59</v>
      </c>
      <c r="Q460" s="3004">
        <v>456</v>
      </c>
      <c r="R460" s="2999" t="s">
        <v>5103</v>
      </c>
      <c r="S460" s="3000">
        <v>54.6</v>
      </c>
      <c r="T460" s="3000">
        <v>1</v>
      </c>
      <c r="U460" s="3000">
        <v>17260</v>
      </c>
      <c r="V460" s="3000">
        <v>94</v>
      </c>
    </row>
    <row r="461" spans="4:22" ht="14.25" thickBot="1">
      <c r="D461" s="2915">
        <v>457</v>
      </c>
      <c r="E461" s="2915"/>
      <c r="F461" s="2914" t="s">
        <v>3568</v>
      </c>
      <c r="G461" s="2915">
        <v>71.23</v>
      </c>
      <c r="H461" s="2915">
        <f t="shared" si="8"/>
        <v>12.51</v>
      </c>
      <c r="Q461" s="3004">
        <v>457</v>
      </c>
      <c r="R461" s="2999" t="s">
        <v>5104</v>
      </c>
      <c r="S461" s="3000">
        <v>71.23</v>
      </c>
      <c r="T461" s="3000">
        <v>1</v>
      </c>
      <c r="U461" s="3000">
        <v>17260</v>
      </c>
      <c r="V461" s="3000">
        <v>123</v>
      </c>
    </row>
    <row r="462" spans="4:22" ht="14.25" thickBot="1">
      <c r="D462" s="2915">
        <v>458</v>
      </c>
      <c r="E462" s="2915"/>
      <c r="F462" s="2914" t="s">
        <v>3569</v>
      </c>
      <c r="G462" s="2915">
        <v>61.41</v>
      </c>
      <c r="H462" s="2915">
        <f t="shared" si="8"/>
        <v>10.78</v>
      </c>
      <c r="Q462" s="3004">
        <v>458</v>
      </c>
      <c r="R462" s="2999" t="s">
        <v>5105</v>
      </c>
      <c r="S462" s="3000">
        <v>61.41</v>
      </c>
      <c r="T462" s="3000">
        <v>1</v>
      </c>
      <c r="U462" s="3000">
        <v>17260</v>
      </c>
      <c r="V462" s="3000">
        <v>106</v>
      </c>
    </row>
    <row r="463" spans="4:22" ht="14.25" thickBot="1">
      <c r="D463" s="2915">
        <v>459</v>
      </c>
      <c r="E463" s="2915"/>
      <c r="F463" s="2914" t="s">
        <v>3570</v>
      </c>
      <c r="G463" s="2915">
        <v>61.41</v>
      </c>
      <c r="H463" s="2915">
        <f t="shared" si="8"/>
        <v>10.78</v>
      </c>
      <c r="Q463" s="3004">
        <v>459</v>
      </c>
      <c r="R463" s="2999" t="s">
        <v>5106</v>
      </c>
      <c r="S463" s="3000">
        <v>61.41</v>
      </c>
      <c r="T463" s="3000">
        <v>1</v>
      </c>
      <c r="U463" s="3000">
        <v>17260</v>
      </c>
      <c r="V463" s="3000">
        <v>106</v>
      </c>
    </row>
    <row r="464" spans="4:22" ht="14.25" thickBot="1">
      <c r="D464" s="2915">
        <v>460</v>
      </c>
      <c r="E464" s="2915"/>
      <c r="F464" s="2914" t="s">
        <v>3571</v>
      </c>
      <c r="G464" s="2915">
        <v>61.41</v>
      </c>
      <c r="H464" s="2915">
        <f t="shared" si="8"/>
        <v>10.78</v>
      </c>
      <c r="Q464" s="3004">
        <v>460</v>
      </c>
      <c r="R464" s="2999" t="s">
        <v>5107</v>
      </c>
      <c r="S464" s="3000">
        <v>61.41</v>
      </c>
      <c r="T464" s="3000">
        <v>1</v>
      </c>
      <c r="U464" s="3000">
        <v>17260</v>
      </c>
      <c r="V464" s="3000">
        <v>106</v>
      </c>
    </row>
    <row r="465" spans="4:22" ht="14.25" thickBot="1">
      <c r="D465" s="2915">
        <v>461</v>
      </c>
      <c r="E465" s="2915"/>
      <c r="F465" s="2914" t="s">
        <v>3572</v>
      </c>
      <c r="G465" s="2915">
        <v>61.88</v>
      </c>
      <c r="H465" s="2915">
        <f t="shared" si="8"/>
        <v>10.87</v>
      </c>
      <c r="Q465" s="3004">
        <v>461</v>
      </c>
      <c r="R465" s="2999" t="s">
        <v>5108</v>
      </c>
      <c r="S465" s="3000">
        <v>61.88</v>
      </c>
      <c r="T465" s="3000">
        <v>1</v>
      </c>
      <c r="U465" s="3000">
        <v>17260</v>
      </c>
      <c r="V465" s="3000">
        <v>107</v>
      </c>
    </row>
    <row r="466" spans="4:22" ht="14.25" thickBot="1">
      <c r="D466" s="2915">
        <v>462</v>
      </c>
      <c r="E466" s="2915"/>
      <c r="F466" s="2914" t="s">
        <v>3573</v>
      </c>
      <c r="G466" s="2915">
        <v>58.8</v>
      </c>
      <c r="H466" s="2915">
        <f t="shared" si="8"/>
        <v>10.32</v>
      </c>
      <c r="Q466" s="3004">
        <v>462</v>
      </c>
      <c r="R466" s="2999" t="s">
        <v>5109</v>
      </c>
      <c r="S466" s="3000">
        <v>58.8</v>
      </c>
      <c r="T466" s="3000">
        <v>1</v>
      </c>
      <c r="U466" s="3000">
        <v>17260</v>
      </c>
      <c r="V466" s="3000">
        <v>101</v>
      </c>
    </row>
    <row r="467" spans="4:22" ht="14.25" thickBot="1">
      <c r="D467" s="2915">
        <v>463</v>
      </c>
      <c r="E467" s="2915"/>
      <c r="F467" s="2914" t="s">
        <v>3574</v>
      </c>
      <c r="G467" s="2915">
        <v>60.21</v>
      </c>
      <c r="H467" s="2915">
        <f t="shared" si="8"/>
        <v>10.57</v>
      </c>
      <c r="Q467" s="3004">
        <v>463</v>
      </c>
      <c r="R467" s="2999" t="s">
        <v>5110</v>
      </c>
      <c r="S467" s="3000">
        <v>60.21</v>
      </c>
      <c r="T467" s="3000">
        <v>1</v>
      </c>
      <c r="U467" s="3000">
        <v>17260</v>
      </c>
      <c r="V467" s="3000">
        <v>104</v>
      </c>
    </row>
    <row r="468" spans="4:22" ht="14.25" thickBot="1">
      <c r="D468" s="2915">
        <v>464</v>
      </c>
      <c r="E468" s="2915"/>
      <c r="F468" s="2914" t="s">
        <v>3575</v>
      </c>
      <c r="G468" s="2915">
        <v>65.760000000000005</v>
      </c>
      <c r="H468" s="2915">
        <f t="shared" si="8"/>
        <v>11.55</v>
      </c>
      <c r="Q468" s="3004">
        <v>464</v>
      </c>
      <c r="R468" s="2999" t="s">
        <v>5111</v>
      </c>
      <c r="S468" s="3000">
        <v>65.760000000000005</v>
      </c>
      <c r="T468" s="3000">
        <v>1</v>
      </c>
      <c r="U468" s="3000">
        <v>17260</v>
      </c>
      <c r="V468" s="3000">
        <v>114</v>
      </c>
    </row>
    <row r="469" spans="4:22" ht="14.25" thickBot="1">
      <c r="D469" s="2915">
        <v>465</v>
      </c>
      <c r="E469" s="2915"/>
      <c r="F469" s="2914" t="s">
        <v>3576</v>
      </c>
      <c r="G469" s="2915">
        <v>59.41</v>
      </c>
      <c r="H469" s="2915">
        <f t="shared" si="8"/>
        <v>10.43</v>
      </c>
      <c r="Q469" s="3004">
        <v>465</v>
      </c>
      <c r="R469" s="2999" t="s">
        <v>5112</v>
      </c>
      <c r="S469" s="3000">
        <v>59.41</v>
      </c>
      <c r="T469" s="3000">
        <v>1</v>
      </c>
      <c r="U469" s="3000">
        <v>17260</v>
      </c>
      <c r="V469" s="3000">
        <v>103</v>
      </c>
    </row>
    <row r="470" spans="4:22" ht="14.25" thickBot="1">
      <c r="D470" s="2915">
        <v>466</v>
      </c>
      <c r="E470" s="2915"/>
      <c r="F470" s="2914" t="s">
        <v>3577</v>
      </c>
      <c r="G470" s="2915">
        <v>60.69</v>
      </c>
      <c r="H470" s="2915">
        <f t="shared" si="8"/>
        <v>10.66</v>
      </c>
      <c r="Q470" s="3004">
        <v>466</v>
      </c>
      <c r="R470" s="2999" t="s">
        <v>5113</v>
      </c>
      <c r="S470" s="3000">
        <v>60.69</v>
      </c>
      <c r="T470" s="3000">
        <v>1</v>
      </c>
      <c r="U470" s="3000">
        <v>17260</v>
      </c>
      <c r="V470" s="3000">
        <v>105</v>
      </c>
    </row>
    <row r="471" spans="4:22" ht="14.25" thickBot="1">
      <c r="D471" s="2915">
        <v>467</v>
      </c>
      <c r="E471" s="2915"/>
      <c r="F471" s="2914" t="s">
        <v>3578</v>
      </c>
      <c r="G471" s="2915">
        <v>60.69</v>
      </c>
      <c r="H471" s="2915">
        <f t="shared" si="8"/>
        <v>10.66</v>
      </c>
      <c r="Q471" s="3004">
        <v>467</v>
      </c>
      <c r="R471" s="2999" t="s">
        <v>5114</v>
      </c>
      <c r="S471" s="3000">
        <v>60.69</v>
      </c>
      <c r="T471" s="3000">
        <v>1</v>
      </c>
      <c r="U471" s="3000">
        <v>17260</v>
      </c>
      <c r="V471" s="3000">
        <v>105</v>
      </c>
    </row>
    <row r="472" spans="4:22" ht="14.25" thickBot="1">
      <c r="D472" s="2915">
        <v>468</v>
      </c>
      <c r="E472" s="2915"/>
      <c r="F472" s="2914" t="s">
        <v>3579</v>
      </c>
      <c r="G472" s="2915">
        <v>60.69</v>
      </c>
      <c r="H472" s="2915">
        <f t="shared" si="8"/>
        <v>10.66</v>
      </c>
      <c r="Q472" s="3004">
        <v>468</v>
      </c>
      <c r="R472" s="2999" t="s">
        <v>5115</v>
      </c>
      <c r="S472" s="3000">
        <v>60.69</v>
      </c>
      <c r="T472" s="3000">
        <v>1</v>
      </c>
      <c r="U472" s="3000">
        <v>17260</v>
      </c>
      <c r="V472" s="3000">
        <v>105</v>
      </c>
    </row>
    <row r="473" spans="4:22" ht="14.25" thickBot="1">
      <c r="D473" s="2915">
        <v>469</v>
      </c>
      <c r="E473" s="2915"/>
      <c r="F473" s="2914" t="s">
        <v>3580</v>
      </c>
      <c r="G473" s="2915">
        <v>60.69</v>
      </c>
      <c r="H473" s="2915">
        <f t="shared" si="8"/>
        <v>10.66</v>
      </c>
      <c r="Q473" s="3004">
        <v>469</v>
      </c>
      <c r="R473" s="2999" t="s">
        <v>5116</v>
      </c>
      <c r="S473" s="3000">
        <v>60.69</v>
      </c>
      <c r="T473" s="3000">
        <v>1</v>
      </c>
      <c r="U473" s="3000">
        <v>17260</v>
      </c>
      <c r="V473" s="3000">
        <v>105</v>
      </c>
    </row>
    <row r="474" spans="4:22" ht="14.25" thickBot="1">
      <c r="D474" s="2915">
        <v>470</v>
      </c>
      <c r="E474" s="2915"/>
      <c r="F474" s="2914" t="s">
        <v>3581</v>
      </c>
      <c r="G474" s="2915">
        <v>60.69</v>
      </c>
      <c r="H474" s="2915">
        <f t="shared" si="8"/>
        <v>10.66</v>
      </c>
      <c r="Q474" s="3004">
        <v>470</v>
      </c>
      <c r="R474" s="2999" t="s">
        <v>5117</v>
      </c>
      <c r="S474" s="3000">
        <v>60.69</v>
      </c>
      <c r="T474" s="3000">
        <v>1</v>
      </c>
      <c r="U474" s="3000">
        <v>17260</v>
      </c>
      <c r="V474" s="3000">
        <v>105</v>
      </c>
    </row>
    <row r="475" spans="4:22" ht="14.25" thickBot="1">
      <c r="D475" s="2915">
        <v>471</v>
      </c>
      <c r="E475" s="2915"/>
      <c r="F475" s="2914" t="s">
        <v>3582</v>
      </c>
      <c r="G475" s="2915">
        <v>60.69</v>
      </c>
      <c r="H475" s="2915">
        <f t="shared" si="8"/>
        <v>10.66</v>
      </c>
      <c r="Q475" s="3004">
        <v>471</v>
      </c>
      <c r="R475" s="2999" t="s">
        <v>5118</v>
      </c>
      <c r="S475" s="3000">
        <v>60.69</v>
      </c>
      <c r="T475" s="3000">
        <v>1</v>
      </c>
      <c r="U475" s="3000">
        <v>17260</v>
      </c>
      <c r="V475" s="3000">
        <v>105</v>
      </c>
    </row>
    <row r="476" spans="4:22" ht="14.25" thickBot="1">
      <c r="D476" s="2915">
        <v>472</v>
      </c>
      <c r="E476" s="2915"/>
      <c r="F476" s="2914" t="s">
        <v>3583</v>
      </c>
      <c r="G476" s="2915">
        <v>60.69</v>
      </c>
      <c r="H476" s="2915">
        <f t="shared" si="8"/>
        <v>10.66</v>
      </c>
      <c r="Q476" s="3004">
        <v>472</v>
      </c>
      <c r="R476" s="2999" t="s">
        <v>5119</v>
      </c>
      <c r="S476" s="3000">
        <v>60.69</v>
      </c>
      <c r="T476" s="3000">
        <v>1</v>
      </c>
      <c r="U476" s="3000">
        <v>17260</v>
      </c>
      <c r="V476" s="3000">
        <v>105</v>
      </c>
    </row>
    <row r="477" spans="4:22" ht="14.25" thickBot="1">
      <c r="D477" s="2915">
        <v>473</v>
      </c>
      <c r="E477" s="2915"/>
      <c r="F477" s="2914" t="s">
        <v>3584</v>
      </c>
      <c r="G477" s="2915">
        <v>60.69</v>
      </c>
      <c r="H477" s="2915">
        <f t="shared" si="8"/>
        <v>10.66</v>
      </c>
      <c r="Q477" s="3004">
        <v>473</v>
      </c>
      <c r="R477" s="2999" t="s">
        <v>5120</v>
      </c>
      <c r="S477" s="3000">
        <v>60.69</v>
      </c>
      <c r="T477" s="3000">
        <v>1</v>
      </c>
      <c r="U477" s="3000">
        <v>17260</v>
      </c>
      <c r="V477" s="3000">
        <v>105</v>
      </c>
    </row>
    <row r="478" spans="4:22" ht="14.25" thickBot="1">
      <c r="D478" s="2915">
        <v>474</v>
      </c>
      <c r="E478" s="2915"/>
      <c r="F478" s="2914" t="s">
        <v>3585</v>
      </c>
      <c r="G478" s="2915">
        <v>60.69</v>
      </c>
      <c r="H478" s="2915">
        <f t="shared" si="8"/>
        <v>10.66</v>
      </c>
      <c r="Q478" s="3004">
        <v>474</v>
      </c>
      <c r="R478" s="2999" t="s">
        <v>5121</v>
      </c>
      <c r="S478" s="3000">
        <v>60.69</v>
      </c>
      <c r="T478" s="3000">
        <v>1</v>
      </c>
      <c r="U478" s="3000">
        <v>17260</v>
      </c>
      <c r="V478" s="3000">
        <v>105</v>
      </c>
    </row>
    <row r="479" spans="4:22" ht="14.25" thickBot="1">
      <c r="D479" s="2915">
        <v>475</v>
      </c>
      <c r="E479" s="2915"/>
      <c r="F479" s="2914" t="s">
        <v>3586</v>
      </c>
      <c r="G479" s="2915">
        <v>54.3</v>
      </c>
      <c r="H479" s="2915">
        <f t="shared" si="8"/>
        <v>9.5299999999999994</v>
      </c>
      <c r="Q479" s="3004">
        <v>475</v>
      </c>
      <c r="R479" s="2999" t="s">
        <v>5122</v>
      </c>
      <c r="S479" s="3000">
        <v>54.3</v>
      </c>
      <c r="T479" s="3000">
        <v>1</v>
      </c>
      <c r="U479" s="3000">
        <v>17260</v>
      </c>
      <c r="V479" s="3000">
        <v>94</v>
      </c>
    </row>
    <row r="480" spans="4:22" ht="14.25" thickBot="1">
      <c r="D480" s="2915">
        <v>476</v>
      </c>
      <c r="E480" s="2915"/>
      <c r="F480" s="2914" t="s">
        <v>3587</v>
      </c>
      <c r="G480" s="2915">
        <v>60.68</v>
      </c>
      <c r="H480" s="2915">
        <f t="shared" si="8"/>
        <v>10.65</v>
      </c>
      <c r="Q480" s="3004">
        <v>476</v>
      </c>
      <c r="R480" s="2999" t="s">
        <v>5123</v>
      </c>
      <c r="S480" s="3000">
        <v>60.68</v>
      </c>
      <c r="T480" s="3000">
        <v>1</v>
      </c>
      <c r="U480" s="3000">
        <v>17260</v>
      </c>
      <c r="V480" s="3000">
        <v>105</v>
      </c>
    </row>
    <row r="481" spans="4:22" ht="14.25" thickBot="1">
      <c r="D481" s="2915">
        <v>477</v>
      </c>
      <c r="E481" s="2915"/>
      <c r="F481" s="2914" t="s">
        <v>3588</v>
      </c>
      <c r="G481" s="2915">
        <v>80.459999999999994</v>
      </c>
      <c r="H481" s="2915">
        <f t="shared" si="8"/>
        <v>14.13</v>
      </c>
      <c r="Q481" s="3004">
        <v>477</v>
      </c>
      <c r="R481" s="2999" t="s">
        <v>5124</v>
      </c>
      <c r="S481" s="3000">
        <v>80.459999999999994</v>
      </c>
      <c r="T481" s="3000">
        <v>1</v>
      </c>
      <c r="U481" s="3000">
        <v>17260</v>
      </c>
      <c r="V481" s="3000">
        <v>139</v>
      </c>
    </row>
    <row r="482" spans="4:22" ht="14.25" thickBot="1">
      <c r="D482" s="2915">
        <v>478</v>
      </c>
      <c r="E482" s="2915"/>
      <c r="F482" s="2914" t="s">
        <v>3589</v>
      </c>
      <c r="G482" s="2915">
        <v>80.45</v>
      </c>
      <c r="H482" s="2915">
        <f t="shared" si="8"/>
        <v>14.13</v>
      </c>
      <c r="Q482" s="3004">
        <v>478</v>
      </c>
      <c r="R482" s="2999" t="s">
        <v>5125</v>
      </c>
      <c r="S482" s="3000">
        <v>80.45</v>
      </c>
      <c r="T482" s="3000">
        <v>1</v>
      </c>
      <c r="U482" s="3000">
        <v>17260</v>
      </c>
      <c r="V482" s="3000">
        <v>139</v>
      </c>
    </row>
    <row r="483" spans="4:22" ht="14.25" thickBot="1">
      <c r="D483" s="2915">
        <v>479</v>
      </c>
      <c r="E483" s="2915"/>
      <c r="F483" s="2914" t="s">
        <v>3590</v>
      </c>
      <c r="G483" s="2915">
        <v>60.69</v>
      </c>
      <c r="H483" s="2915">
        <f t="shared" si="8"/>
        <v>10.66</v>
      </c>
      <c r="Q483" s="3004">
        <v>479</v>
      </c>
      <c r="R483" s="2999" t="s">
        <v>5126</v>
      </c>
      <c r="S483" s="3000">
        <v>60.69</v>
      </c>
      <c r="T483" s="3000">
        <v>1</v>
      </c>
      <c r="U483" s="3000">
        <v>17260</v>
      </c>
      <c r="V483" s="3000">
        <v>105</v>
      </c>
    </row>
    <row r="484" spans="4:22" ht="14.25" thickBot="1">
      <c r="D484" s="2915">
        <v>480</v>
      </c>
      <c r="E484" s="2915"/>
      <c r="F484" s="2914" t="s">
        <v>3591</v>
      </c>
      <c r="G484" s="2915">
        <v>60.69</v>
      </c>
      <c r="H484" s="2915">
        <f t="shared" si="8"/>
        <v>10.66</v>
      </c>
      <c r="Q484" s="3004">
        <v>480</v>
      </c>
      <c r="R484" s="2999" t="s">
        <v>5127</v>
      </c>
      <c r="S484" s="3000">
        <v>60.69</v>
      </c>
      <c r="T484" s="3000">
        <v>1</v>
      </c>
      <c r="U484" s="3000">
        <v>17260</v>
      </c>
      <c r="V484" s="3000">
        <v>105</v>
      </c>
    </row>
    <row r="485" spans="4:22" ht="14.25" thickBot="1">
      <c r="D485" s="2915">
        <v>481</v>
      </c>
      <c r="E485" s="2915"/>
      <c r="F485" s="2914" t="s">
        <v>3592</v>
      </c>
      <c r="G485" s="2915">
        <v>60.68</v>
      </c>
      <c r="H485" s="2915">
        <f t="shared" si="8"/>
        <v>10.65</v>
      </c>
      <c r="Q485" s="3004">
        <v>481</v>
      </c>
      <c r="R485" s="2999" t="s">
        <v>5128</v>
      </c>
      <c r="S485" s="3000">
        <v>60.68</v>
      </c>
      <c r="T485" s="3000">
        <v>1</v>
      </c>
      <c r="U485" s="3000">
        <v>17260</v>
      </c>
      <c r="V485" s="3000">
        <v>105</v>
      </c>
    </row>
    <row r="486" spans="4:22" ht="14.25" thickBot="1">
      <c r="D486" s="2915">
        <v>482</v>
      </c>
      <c r="E486" s="2915"/>
      <c r="F486" s="2914" t="s">
        <v>3593</v>
      </c>
      <c r="G486" s="2915">
        <v>60.69</v>
      </c>
      <c r="H486" s="2915">
        <f t="shared" si="8"/>
        <v>10.66</v>
      </c>
      <c r="Q486" s="3004">
        <v>482</v>
      </c>
      <c r="R486" s="2999" t="s">
        <v>5129</v>
      </c>
      <c r="S486" s="3000">
        <v>60.69</v>
      </c>
      <c r="T486" s="3000">
        <v>1</v>
      </c>
      <c r="U486" s="3000">
        <v>17260</v>
      </c>
      <c r="V486" s="3000">
        <v>105</v>
      </c>
    </row>
    <row r="487" spans="4:22" ht="14.25" thickBot="1">
      <c r="D487" s="2915">
        <v>483</v>
      </c>
      <c r="E487" s="2915"/>
      <c r="F487" s="2914" t="s">
        <v>3594</v>
      </c>
      <c r="G487" s="2915">
        <v>60.69</v>
      </c>
      <c r="H487" s="2915">
        <f t="shared" si="8"/>
        <v>10.66</v>
      </c>
      <c r="Q487" s="3004">
        <v>483</v>
      </c>
      <c r="R487" s="2999" t="s">
        <v>5130</v>
      </c>
      <c r="S487" s="3000">
        <v>60.69</v>
      </c>
      <c r="T487" s="3000">
        <v>1</v>
      </c>
      <c r="U487" s="3000">
        <v>17260</v>
      </c>
      <c r="V487" s="3000">
        <v>105</v>
      </c>
    </row>
    <row r="488" spans="4:22" ht="14.25" thickBot="1">
      <c r="D488" s="2915">
        <v>484</v>
      </c>
      <c r="E488" s="2915"/>
      <c r="F488" s="2914" t="s">
        <v>3595</v>
      </c>
      <c r="G488" s="2915">
        <v>60.69</v>
      </c>
      <c r="H488" s="2915">
        <f t="shared" si="8"/>
        <v>10.66</v>
      </c>
      <c r="Q488" s="3004">
        <v>484</v>
      </c>
      <c r="R488" s="2999" t="s">
        <v>5131</v>
      </c>
      <c r="S488" s="3000">
        <v>60.69</v>
      </c>
      <c r="T488" s="3000">
        <v>1</v>
      </c>
      <c r="U488" s="3000">
        <v>17260</v>
      </c>
      <c r="V488" s="3000">
        <v>105</v>
      </c>
    </row>
    <row r="489" spans="4:22" ht="14.25" thickBot="1">
      <c r="D489" s="2915">
        <v>485</v>
      </c>
      <c r="E489" s="2915"/>
      <c r="F489" s="2914" t="s">
        <v>3596</v>
      </c>
      <c r="G489" s="2915">
        <v>60.69</v>
      </c>
      <c r="H489" s="2915">
        <f t="shared" si="8"/>
        <v>10.66</v>
      </c>
      <c r="Q489" s="3004">
        <v>485</v>
      </c>
      <c r="R489" s="2999" t="s">
        <v>5132</v>
      </c>
      <c r="S489" s="3000">
        <v>60.69</v>
      </c>
      <c r="T489" s="3000">
        <v>1</v>
      </c>
      <c r="U489" s="3000">
        <v>17260</v>
      </c>
      <c r="V489" s="3000">
        <v>105</v>
      </c>
    </row>
    <row r="490" spans="4:22" ht="14.25" thickBot="1">
      <c r="D490" s="2915">
        <v>486</v>
      </c>
      <c r="E490" s="2915"/>
      <c r="F490" s="2914" t="s">
        <v>3597</v>
      </c>
      <c r="G490" s="2915">
        <v>60.69</v>
      </c>
      <c r="H490" s="2915">
        <f t="shared" si="8"/>
        <v>10.66</v>
      </c>
      <c r="Q490" s="3004">
        <v>486</v>
      </c>
      <c r="R490" s="2999" t="s">
        <v>5133</v>
      </c>
      <c r="S490" s="3000">
        <v>60.69</v>
      </c>
      <c r="T490" s="3000">
        <v>1</v>
      </c>
      <c r="U490" s="3000">
        <v>17260</v>
      </c>
      <c r="V490" s="3000">
        <v>105</v>
      </c>
    </row>
    <row r="491" spans="4:22" ht="14.25" thickBot="1">
      <c r="D491" s="2915">
        <v>487</v>
      </c>
      <c r="E491" s="2915"/>
      <c r="F491" s="2914" t="s">
        <v>3598</v>
      </c>
      <c r="G491" s="2915">
        <v>60.69</v>
      </c>
      <c r="H491" s="2915">
        <f t="shared" si="8"/>
        <v>10.66</v>
      </c>
      <c r="Q491" s="3004">
        <v>487</v>
      </c>
      <c r="R491" s="2999" t="s">
        <v>5134</v>
      </c>
      <c r="S491" s="3000">
        <v>60.69</v>
      </c>
      <c r="T491" s="3000">
        <v>1</v>
      </c>
      <c r="U491" s="3000">
        <v>17260</v>
      </c>
      <c r="V491" s="3000">
        <v>105</v>
      </c>
    </row>
    <row r="492" spans="4:22" ht="14.25" thickBot="1">
      <c r="D492" s="2915">
        <v>488</v>
      </c>
      <c r="E492" s="2915"/>
      <c r="F492" s="2914" t="s">
        <v>3599</v>
      </c>
      <c r="G492" s="2915">
        <v>60.69</v>
      </c>
      <c r="H492" s="2915">
        <f t="shared" si="8"/>
        <v>10.66</v>
      </c>
      <c r="Q492" s="3004">
        <v>488</v>
      </c>
      <c r="R492" s="2999" t="s">
        <v>5135</v>
      </c>
      <c r="S492" s="3000">
        <v>60.69</v>
      </c>
      <c r="T492" s="3000">
        <v>1</v>
      </c>
      <c r="U492" s="3000">
        <v>17260</v>
      </c>
      <c r="V492" s="3000">
        <v>105</v>
      </c>
    </row>
    <row r="493" spans="4:22" ht="14.25" thickBot="1">
      <c r="D493" s="2915">
        <v>489</v>
      </c>
      <c r="E493" s="2915"/>
      <c r="F493" s="2914" t="s">
        <v>3600</v>
      </c>
      <c r="G493" s="2915">
        <v>60.69</v>
      </c>
      <c r="H493" s="2915">
        <f t="shared" si="8"/>
        <v>10.66</v>
      </c>
      <c r="Q493" s="3004">
        <v>489</v>
      </c>
      <c r="R493" s="2999" t="s">
        <v>5136</v>
      </c>
      <c r="S493" s="3000">
        <v>60.69</v>
      </c>
      <c r="T493" s="3000">
        <v>1</v>
      </c>
      <c r="U493" s="3000">
        <v>17260</v>
      </c>
      <c r="V493" s="3000">
        <v>105</v>
      </c>
    </row>
    <row r="494" spans="4:22" ht="14.25" thickBot="1">
      <c r="D494" s="2915">
        <v>490</v>
      </c>
      <c r="E494" s="2915"/>
      <c r="F494" s="2914" t="s">
        <v>3601</v>
      </c>
      <c r="G494" s="2915">
        <v>104.53</v>
      </c>
      <c r="H494" s="2915">
        <f t="shared" si="8"/>
        <v>18.350000000000001</v>
      </c>
      <c r="Q494" s="3004">
        <v>490</v>
      </c>
      <c r="R494" s="2999" t="s">
        <v>5137</v>
      </c>
      <c r="S494" s="3000">
        <v>104.53</v>
      </c>
      <c r="T494" s="3000">
        <v>0.99</v>
      </c>
      <c r="U494" s="3000">
        <v>17087</v>
      </c>
      <c r="V494" s="3000">
        <v>179</v>
      </c>
    </row>
    <row r="495" spans="4:22" ht="14.25" thickBot="1">
      <c r="D495" s="2915">
        <v>491</v>
      </c>
      <c r="E495" s="2915"/>
      <c r="F495" s="2914" t="s">
        <v>3602</v>
      </c>
      <c r="G495" s="2915">
        <v>55.78</v>
      </c>
      <c r="H495" s="2915">
        <f t="shared" si="8"/>
        <v>9.7899999999999991</v>
      </c>
      <c r="Q495" s="3004">
        <v>491</v>
      </c>
      <c r="R495" s="2999" t="s">
        <v>5138</v>
      </c>
      <c r="S495" s="3000">
        <v>55.78</v>
      </c>
      <c r="T495" s="3000">
        <v>1</v>
      </c>
      <c r="U495" s="3000">
        <v>17260</v>
      </c>
      <c r="V495" s="3000">
        <v>96</v>
      </c>
    </row>
    <row r="496" spans="4:22" ht="17.25" customHeight="1" thickBot="1">
      <c r="D496" s="2915">
        <v>492</v>
      </c>
      <c r="E496" s="2915"/>
      <c r="F496" s="2914" t="s">
        <v>3603</v>
      </c>
      <c r="G496" s="2915">
        <v>48.86</v>
      </c>
      <c r="H496" s="2915">
        <f t="shared" si="8"/>
        <v>8.58</v>
      </c>
      <c r="Q496" s="3004">
        <v>492</v>
      </c>
      <c r="R496" s="2999" t="s">
        <v>5139</v>
      </c>
      <c r="S496" s="3000">
        <v>48.86</v>
      </c>
      <c r="T496" s="3000">
        <v>1</v>
      </c>
      <c r="U496" s="3000">
        <v>17260</v>
      </c>
      <c r="V496" s="3000">
        <v>84</v>
      </c>
    </row>
    <row r="497" spans="4:22" ht="14.25" thickBot="1">
      <c r="D497" s="2915">
        <v>493</v>
      </c>
      <c r="E497" s="2915"/>
      <c r="F497" s="2914" t="s">
        <v>3604</v>
      </c>
      <c r="G497" s="2915">
        <v>48.86</v>
      </c>
      <c r="H497" s="2915">
        <f t="shared" si="8"/>
        <v>8.58</v>
      </c>
      <c r="Q497" s="3004">
        <v>493</v>
      </c>
      <c r="R497" s="2999" t="s">
        <v>5140</v>
      </c>
      <c r="S497" s="3000">
        <v>48.86</v>
      </c>
      <c r="T497" s="3000">
        <v>1</v>
      </c>
      <c r="U497" s="3000">
        <v>17260</v>
      </c>
      <c r="V497" s="3000">
        <v>84</v>
      </c>
    </row>
    <row r="498" spans="4:22" ht="14.25" thickBot="1">
      <c r="D498" s="2915">
        <v>494</v>
      </c>
      <c r="E498" s="2915"/>
      <c r="F498" s="2914" t="s">
        <v>3605</v>
      </c>
      <c r="G498" s="2915">
        <v>48.86</v>
      </c>
      <c r="H498" s="2915">
        <f t="shared" si="8"/>
        <v>8.58</v>
      </c>
      <c r="Q498" s="3004">
        <v>494</v>
      </c>
      <c r="R498" s="2999" t="s">
        <v>5141</v>
      </c>
      <c r="S498" s="3000">
        <v>48.86</v>
      </c>
      <c r="T498" s="3000">
        <v>1</v>
      </c>
      <c r="U498" s="3000">
        <v>17260</v>
      </c>
      <c r="V498" s="3000">
        <v>84</v>
      </c>
    </row>
    <row r="499" spans="4:22" ht="14.25" thickBot="1">
      <c r="D499" s="2915">
        <v>495</v>
      </c>
      <c r="E499" s="2915"/>
      <c r="F499" s="2914" t="s">
        <v>3606</v>
      </c>
      <c r="G499" s="2915">
        <v>54.5</v>
      </c>
      <c r="H499" s="2915">
        <f t="shared" si="8"/>
        <v>9.57</v>
      </c>
      <c r="Q499" s="3004">
        <v>495</v>
      </c>
      <c r="R499" s="2999" t="s">
        <v>5142</v>
      </c>
      <c r="S499" s="3000">
        <v>54.5</v>
      </c>
      <c r="T499" s="3000">
        <v>1</v>
      </c>
      <c r="U499" s="3000">
        <v>17260</v>
      </c>
      <c r="V499" s="3000">
        <v>94</v>
      </c>
    </row>
    <row r="500" spans="4:22" ht="14.25" thickBot="1">
      <c r="D500" s="2915">
        <v>496</v>
      </c>
      <c r="E500" s="2915"/>
      <c r="F500" s="2914" t="s">
        <v>3607</v>
      </c>
      <c r="G500" s="2915">
        <v>64.58</v>
      </c>
      <c r="H500" s="2915">
        <f t="shared" si="8"/>
        <v>11.34</v>
      </c>
      <c r="Q500" s="3004">
        <v>496</v>
      </c>
      <c r="R500" s="2999" t="s">
        <v>5143</v>
      </c>
      <c r="S500" s="3000">
        <v>64.58</v>
      </c>
      <c r="T500" s="3000">
        <v>1</v>
      </c>
      <c r="U500" s="3000">
        <v>17260</v>
      </c>
      <c r="V500" s="3000">
        <v>111</v>
      </c>
    </row>
    <row r="501" spans="4:22" ht="14.25" thickBot="1">
      <c r="D501" s="2915">
        <v>497</v>
      </c>
      <c r="E501" s="2915"/>
      <c r="F501" s="2914" t="s">
        <v>3608</v>
      </c>
      <c r="G501" s="2915">
        <v>45.32</v>
      </c>
      <c r="H501" s="2915">
        <f t="shared" si="8"/>
        <v>7.96</v>
      </c>
      <c r="Q501" s="3004">
        <v>497</v>
      </c>
      <c r="R501" s="2999" t="s">
        <v>5144</v>
      </c>
      <c r="S501" s="3000">
        <v>45.32</v>
      </c>
      <c r="T501" s="3000">
        <v>1</v>
      </c>
      <c r="U501" s="3000">
        <v>17260</v>
      </c>
      <c r="V501" s="3000">
        <v>78</v>
      </c>
    </row>
    <row r="502" spans="4:22" ht="14.25" thickBot="1">
      <c r="D502" s="2915">
        <v>498</v>
      </c>
      <c r="E502" s="2915"/>
      <c r="F502" s="2914" t="s">
        <v>3609</v>
      </c>
      <c r="G502" s="2915">
        <v>45.2</v>
      </c>
      <c r="H502" s="2915">
        <f t="shared" si="8"/>
        <v>7.94</v>
      </c>
      <c r="Q502" s="3004">
        <v>498</v>
      </c>
      <c r="R502" s="2999" t="s">
        <v>5145</v>
      </c>
      <c r="S502" s="3000">
        <v>45.2</v>
      </c>
      <c r="T502" s="3000">
        <v>1</v>
      </c>
      <c r="U502" s="3000">
        <v>17260</v>
      </c>
      <c r="V502" s="3000">
        <v>78</v>
      </c>
    </row>
    <row r="503" spans="4:22" ht="14.25" thickBot="1">
      <c r="D503" s="2915">
        <v>499</v>
      </c>
      <c r="E503" s="2915"/>
      <c r="F503" s="2914" t="s">
        <v>3610</v>
      </c>
      <c r="G503" s="2915">
        <v>45.32</v>
      </c>
      <c r="H503" s="2915">
        <f t="shared" si="8"/>
        <v>7.96</v>
      </c>
      <c r="Q503" s="3004">
        <v>499</v>
      </c>
      <c r="R503" s="2999" t="s">
        <v>5146</v>
      </c>
      <c r="S503" s="3000">
        <v>45.32</v>
      </c>
      <c r="T503" s="3000">
        <v>1</v>
      </c>
      <c r="U503" s="3000">
        <v>17260</v>
      </c>
      <c r="V503" s="3000">
        <v>78</v>
      </c>
    </row>
    <row r="504" spans="4:22" ht="14.25" thickBot="1">
      <c r="D504" s="2915">
        <v>500</v>
      </c>
      <c r="E504" s="2915"/>
      <c r="F504" s="2914" t="s">
        <v>3611</v>
      </c>
      <c r="G504" s="2915">
        <v>45.32</v>
      </c>
      <c r="H504" s="2915">
        <f t="shared" si="8"/>
        <v>7.96</v>
      </c>
      <c r="Q504" s="3004">
        <v>500</v>
      </c>
      <c r="R504" s="2999" t="s">
        <v>5147</v>
      </c>
      <c r="S504" s="3000">
        <v>45.32</v>
      </c>
      <c r="T504" s="3000">
        <v>1</v>
      </c>
      <c r="U504" s="3000">
        <v>17260</v>
      </c>
      <c r="V504" s="3000">
        <v>78</v>
      </c>
    </row>
    <row r="505" spans="4:22" ht="14.25" thickBot="1">
      <c r="D505" s="2915">
        <v>501</v>
      </c>
      <c r="E505" s="2915"/>
      <c r="F505" s="2914" t="s">
        <v>3612</v>
      </c>
      <c r="G505" s="2915">
        <v>48.86</v>
      </c>
      <c r="H505" s="2915">
        <f t="shared" si="8"/>
        <v>8.58</v>
      </c>
      <c r="Q505" s="3004">
        <v>501</v>
      </c>
      <c r="R505" s="2999" t="s">
        <v>5148</v>
      </c>
      <c r="S505" s="3000">
        <v>48.86</v>
      </c>
      <c r="T505" s="3000">
        <v>1</v>
      </c>
      <c r="U505" s="3000">
        <v>17260</v>
      </c>
      <c r="V505" s="3000">
        <v>84</v>
      </c>
    </row>
    <row r="506" spans="4:22" ht="14.25" thickBot="1">
      <c r="D506" s="2915">
        <v>502</v>
      </c>
      <c r="E506" s="2915"/>
      <c r="F506" s="2914" t="s">
        <v>3613</v>
      </c>
      <c r="G506" s="2915">
        <v>44.51</v>
      </c>
      <c r="H506" s="2915">
        <f t="shared" si="8"/>
        <v>7.82</v>
      </c>
      <c r="Q506" s="3004">
        <v>502</v>
      </c>
      <c r="R506" s="2999" t="s">
        <v>5149</v>
      </c>
      <c r="S506" s="3000">
        <v>44.51</v>
      </c>
      <c r="T506" s="3000">
        <v>1</v>
      </c>
      <c r="U506" s="3000">
        <v>17260</v>
      </c>
      <c r="V506" s="3000">
        <v>77</v>
      </c>
    </row>
    <row r="507" spans="4:22" ht="14.25" thickBot="1">
      <c r="D507" s="2915">
        <v>503</v>
      </c>
      <c r="E507" s="2915"/>
      <c r="F507" s="2914" t="s">
        <v>3614</v>
      </c>
      <c r="G507" s="2915">
        <v>54.67</v>
      </c>
      <c r="H507" s="2915">
        <f t="shared" si="8"/>
        <v>9.6</v>
      </c>
      <c r="Q507" s="3004">
        <v>503</v>
      </c>
      <c r="R507" s="2999" t="s">
        <v>5150</v>
      </c>
      <c r="S507" s="3000">
        <v>54.67</v>
      </c>
      <c r="T507" s="3000">
        <v>1</v>
      </c>
      <c r="U507" s="3000">
        <v>17260</v>
      </c>
      <c r="V507" s="3000">
        <v>94</v>
      </c>
    </row>
    <row r="508" spans="4:22" ht="14.25" thickBot="1">
      <c r="D508" s="2915">
        <v>504</v>
      </c>
      <c r="E508" s="2915"/>
      <c r="F508" s="2914" t="s">
        <v>3615</v>
      </c>
      <c r="G508" s="2915">
        <v>48.86</v>
      </c>
      <c r="H508" s="2915">
        <f t="shared" si="8"/>
        <v>8.58</v>
      </c>
      <c r="Q508" s="3004">
        <v>504</v>
      </c>
      <c r="R508" s="2999" t="s">
        <v>5151</v>
      </c>
      <c r="S508" s="3000">
        <v>48.86</v>
      </c>
      <c r="T508" s="3000">
        <v>1</v>
      </c>
      <c r="U508" s="3000">
        <v>17260</v>
      </c>
      <c r="V508" s="3000">
        <v>84</v>
      </c>
    </row>
    <row r="509" spans="4:22" ht="14.25" thickBot="1">
      <c r="D509" s="2915">
        <v>505</v>
      </c>
      <c r="E509" s="2915"/>
      <c r="F509" s="2914" t="s">
        <v>3616</v>
      </c>
      <c r="G509" s="2915">
        <v>48.86</v>
      </c>
      <c r="H509" s="2915">
        <f t="shared" si="8"/>
        <v>8.58</v>
      </c>
      <c r="Q509" s="3004">
        <v>505</v>
      </c>
      <c r="R509" s="2999" t="s">
        <v>5152</v>
      </c>
      <c r="S509" s="3000">
        <v>48.86</v>
      </c>
      <c r="T509" s="3000">
        <v>1</v>
      </c>
      <c r="U509" s="3000">
        <v>17260</v>
      </c>
      <c r="V509" s="3000">
        <v>84</v>
      </c>
    </row>
    <row r="510" spans="4:22" ht="14.25" thickBot="1">
      <c r="D510" s="2915">
        <v>506</v>
      </c>
      <c r="E510" s="2915"/>
      <c r="F510" s="2914" t="s">
        <v>3617</v>
      </c>
      <c r="G510" s="2915">
        <v>48.86</v>
      </c>
      <c r="H510" s="2915">
        <f t="shared" si="8"/>
        <v>8.58</v>
      </c>
      <c r="Q510" s="3004">
        <v>506</v>
      </c>
      <c r="R510" s="2999" t="s">
        <v>5153</v>
      </c>
      <c r="S510" s="3000">
        <v>48.86</v>
      </c>
      <c r="T510" s="3000">
        <v>1</v>
      </c>
      <c r="U510" s="3000">
        <v>17260</v>
      </c>
      <c r="V510" s="3000">
        <v>84</v>
      </c>
    </row>
    <row r="511" spans="4:22" ht="14.25" thickBot="1">
      <c r="D511" s="2915">
        <v>507</v>
      </c>
      <c r="E511" s="2915"/>
      <c r="F511" s="2914" t="s">
        <v>3618</v>
      </c>
      <c r="G511" s="2915">
        <v>54.87</v>
      </c>
      <c r="H511" s="2915">
        <f t="shared" si="8"/>
        <v>9.6300000000000008</v>
      </c>
      <c r="Q511" s="3004">
        <v>507</v>
      </c>
      <c r="R511" s="2999" t="s">
        <v>5154</v>
      </c>
      <c r="S511" s="3000">
        <v>54.87</v>
      </c>
      <c r="T511" s="3000">
        <v>1</v>
      </c>
      <c r="U511" s="3000">
        <v>17260</v>
      </c>
      <c r="V511" s="3000">
        <v>95</v>
      </c>
    </row>
    <row r="512" spans="4:22" ht="14.25" thickBot="1">
      <c r="D512" s="2915">
        <v>508</v>
      </c>
      <c r="E512" s="2915"/>
      <c r="F512" s="2914" t="s">
        <v>3619</v>
      </c>
      <c r="G512" s="2915">
        <v>88.13</v>
      </c>
      <c r="H512" s="2915">
        <f t="shared" si="8"/>
        <v>15.47</v>
      </c>
      <c r="Q512" s="3004">
        <v>508</v>
      </c>
      <c r="R512" s="2999" t="s">
        <v>5155</v>
      </c>
      <c r="S512" s="3000">
        <v>88.13</v>
      </c>
      <c r="T512" s="3000">
        <v>1</v>
      </c>
      <c r="U512" s="3000">
        <v>17260</v>
      </c>
      <c r="V512" s="3000">
        <v>152</v>
      </c>
    </row>
    <row r="513" spans="4:22" ht="14.25" thickBot="1">
      <c r="D513" s="2915">
        <v>509</v>
      </c>
      <c r="E513" s="2915"/>
      <c r="F513" s="2914" t="s">
        <v>3620</v>
      </c>
      <c r="G513" s="2915">
        <v>186.33</v>
      </c>
      <c r="H513" s="2915">
        <f t="shared" si="8"/>
        <v>32.72</v>
      </c>
      <c r="Q513" s="3004">
        <v>509</v>
      </c>
      <c r="R513" s="2999" t="s">
        <v>5156</v>
      </c>
      <c r="S513" s="3000">
        <v>186.33</v>
      </c>
      <c r="T513" s="3000">
        <v>0.99</v>
      </c>
      <c r="U513" s="3000">
        <v>17087</v>
      </c>
      <c r="V513" s="3000">
        <v>318</v>
      </c>
    </row>
    <row r="514" spans="4:22" ht="14.25" thickBot="1">
      <c r="D514" s="2915">
        <v>510</v>
      </c>
      <c r="E514" s="2915"/>
      <c r="F514" s="2914" t="s">
        <v>3621</v>
      </c>
      <c r="G514" s="2915">
        <v>188.39</v>
      </c>
      <c r="H514" s="2915">
        <f t="shared" si="8"/>
        <v>33.08</v>
      </c>
      <c r="Q514" s="3004">
        <v>510</v>
      </c>
      <c r="R514" s="2999" t="s">
        <v>5157</v>
      </c>
      <c r="S514" s="3000">
        <v>188.39</v>
      </c>
      <c r="T514" s="3000">
        <v>0.99</v>
      </c>
      <c r="U514" s="3000">
        <v>17087</v>
      </c>
      <c r="V514" s="3000">
        <v>322</v>
      </c>
    </row>
    <row r="515" spans="4:22" ht="14.25" thickBot="1">
      <c r="D515" s="2915">
        <v>511</v>
      </c>
      <c r="E515" s="2915"/>
      <c r="F515" s="2914" t="s">
        <v>3622</v>
      </c>
      <c r="G515" s="2915">
        <v>188.39</v>
      </c>
      <c r="H515" s="2915">
        <f t="shared" si="8"/>
        <v>33.08</v>
      </c>
      <c r="Q515" s="3004">
        <v>511</v>
      </c>
      <c r="R515" s="2999" t="s">
        <v>5158</v>
      </c>
      <c r="S515" s="3000">
        <v>188.39</v>
      </c>
      <c r="T515" s="3000">
        <v>0.99</v>
      </c>
      <c r="U515" s="3000">
        <v>17087</v>
      </c>
      <c r="V515" s="3000">
        <v>322</v>
      </c>
    </row>
    <row r="516" spans="4:22" ht="14.25" thickBot="1">
      <c r="D516" s="2915">
        <v>512</v>
      </c>
      <c r="E516" s="2915"/>
      <c r="F516" s="2914" t="s">
        <v>3623</v>
      </c>
      <c r="G516" s="2915">
        <v>188.39</v>
      </c>
      <c r="H516" s="2915">
        <f t="shared" si="8"/>
        <v>33.08</v>
      </c>
      <c r="Q516" s="3004">
        <v>512</v>
      </c>
      <c r="R516" s="2999" t="s">
        <v>5159</v>
      </c>
      <c r="S516" s="3000">
        <v>188.39</v>
      </c>
      <c r="T516" s="3000">
        <v>0.99</v>
      </c>
      <c r="U516" s="3000">
        <v>17087</v>
      </c>
      <c r="V516" s="3000">
        <v>322</v>
      </c>
    </row>
    <row r="517" spans="4:22" ht="14.25" thickBot="1">
      <c r="D517" s="2915">
        <v>513</v>
      </c>
      <c r="E517" s="2915"/>
      <c r="F517" s="2914" t="s">
        <v>3624</v>
      </c>
      <c r="G517" s="2915">
        <v>188.39</v>
      </c>
      <c r="H517" s="2915">
        <f t="shared" si="8"/>
        <v>33.08</v>
      </c>
      <c r="Q517" s="3004">
        <v>513</v>
      </c>
      <c r="R517" s="2999" t="s">
        <v>5160</v>
      </c>
      <c r="S517" s="3000">
        <v>188.39</v>
      </c>
      <c r="T517" s="3000">
        <v>0.99</v>
      </c>
      <c r="U517" s="3000">
        <v>17087</v>
      </c>
      <c r="V517" s="3000">
        <v>322</v>
      </c>
    </row>
    <row r="518" spans="4:22" ht="14.25" thickBot="1">
      <c r="D518" s="2915">
        <v>514</v>
      </c>
      <c r="E518" s="2915"/>
      <c r="F518" s="2914" t="s">
        <v>3625</v>
      </c>
      <c r="G518" s="2915">
        <v>188.39</v>
      </c>
      <c r="H518" s="2915">
        <f t="shared" ref="H518:H581" si="9">ROUND(G518/$N$7*$M$7,2)</f>
        <v>33.08</v>
      </c>
      <c r="Q518" s="3004">
        <v>514</v>
      </c>
      <c r="R518" s="2999" t="s">
        <v>5161</v>
      </c>
      <c r="S518" s="3000">
        <v>188.39</v>
      </c>
      <c r="T518" s="3000">
        <v>0.99</v>
      </c>
      <c r="U518" s="3000">
        <v>17087</v>
      </c>
      <c r="V518" s="3000">
        <v>322</v>
      </c>
    </row>
    <row r="519" spans="4:22" ht="14.25" thickBot="1">
      <c r="D519" s="2915">
        <v>515</v>
      </c>
      <c r="E519" s="2915"/>
      <c r="F519" s="2914" t="s">
        <v>3626</v>
      </c>
      <c r="G519" s="2915">
        <v>187.53</v>
      </c>
      <c r="H519" s="2915">
        <f t="shared" si="9"/>
        <v>32.93</v>
      </c>
      <c r="Q519" s="3004">
        <v>515</v>
      </c>
      <c r="R519" s="2999" t="s">
        <v>5162</v>
      </c>
      <c r="S519" s="3000">
        <v>187.53</v>
      </c>
      <c r="T519" s="3000">
        <v>0.99</v>
      </c>
      <c r="U519" s="3000">
        <v>17087</v>
      </c>
      <c r="V519" s="3000">
        <v>320</v>
      </c>
    </row>
    <row r="520" spans="4:22" ht="14.25" thickBot="1">
      <c r="D520" s="2915">
        <v>516</v>
      </c>
      <c r="E520" s="2915"/>
      <c r="F520" s="2914" t="s">
        <v>3627</v>
      </c>
      <c r="G520" s="2915">
        <v>210.19</v>
      </c>
      <c r="H520" s="2915">
        <f t="shared" si="9"/>
        <v>36.909999999999997</v>
      </c>
      <c r="Q520" s="3004">
        <v>516</v>
      </c>
      <c r="R520" s="2999" t="s">
        <v>5163</v>
      </c>
      <c r="S520" s="3000">
        <v>210.19</v>
      </c>
      <c r="T520" s="3000">
        <v>0.98</v>
      </c>
      <c r="U520" s="3000">
        <v>16915</v>
      </c>
      <c r="V520" s="3000">
        <v>356</v>
      </c>
    </row>
    <row r="521" spans="4:22" ht="14.25" thickBot="1">
      <c r="D521" s="2915">
        <v>517</v>
      </c>
      <c r="E521" s="2915"/>
      <c r="F521" s="2914" t="s">
        <v>3628</v>
      </c>
      <c r="G521" s="2915">
        <v>169.2</v>
      </c>
      <c r="H521" s="2915">
        <f t="shared" si="9"/>
        <v>29.71</v>
      </c>
      <c r="Q521" s="3004">
        <v>517</v>
      </c>
      <c r="R521" s="2999" t="s">
        <v>5164</v>
      </c>
      <c r="S521" s="3000">
        <v>169.2</v>
      </c>
      <c r="T521" s="3000">
        <v>0.99</v>
      </c>
      <c r="U521" s="3000">
        <v>17087</v>
      </c>
      <c r="V521" s="3000">
        <v>289</v>
      </c>
    </row>
    <row r="522" spans="4:22" ht="14.25" thickBot="1">
      <c r="D522" s="2915">
        <v>518</v>
      </c>
      <c r="E522" s="2915"/>
      <c r="F522" s="2914" t="s">
        <v>3629</v>
      </c>
      <c r="G522" s="2915">
        <v>178.35</v>
      </c>
      <c r="H522" s="2915">
        <f t="shared" si="9"/>
        <v>31.32</v>
      </c>
      <c r="Q522" s="3004">
        <v>518</v>
      </c>
      <c r="R522" s="2999" t="s">
        <v>5165</v>
      </c>
      <c r="S522" s="3000">
        <v>178.35</v>
      </c>
      <c r="T522" s="3000">
        <v>0.99</v>
      </c>
      <c r="U522" s="3000">
        <v>17087</v>
      </c>
      <c r="V522" s="3000">
        <v>305</v>
      </c>
    </row>
    <row r="523" spans="4:22" ht="14.25" thickBot="1">
      <c r="D523" s="2915">
        <v>519</v>
      </c>
      <c r="E523" s="2915"/>
      <c r="F523" s="2914" t="s">
        <v>3630</v>
      </c>
      <c r="G523" s="2915">
        <v>208.92</v>
      </c>
      <c r="H523" s="2915">
        <f t="shared" si="9"/>
        <v>36.68</v>
      </c>
      <c r="Q523" s="3004">
        <v>519</v>
      </c>
      <c r="R523" s="2999" t="s">
        <v>5166</v>
      </c>
      <c r="S523" s="3000">
        <v>208.92</v>
      </c>
      <c r="T523" s="3000">
        <v>0.98</v>
      </c>
      <c r="U523" s="3000">
        <v>16915</v>
      </c>
      <c r="V523" s="3000">
        <v>353</v>
      </c>
    </row>
    <row r="524" spans="4:22" ht="14.25" thickBot="1">
      <c r="D524" s="2915">
        <v>520</v>
      </c>
      <c r="E524" s="2915"/>
      <c r="F524" s="2914" t="s">
        <v>3631</v>
      </c>
      <c r="G524" s="2915">
        <v>188.35</v>
      </c>
      <c r="H524" s="2915">
        <f t="shared" si="9"/>
        <v>33.07</v>
      </c>
      <c r="Q524" s="3004">
        <v>520</v>
      </c>
      <c r="R524" s="2999" t="s">
        <v>5167</v>
      </c>
      <c r="S524" s="3000">
        <v>188.35</v>
      </c>
      <c r="T524" s="3000">
        <v>0.99</v>
      </c>
      <c r="U524" s="3000">
        <v>17087</v>
      </c>
      <c r="V524" s="3000">
        <v>322</v>
      </c>
    </row>
    <row r="525" spans="4:22" ht="14.25" thickBot="1">
      <c r="D525" s="2915">
        <v>521</v>
      </c>
      <c r="E525" s="2915"/>
      <c r="F525" s="2914" t="s">
        <v>3632</v>
      </c>
      <c r="G525" s="2915">
        <v>188.39</v>
      </c>
      <c r="H525" s="2915">
        <f t="shared" si="9"/>
        <v>33.08</v>
      </c>
      <c r="Q525" s="3004">
        <v>521</v>
      </c>
      <c r="R525" s="2999" t="s">
        <v>5168</v>
      </c>
      <c r="S525" s="3000">
        <v>188.39</v>
      </c>
      <c r="T525" s="3000">
        <v>0.99</v>
      </c>
      <c r="U525" s="3000">
        <v>17087</v>
      </c>
      <c r="V525" s="3000">
        <v>322</v>
      </c>
    </row>
    <row r="526" spans="4:22" ht="14.25" thickBot="1">
      <c r="D526" s="2915">
        <v>522</v>
      </c>
      <c r="E526" s="2915"/>
      <c r="F526" s="2914" t="s">
        <v>3633</v>
      </c>
      <c r="G526" s="2915">
        <v>188.39</v>
      </c>
      <c r="H526" s="2915">
        <f t="shared" si="9"/>
        <v>33.08</v>
      </c>
      <c r="Q526" s="3004">
        <v>522</v>
      </c>
      <c r="R526" s="2999" t="s">
        <v>5169</v>
      </c>
      <c r="S526" s="3000">
        <v>188.39</v>
      </c>
      <c r="T526" s="3000">
        <v>0.99</v>
      </c>
      <c r="U526" s="3000">
        <v>17087</v>
      </c>
      <c r="V526" s="3000">
        <v>322</v>
      </c>
    </row>
    <row r="527" spans="4:22" ht="14.25" thickBot="1">
      <c r="D527" s="2915">
        <v>523</v>
      </c>
      <c r="E527" s="2915"/>
      <c r="F527" s="2914" t="s">
        <v>3634</v>
      </c>
      <c r="G527" s="2915">
        <v>188.39</v>
      </c>
      <c r="H527" s="2915">
        <f t="shared" si="9"/>
        <v>33.08</v>
      </c>
      <c r="Q527" s="3004">
        <v>523</v>
      </c>
      <c r="R527" s="2999" t="s">
        <v>5170</v>
      </c>
      <c r="S527" s="3000">
        <v>188.39</v>
      </c>
      <c r="T527" s="3000">
        <v>0.99</v>
      </c>
      <c r="U527" s="3000">
        <v>17087</v>
      </c>
      <c r="V527" s="3000">
        <v>322</v>
      </c>
    </row>
    <row r="528" spans="4:22" ht="14.25" thickBot="1">
      <c r="D528" s="2915">
        <v>524</v>
      </c>
      <c r="E528" s="2915"/>
      <c r="F528" s="2914" t="s">
        <v>3635</v>
      </c>
      <c r="G528" s="2915">
        <v>188.39</v>
      </c>
      <c r="H528" s="2915">
        <f t="shared" si="9"/>
        <v>33.08</v>
      </c>
      <c r="Q528" s="3004">
        <v>524</v>
      </c>
      <c r="R528" s="2999" t="s">
        <v>5171</v>
      </c>
      <c r="S528" s="3000">
        <v>188.39</v>
      </c>
      <c r="T528" s="3000">
        <v>0.99</v>
      </c>
      <c r="U528" s="3000">
        <v>17087</v>
      </c>
      <c r="V528" s="3000">
        <v>322</v>
      </c>
    </row>
    <row r="529" spans="4:22" ht="14.25" thickBot="1">
      <c r="D529" s="2915">
        <v>525</v>
      </c>
      <c r="E529" s="2915"/>
      <c r="F529" s="2914" t="s">
        <v>3636</v>
      </c>
      <c r="G529" s="2915">
        <v>188.39</v>
      </c>
      <c r="H529" s="2915">
        <f t="shared" si="9"/>
        <v>33.08</v>
      </c>
      <c r="Q529" s="3004">
        <v>525</v>
      </c>
      <c r="R529" s="2999" t="s">
        <v>5172</v>
      </c>
      <c r="S529" s="3000">
        <v>188.39</v>
      </c>
      <c r="T529" s="3000">
        <v>0.99</v>
      </c>
      <c r="U529" s="3000">
        <v>17087</v>
      </c>
      <c r="V529" s="3000">
        <v>322</v>
      </c>
    </row>
    <row r="530" spans="4:22" ht="14.25" thickBot="1">
      <c r="D530" s="2915">
        <v>526</v>
      </c>
      <c r="E530" s="2915"/>
      <c r="F530" s="2914" t="s">
        <v>3637</v>
      </c>
      <c r="G530" s="2915">
        <v>279.91000000000003</v>
      </c>
      <c r="H530" s="2915">
        <f t="shared" si="9"/>
        <v>49.15</v>
      </c>
      <c r="Q530" s="3004">
        <v>526</v>
      </c>
      <c r="R530" s="2999" t="s">
        <v>5173</v>
      </c>
      <c r="S530" s="3000">
        <v>279.91000000000003</v>
      </c>
      <c r="T530" s="3000">
        <v>0.98</v>
      </c>
      <c r="U530" s="3000">
        <v>16915</v>
      </c>
      <c r="V530" s="3000">
        <v>473</v>
      </c>
    </row>
    <row r="531" spans="4:22" ht="14.25" thickBot="1">
      <c r="D531" s="2915">
        <v>527</v>
      </c>
      <c r="E531" s="2915"/>
      <c r="F531" s="2914" t="s">
        <v>3638</v>
      </c>
      <c r="G531" s="2915">
        <v>175.75</v>
      </c>
      <c r="H531" s="2915">
        <f t="shared" si="9"/>
        <v>30.86</v>
      </c>
      <c r="Q531" s="3004">
        <v>527</v>
      </c>
      <c r="R531" s="2999" t="s">
        <v>5174</v>
      </c>
      <c r="S531" s="3000">
        <v>175.75</v>
      </c>
      <c r="T531" s="3000">
        <v>0.99</v>
      </c>
      <c r="U531" s="3000">
        <v>17087</v>
      </c>
      <c r="V531" s="3000">
        <v>300</v>
      </c>
    </row>
    <row r="532" spans="4:22" ht="14.25" thickBot="1">
      <c r="D532" s="2915">
        <v>528</v>
      </c>
      <c r="E532" s="2915"/>
      <c r="F532" s="2914" t="s">
        <v>3639</v>
      </c>
      <c r="G532" s="2915">
        <v>188.32</v>
      </c>
      <c r="H532" s="2915">
        <f t="shared" si="9"/>
        <v>33.07</v>
      </c>
      <c r="Q532" s="3004">
        <v>528</v>
      </c>
      <c r="R532" s="2999" t="s">
        <v>5175</v>
      </c>
      <c r="S532" s="3000">
        <v>188.32</v>
      </c>
      <c r="T532" s="3000">
        <v>0.99</v>
      </c>
      <c r="U532" s="3000">
        <v>17087</v>
      </c>
      <c r="V532" s="3000">
        <v>322</v>
      </c>
    </row>
    <row r="533" spans="4:22" ht="14.25" thickBot="1">
      <c r="D533" s="2915">
        <v>529</v>
      </c>
      <c r="E533" s="2915"/>
      <c r="F533" s="2914" t="s">
        <v>3640</v>
      </c>
      <c r="G533" s="2915">
        <v>210.22</v>
      </c>
      <c r="H533" s="2915">
        <f t="shared" si="9"/>
        <v>36.909999999999997</v>
      </c>
      <c r="Q533" s="3004">
        <v>529</v>
      </c>
      <c r="R533" s="2999" t="s">
        <v>5176</v>
      </c>
      <c r="S533" s="3000">
        <v>210.22</v>
      </c>
      <c r="T533" s="3000">
        <v>0.98</v>
      </c>
      <c r="U533" s="3000">
        <v>16915</v>
      </c>
      <c r="V533" s="3000">
        <v>356</v>
      </c>
    </row>
    <row r="534" spans="4:22" ht="14.25" thickBot="1">
      <c r="D534" s="2915">
        <v>530</v>
      </c>
      <c r="E534" s="2915"/>
      <c r="F534" s="2914" t="s">
        <v>3641</v>
      </c>
      <c r="G534" s="2915">
        <v>187.56</v>
      </c>
      <c r="H534" s="2915">
        <f t="shared" si="9"/>
        <v>32.93</v>
      </c>
      <c r="Q534" s="3004">
        <v>530</v>
      </c>
      <c r="R534" s="2999" t="s">
        <v>5177</v>
      </c>
      <c r="S534" s="3000">
        <v>187.56</v>
      </c>
      <c r="T534" s="3000">
        <v>0.99</v>
      </c>
      <c r="U534" s="3000">
        <v>17087</v>
      </c>
      <c r="V534" s="3000">
        <v>320</v>
      </c>
    </row>
    <row r="535" spans="4:22" ht="14.25" thickBot="1">
      <c r="D535" s="2915">
        <v>531</v>
      </c>
      <c r="E535" s="2915"/>
      <c r="F535" s="2914" t="s">
        <v>3642</v>
      </c>
      <c r="G535" s="2915">
        <v>188.42</v>
      </c>
      <c r="H535" s="2915">
        <f t="shared" si="9"/>
        <v>33.08</v>
      </c>
      <c r="Q535" s="3004">
        <v>531</v>
      </c>
      <c r="R535" s="2999" t="s">
        <v>5178</v>
      </c>
      <c r="S535" s="3000">
        <v>188.42</v>
      </c>
      <c r="T535" s="3000">
        <v>0.99</v>
      </c>
      <c r="U535" s="3000">
        <v>17087</v>
      </c>
      <c r="V535" s="3000">
        <v>322</v>
      </c>
    </row>
    <row r="536" spans="4:22" ht="14.25" thickBot="1">
      <c r="D536" s="2915">
        <v>532</v>
      </c>
      <c r="E536" s="2915"/>
      <c r="F536" s="2914" t="s">
        <v>3643</v>
      </c>
      <c r="G536" s="2915">
        <v>188.42</v>
      </c>
      <c r="H536" s="2915">
        <f t="shared" si="9"/>
        <v>33.08</v>
      </c>
      <c r="Q536" s="3004">
        <v>532</v>
      </c>
      <c r="R536" s="2999" t="s">
        <v>5179</v>
      </c>
      <c r="S536" s="3000">
        <v>188.42</v>
      </c>
      <c r="T536" s="3000">
        <v>0.99</v>
      </c>
      <c r="U536" s="3000">
        <v>17087</v>
      </c>
      <c r="V536" s="3000">
        <v>322</v>
      </c>
    </row>
    <row r="537" spans="4:22" ht="14.25" thickBot="1">
      <c r="D537" s="2915">
        <v>533</v>
      </c>
      <c r="E537" s="2915"/>
      <c r="F537" s="2914" t="s">
        <v>3644</v>
      </c>
      <c r="G537" s="2915">
        <v>188.42</v>
      </c>
      <c r="H537" s="2915">
        <f t="shared" si="9"/>
        <v>33.08</v>
      </c>
      <c r="Q537" s="3004">
        <v>533</v>
      </c>
      <c r="R537" s="2999" t="s">
        <v>5180</v>
      </c>
      <c r="S537" s="3000">
        <v>188.42</v>
      </c>
      <c r="T537" s="3000">
        <v>0.99</v>
      </c>
      <c r="U537" s="3000">
        <v>17087</v>
      </c>
      <c r="V537" s="3000">
        <v>322</v>
      </c>
    </row>
    <row r="538" spans="4:22" ht="14.25" thickBot="1">
      <c r="D538" s="2915">
        <v>534</v>
      </c>
      <c r="E538" s="2915"/>
      <c r="F538" s="2914" t="s">
        <v>3645</v>
      </c>
      <c r="G538" s="2915">
        <v>188.42</v>
      </c>
      <c r="H538" s="2915">
        <f t="shared" si="9"/>
        <v>33.08</v>
      </c>
      <c r="Q538" s="3004">
        <v>534</v>
      </c>
      <c r="R538" s="2999" t="s">
        <v>5181</v>
      </c>
      <c r="S538" s="3000">
        <v>188.42</v>
      </c>
      <c r="T538" s="3000">
        <v>0.99</v>
      </c>
      <c r="U538" s="3000">
        <v>17087</v>
      </c>
      <c r="V538" s="3000">
        <v>322</v>
      </c>
    </row>
    <row r="539" spans="4:22" ht="14.25" thickBot="1">
      <c r="D539" s="2915">
        <v>535</v>
      </c>
      <c r="E539" s="2915"/>
      <c r="F539" s="2914" t="s">
        <v>3646</v>
      </c>
      <c r="G539" s="2915">
        <v>188.42</v>
      </c>
      <c r="H539" s="2915">
        <f t="shared" si="9"/>
        <v>33.08</v>
      </c>
      <c r="Q539" s="3004">
        <v>535</v>
      </c>
      <c r="R539" s="2999" t="s">
        <v>5182</v>
      </c>
      <c r="S539" s="3000">
        <v>188.42</v>
      </c>
      <c r="T539" s="3000">
        <v>0.99</v>
      </c>
      <c r="U539" s="3000">
        <v>17087</v>
      </c>
      <c r="V539" s="3000">
        <v>322</v>
      </c>
    </row>
    <row r="540" spans="4:22" ht="14.25" thickBot="1">
      <c r="D540" s="2915">
        <v>536</v>
      </c>
      <c r="E540" s="2915"/>
      <c r="F540" s="2914" t="s">
        <v>3647</v>
      </c>
      <c r="G540" s="2915">
        <v>186.36</v>
      </c>
      <c r="H540" s="2915">
        <f t="shared" si="9"/>
        <v>32.72</v>
      </c>
      <c r="Q540" s="3004">
        <v>536</v>
      </c>
      <c r="R540" s="2999" t="s">
        <v>5183</v>
      </c>
      <c r="S540" s="3000">
        <v>186.36</v>
      </c>
      <c r="T540" s="3000">
        <v>0.99</v>
      </c>
      <c r="U540" s="3000">
        <v>17087</v>
      </c>
      <c r="V540" s="3000">
        <v>318</v>
      </c>
    </row>
    <row r="541" spans="4:22" ht="14.25" thickBot="1">
      <c r="D541" s="2915">
        <v>537</v>
      </c>
      <c r="E541" s="2915"/>
      <c r="F541" s="2914" t="s">
        <v>3648</v>
      </c>
      <c r="G541" s="2915">
        <v>188.36</v>
      </c>
      <c r="H541" s="2915">
        <f t="shared" si="9"/>
        <v>33.07</v>
      </c>
      <c r="Q541" s="3004">
        <v>537</v>
      </c>
      <c r="R541" s="2999" t="s">
        <v>5184</v>
      </c>
      <c r="S541" s="3000">
        <v>188.36</v>
      </c>
      <c r="T541" s="3000">
        <v>0.99</v>
      </c>
      <c r="U541" s="3000">
        <v>17087</v>
      </c>
      <c r="V541" s="3000">
        <v>322</v>
      </c>
    </row>
    <row r="542" spans="4:22" ht="14.25" thickBot="1">
      <c r="D542" s="2915">
        <v>538</v>
      </c>
      <c r="E542" s="2915"/>
      <c r="F542" s="2914" t="s">
        <v>3649</v>
      </c>
      <c r="G542" s="2915">
        <v>175.78</v>
      </c>
      <c r="H542" s="2915">
        <f t="shared" si="9"/>
        <v>30.87</v>
      </c>
      <c r="Q542" s="3004">
        <v>538</v>
      </c>
      <c r="R542" s="2999" t="s">
        <v>5185</v>
      </c>
      <c r="S542" s="3000">
        <v>175.78</v>
      </c>
      <c r="T542" s="3000">
        <v>0.99</v>
      </c>
      <c r="U542" s="3000">
        <v>17087</v>
      </c>
      <c r="V542" s="3000">
        <v>300</v>
      </c>
    </row>
    <row r="543" spans="4:22" ht="14.25" thickBot="1">
      <c r="D543" s="2915">
        <v>539</v>
      </c>
      <c r="E543" s="2915"/>
      <c r="F543" s="2914" t="s">
        <v>3650</v>
      </c>
      <c r="G543" s="2915">
        <v>279.95999999999998</v>
      </c>
      <c r="H543" s="2915">
        <f t="shared" si="9"/>
        <v>49.16</v>
      </c>
      <c r="Q543" s="3004">
        <v>539</v>
      </c>
      <c r="R543" s="2999" t="s">
        <v>5186</v>
      </c>
      <c r="S543" s="3000">
        <v>279.95999999999998</v>
      </c>
      <c r="T543" s="3000">
        <v>0.98</v>
      </c>
      <c r="U543" s="3000">
        <v>16915</v>
      </c>
      <c r="V543" s="3000">
        <v>474</v>
      </c>
    </row>
    <row r="544" spans="4:22" ht="14.25" thickBot="1">
      <c r="D544" s="2915">
        <v>540</v>
      </c>
      <c r="E544" s="2915"/>
      <c r="F544" s="2914" t="s">
        <v>3651</v>
      </c>
      <c r="G544" s="2915">
        <v>188.43</v>
      </c>
      <c r="H544" s="2915">
        <f t="shared" si="9"/>
        <v>33.090000000000003</v>
      </c>
      <c r="Q544" s="3004">
        <v>540</v>
      </c>
      <c r="R544" s="2999" t="s">
        <v>5187</v>
      </c>
      <c r="S544" s="3000">
        <v>188.43</v>
      </c>
      <c r="T544" s="3000">
        <v>0.99</v>
      </c>
      <c r="U544" s="3000">
        <v>17087</v>
      </c>
      <c r="V544" s="3000">
        <v>322</v>
      </c>
    </row>
    <row r="545" spans="4:22" ht="14.25" thickBot="1">
      <c r="D545" s="2915">
        <v>541</v>
      </c>
      <c r="E545" s="2915"/>
      <c r="F545" s="2914" t="s">
        <v>3652</v>
      </c>
      <c r="G545" s="2915">
        <v>188.43</v>
      </c>
      <c r="H545" s="2915">
        <f t="shared" si="9"/>
        <v>33.090000000000003</v>
      </c>
      <c r="Q545" s="3004">
        <v>541</v>
      </c>
      <c r="R545" s="2999" t="s">
        <v>5188</v>
      </c>
      <c r="S545" s="3000">
        <v>188.43</v>
      </c>
      <c r="T545" s="3000">
        <v>0.99</v>
      </c>
      <c r="U545" s="3000">
        <v>17087</v>
      </c>
      <c r="V545" s="3000">
        <v>322</v>
      </c>
    </row>
    <row r="546" spans="4:22" ht="14.25" thickBot="1">
      <c r="D546" s="2915">
        <v>542</v>
      </c>
      <c r="E546" s="2915"/>
      <c r="F546" s="2914" t="s">
        <v>3653</v>
      </c>
      <c r="G546" s="2915">
        <v>188.43</v>
      </c>
      <c r="H546" s="2915">
        <f t="shared" si="9"/>
        <v>33.090000000000003</v>
      </c>
      <c r="Q546" s="3004">
        <v>542</v>
      </c>
      <c r="R546" s="2999" t="s">
        <v>5189</v>
      </c>
      <c r="S546" s="3000">
        <v>188.43</v>
      </c>
      <c r="T546" s="3000">
        <v>0.99</v>
      </c>
      <c r="U546" s="3000">
        <v>17087</v>
      </c>
      <c r="V546" s="3000">
        <v>322</v>
      </c>
    </row>
    <row r="547" spans="4:22" ht="14.25" thickBot="1">
      <c r="D547" s="2915">
        <v>543</v>
      </c>
      <c r="E547" s="2915"/>
      <c r="F547" s="2914" t="s">
        <v>3654</v>
      </c>
      <c r="G547" s="2915">
        <v>188.43</v>
      </c>
      <c r="H547" s="2915">
        <f t="shared" si="9"/>
        <v>33.090000000000003</v>
      </c>
      <c r="Q547" s="3004">
        <v>543</v>
      </c>
      <c r="R547" s="2999" t="s">
        <v>5190</v>
      </c>
      <c r="S547" s="3000">
        <v>188.43</v>
      </c>
      <c r="T547" s="3000">
        <v>0.99</v>
      </c>
      <c r="U547" s="3000">
        <v>17087</v>
      </c>
      <c r="V547" s="3000">
        <v>322</v>
      </c>
    </row>
    <row r="548" spans="4:22" ht="14.25" thickBot="1">
      <c r="D548" s="2915">
        <v>544</v>
      </c>
      <c r="E548" s="2915"/>
      <c r="F548" s="2914" t="s">
        <v>3655</v>
      </c>
      <c r="G548" s="2915">
        <v>188.43</v>
      </c>
      <c r="H548" s="2915">
        <f t="shared" si="9"/>
        <v>33.090000000000003</v>
      </c>
      <c r="Q548" s="3004">
        <v>544</v>
      </c>
      <c r="R548" s="2999" t="s">
        <v>5191</v>
      </c>
      <c r="S548" s="3000">
        <v>188.43</v>
      </c>
      <c r="T548" s="3000">
        <v>0.99</v>
      </c>
      <c r="U548" s="3000">
        <v>17087</v>
      </c>
      <c r="V548" s="3000">
        <v>322</v>
      </c>
    </row>
    <row r="549" spans="4:22" ht="14.25" thickBot="1">
      <c r="D549" s="2915">
        <v>545</v>
      </c>
      <c r="E549" s="2915"/>
      <c r="F549" s="2914" t="s">
        <v>3656</v>
      </c>
      <c r="G549" s="2915">
        <v>188.38</v>
      </c>
      <c r="H549" s="2915">
        <f t="shared" si="9"/>
        <v>33.08</v>
      </c>
      <c r="Q549" s="3004">
        <v>545</v>
      </c>
      <c r="R549" s="2999" t="s">
        <v>5192</v>
      </c>
      <c r="S549" s="3000">
        <v>188.38</v>
      </c>
      <c r="T549" s="3000">
        <v>0.99</v>
      </c>
      <c r="U549" s="3000">
        <v>17087</v>
      </c>
      <c r="V549" s="3000">
        <v>322</v>
      </c>
    </row>
    <row r="550" spans="4:22" ht="14.25" thickBot="1">
      <c r="D550" s="2915">
        <v>546</v>
      </c>
      <c r="E550" s="2915"/>
      <c r="F550" s="2914" t="s">
        <v>3657</v>
      </c>
      <c r="G550" s="2915">
        <v>208.95</v>
      </c>
      <c r="H550" s="2915">
        <f t="shared" si="9"/>
        <v>36.69</v>
      </c>
      <c r="Q550" s="3004">
        <v>546</v>
      </c>
      <c r="R550" s="2999" t="s">
        <v>5193</v>
      </c>
      <c r="S550" s="3000">
        <v>208.95</v>
      </c>
      <c r="T550" s="3000">
        <v>0.98</v>
      </c>
      <c r="U550" s="3000">
        <v>16915</v>
      </c>
      <c r="V550" s="3000">
        <v>353</v>
      </c>
    </row>
    <row r="551" spans="4:22" ht="14.25" thickBot="1">
      <c r="D551" s="2915">
        <v>547</v>
      </c>
      <c r="E551" s="2915"/>
      <c r="F551" s="2914" t="s">
        <v>3658</v>
      </c>
      <c r="G551" s="2915">
        <v>189.85</v>
      </c>
      <c r="H551" s="2915">
        <f t="shared" si="9"/>
        <v>33.340000000000003</v>
      </c>
      <c r="Q551" s="3004">
        <v>547</v>
      </c>
      <c r="R551" s="2999" t="s">
        <v>5194</v>
      </c>
      <c r="S551" s="3000">
        <v>189.85</v>
      </c>
      <c r="T551" s="3000">
        <v>0.99</v>
      </c>
      <c r="U551" s="3000">
        <v>17087</v>
      </c>
      <c r="V551" s="3000">
        <v>324</v>
      </c>
    </row>
    <row r="552" spans="4:22" ht="14.25" thickBot="1">
      <c r="D552" s="2915">
        <v>548</v>
      </c>
      <c r="E552" s="2915"/>
      <c r="F552" s="2914" t="s">
        <v>3659</v>
      </c>
      <c r="G552" s="2915">
        <v>169.23</v>
      </c>
      <c r="H552" s="2915">
        <f t="shared" si="9"/>
        <v>29.72</v>
      </c>
      <c r="Q552" s="3004">
        <v>548</v>
      </c>
      <c r="R552" s="2999" t="s">
        <v>5195</v>
      </c>
      <c r="S552" s="3000">
        <v>169.23</v>
      </c>
      <c r="T552" s="3000">
        <v>0.99</v>
      </c>
      <c r="U552" s="3000">
        <v>17087</v>
      </c>
      <c r="V552" s="3000">
        <v>289</v>
      </c>
    </row>
    <row r="553" spans="4:22" ht="14.25" thickBot="1">
      <c r="D553" s="2915">
        <v>549</v>
      </c>
      <c r="E553" s="2915"/>
      <c r="F553" s="2914" t="s">
        <v>3660</v>
      </c>
      <c r="G553" s="2915">
        <v>55.7</v>
      </c>
      <c r="H553" s="2915">
        <f t="shared" si="9"/>
        <v>9.7799999999999994</v>
      </c>
      <c r="Q553" s="3004">
        <v>549</v>
      </c>
      <c r="R553" s="2999" t="s">
        <v>5196</v>
      </c>
      <c r="S553" s="3000">
        <v>55.7</v>
      </c>
      <c r="T553" s="3000">
        <v>1</v>
      </c>
      <c r="U553" s="3000">
        <v>17260</v>
      </c>
      <c r="V553" s="3000">
        <v>96</v>
      </c>
    </row>
    <row r="554" spans="4:22" ht="14.25" thickBot="1">
      <c r="D554" s="2915">
        <v>550</v>
      </c>
      <c r="E554" s="2915"/>
      <c r="F554" s="2914" t="s">
        <v>3661</v>
      </c>
      <c r="G554" s="2915">
        <v>49.53</v>
      </c>
      <c r="H554" s="2915">
        <f t="shared" si="9"/>
        <v>8.6999999999999993</v>
      </c>
      <c r="Q554" s="3004">
        <v>550</v>
      </c>
      <c r="R554" s="2999" t="s">
        <v>5197</v>
      </c>
      <c r="S554" s="3000">
        <v>49.53</v>
      </c>
      <c r="T554" s="3000">
        <v>1</v>
      </c>
      <c r="U554" s="3000">
        <v>17260</v>
      </c>
      <c r="V554" s="3000">
        <v>85</v>
      </c>
    </row>
    <row r="555" spans="4:22" ht="14.25" thickBot="1">
      <c r="D555" s="2915">
        <v>551</v>
      </c>
      <c r="E555" s="2915"/>
      <c r="F555" s="2914" t="s">
        <v>3662</v>
      </c>
      <c r="G555" s="2915">
        <v>50.63</v>
      </c>
      <c r="H555" s="2915">
        <f t="shared" si="9"/>
        <v>8.89</v>
      </c>
      <c r="Q555" s="3004">
        <v>551</v>
      </c>
      <c r="R555" s="2999" t="s">
        <v>5198</v>
      </c>
      <c r="S555" s="3000">
        <v>50.63</v>
      </c>
      <c r="T555" s="3000">
        <v>1</v>
      </c>
      <c r="U555" s="3000">
        <v>17260</v>
      </c>
      <c r="V555" s="3000">
        <v>87</v>
      </c>
    </row>
    <row r="556" spans="4:22" ht="14.25" thickBot="1">
      <c r="D556" s="2915">
        <v>552</v>
      </c>
      <c r="E556" s="2915"/>
      <c r="F556" s="2914" t="s">
        <v>3663</v>
      </c>
      <c r="G556" s="2915">
        <v>50.63</v>
      </c>
      <c r="H556" s="2915">
        <f t="shared" si="9"/>
        <v>8.89</v>
      </c>
      <c r="Q556" s="3004">
        <v>552</v>
      </c>
      <c r="R556" s="2999" t="s">
        <v>5199</v>
      </c>
      <c r="S556" s="3000">
        <v>50.63</v>
      </c>
      <c r="T556" s="3000">
        <v>1</v>
      </c>
      <c r="U556" s="3000">
        <v>17260</v>
      </c>
      <c r="V556" s="3000">
        <v>87</v>
      </c>
    </row>
    <row r="557" spans="4:22" ht="14.25" thickBot="1">
      <c r="D557" s="2915">
        <v>553</v>
      </c>
      <c r="E557" s="2915"/>
      <c r="F557" s="2914" t="s">
        <v>3664</v>
      </c>
      <c r="G557" s="2915">
        <v>50.63</v>
      </c>
      <c r="H557" s="2915">
        <f t="shared" si="9"/>
        <v>8.89</v>
      </c>
      <c r="Q557" s="3004">
        <v>553</v>
      </c>
      <c r="R557" s="2999" t="s">
        <v>5200</v>
      </c>
      <c r="S557" s="3000">
        <v>50.63</v>
      </c>
      <c r="T557" s="3000">
        <v>1</v>
      </c>
      <c r="U557" s="3000">
        <v>17260</v>
      </c>
      <c r="V557" s="3000">
        <v>87</v>
      </c>
    </row>
    <row r="558" spans="4:22" ht="14.25" thickBot="1">
      <c r="D558" s="2915">
        <v>554</v>
      </c>
      <c r="E558" s="2915"/>
      <c r="F558" s="2914" t="s">
        <v>3665</v>
      </c>
      <c r="G558" s="2915">
        <v>50.63</v>
      </c>
      <c r="H558" s="2915">
        <f t="shared" si="9"/>
        <v>8.89</v>
      </c>
      <c r="Q558" s="3004">
        <v>554</v>
      </c>
      <c r="R558" s="2999" t="s">
        <v>5201</v>
      </c>
      <c r="S558" s="3000">
        <v>50.63</v>
      </c>
      <c r="T558" s="3000">
        <v>1</v>
      </c>
      <c r="U558" s="3000">
        <v>17260</v>
      </c>
      <c r="V558" s="3000">
        <v>87</v>
      </c>
    </row>
    <row r="559" spans="4:22" ht="14.25" thickBot="1">
      <c r="D559" s="2915">
        <v>555</v>
      </c>
      <c r="E559" s="2915"/>
      <c r="F559" s="2914" t="s">
        <v>3666</v>
      </c>
      <c r="G559" s="2915">
        <v>50.63</v>
      </c>
      <c r="H559" s="2915">
        <f t="shared" si="9"/>
        <v>8.89</v>
      </c>
      <c r="Q559" s="3004">
        <v>555</v>
      </c>
      <c r="R559" s="2999" t="s">
        <v>5202</v>
      </c>
      <c r="S559" s="3000">
        <v>50.63</v>
      </c>
      <c r="T559" s="3000">
        <v>1</v>
      </c>
      <c r="U559" s="3000">
        <v>17260</v>
      </c>
      <c r="V559" s="3000">
        <v>87</v>
      </c>
    </row>
    <row r="560" spans="4:22" ht="14.25" thickBot="1">
      <c r="D560" s="2915">
        <v>556</v>
      </c>
      <c r="E560" s="2915"/>
      <c r="F560" s="2914" t="s">
        <v>3667</v>
      </c>
      <c r="G560" s="2915">
        <v>50.63</v>
      </c>
      <c r="H560" s="2915">
        <f t="shared" si="9"/>
        <v>8.89</v>
      </c>
      <c r="Q560" s="3004">
        <v>556</v>
      </c>
      <c r="R560" s="2999" t="s">
        <v>5203</v>
      </c>
      <c r="S560" s="3000">
        <v>50.63</v>
      </c>
      <c r="T560" s="3000">
        <v>1</v>
      </c>
      <c r="U560" s="3000">
        <v>17260</v>
      </c>
      <c r="V560" s="3000">
        <v>87</v>
      </c>
    </row>
    <row r="561" spans="4:22" ht="14.25" thickBot="1">
      <c r="D561" s="2915">
        <v>557</v>
      </c>
      <c r="E561" s="2915"/>
      <c r="F561" s="2914" t="s">
        <v>3668</v>
      </c>
      <c r="G561" s="2915">
        <v>50.63</v>
      </c>
      <c r="H561" s="2915">
        <f t="shared" si="9"/>
        <v>8.89</v>
      </c>
      <c r="Q561" s="3004">
        <v>557</v>
      </c>
      <c r="R561" s="2999" t="s">
        <v>5204</v>
      </c>
      <c r="S561" s="3000">
        <v>50.63</v>
      </c>
      <c r="T561" s="3000">
        <v>1</v>
      </c>
      <c r="U561" s="3000">
        <v>17260</v>
      </c>
      <c r="V561" s="3000">
        <v>87</v>
      </c>
    </row>
    <row r="562" spans="4:22" ht="14.25" thickBot="1">
      <c r="D562" s="2915">
        <v>558</v>
      </c>
      <c r="E562" s="2915"/>
      <c r="F562" s="2914" t="s">
        <v>3669</v>
      </c>
      <c r="G562" s="2915">
        <v>50.63</v>
      </c>
      <c r="H562" s="2915">
        <f t="shared" si="9"/>
        <v>8.89</v>
      </c>
      <c r="Q562" s="3004">
        <v>558</v>
      </c>
      <c r="R562" s="2999" t="s">
        <v>5205</v>
      </c>
      <c r="S562" s="3000">
        <v>50.63</v>
      </c>
      <c r="T562" s="3000">
        <v>1</v>
      </c>
      <c r="U562" s="3000">
        <v>17260</v>
      </c>
      <c r="V562" s="3000">
        <v>87</v>
      </c>
    </row>
    <row r="563" spans="4:22" ht="14.25" thickBot="1">
      <c r="D563" s="2915">
        <v>559</v>
      </c>
      <c r="E563" s="2915"/>
      <c r="F563" s="2914" t="s">
        <v>3670</v>
      </c>
      <c r="G563" s="2915">
        <v>50.63</v>
      </c>
      <c r="H563" s="2915">
        <f t="shared" si="9"/>
        <v>8.89</v>
      </c>
      <c r="Q563" s="3004">
        <v>559</v>
      </c>
      <c r="R563" s="2999" t="s">
        <v>5206</v>
      </c>
      <c r="S563" s="3000">
        <v>50.63</v>
      </c>
      <c r="T563" s="3000">
        <v>1</v>
      </c>
      <c r="U563" s="3000">
        <v>17260</v>
      </c>
      <c r="V563" s="3000">
        <v>87</v>
      </c>
    </row>
    <row r="564" spans="4:22" ht="14.25" thickBot="1">
      <c r="D564" s="2915">
        <v>560</v>
      </c>
      <c r="E564" s="2915"/>
      <c r="F564" s="2914" t="s">
        <v>3671</v>
      </c>
      <c r="G564" s="2915">
        <v>50.63</v>
      </c>
      <c r="H564" s="2915">
        <f t="shared" si="9"/>
        <v>8.89</v>
      </c>
      <c r="Q564" s="3004">
        <v>560</v>
      </c>
      <c r="R564" s="2999" t="s">
        <v>5207</v>
      </c>
      <c r="S564" s="3000">
        <v>50.63</v>
      </c>
      <c r="T564" s="3000">
        <v>1</v>
      </c>
      <c r="U564" s="3000">
        <v>17260</v>
      </c>
      <c r="V564" s="3000">
        <v>87</v>
      </c>
    </row>
    <row r="565" spans="4:22" ht="14.25" thickBot="1">
      <c r="D565" s="2915">
        <v>561</v>
      </c>
      <c r="E565" s="2915"/>
      <c r="F565" s="2914" t="s">
        <v>3672</v>
      </c>
      <c r="G565" s="2915">
        <v>49.61</v>
      </c>
      <c r="H565" s="2915">
        <f t="shared" si="9"/>
        <v>8.7100000000000009</v>
      </c>
      <c r="Q565" s="3004">
        <v>561</v>
      </c>
      <c r="R565" s="2999" t="s">
        <v>5208</v>
      </c>
      <c r="S565" s="3000">
        <v>49.61</v>
      </c>
      <c r="T565" s="3000">
        <v>1</v>
      </c>
      <c r="U565" s="3000">
        <v>17260</v>
      </c>
      <c r="V565" s="3000">
        <v>86</v>
      </c>
    </row>
    <row r="566" spans="4:22" ht="14.25" thickBot="1">
      <c r="D566" s="2915">
        <v>562</v>
      </c>
      <c r="E566" s="2915"/>
      <c r="F566" s="2914" t="s">
        <v>3673</v>
      </c>
      <c r="G566" s="2915">
        <v>46.31</v>
      </c>
      <c r="H566" s="2915">
        <f t="shared" si="9"/>
        <v>8.1300000000000008</v>
      </c>
      <c r="Q566" s="3004">
        <v>562</v>
      </c>
      <c r="R566" s="2999" t="s">
        <v>5209</v>
      </c>
      <c r="S566" s="3000">
        <v>46.31</v>
      </c>
      <c r="T566" s="3000">
        <v>1</v>
      </c>
      <c r="U566" s="3000">
        <v>17260</v>
      </c>
      <c r="V566" s="3000">
        <v>80</v>
      </c>
    </row>
    <row r="567" spans="4:22" ht="14.25" thickBot="1">
      <c r="D567" s="2915">
        <v>563</v>
      </c>
      <c r="E567" s="2915"/>
      <c r="F567" s="2914" t="s">
        <v>3674</v>
      </c>
      <c r="G567" s="2915">
        <v>50.63</v>
      </c>
      <c r="H567" s="2915">
        <f t="shared" si="9"/>
        <v>8.89</v>
      </c>
      <c r="Q567" s="3004">
        <v>563</v>
      </c>
      <c r="R567" s="2999" t="s">
        <v>5210</v>
      </c>
      <c r="S567" s="3000">
        <v>50.63</v>
      </c>
      <c r="T567" s="3000">
        <v>1</v>
      </c>
      <c r="U567" s="3000">
        <v>17260</v>
      </c>
      <c r="V567" s="3000">
        <v>87</v>
      </c>
    </row>
    <row r="568" spans="4:22" ht="14.25" thickBot="1">
      <c r="D568" s="2915">
        <v>564</v>
      </c>
      <c r="E568" s="2915"/>
      <c r="F568" s="2914" t="s">
        <v>3675</v>
      </c>
      <c r="G568" s="2915">
        <v>50.63</v>
      </c>
      <c r="H568" s="2915">
        <f t="shared" si="9"/>
        <v>8.89</v>
      </c>
      <c r="Q568" s="3004">
        <v>564</v>
      </c>
      <c r="R568" s="2999" t="s">
        <v>5211</v>
      </c>
      <c r="S568" s="3000">
        <v>50.63</v>
      </c>
      <c r="T568" s="3000">
        <v>1</v>
      </c>
      <c r="U568" s="3000">
        <v>17260</v>
      </c>
      <c r="V568" s="3000">
        <v>87</v>
      </c>
    </row>
    <row r="569" spans="4:22" ht="14.25" thickBot="1">
      <c r="D569" s="2915">
        <v>565</v>
      </c>
      <c r="E569" s="2915"/>
      <c r="F569" s="2914" t="s">
        <v>3676</v>
      </c>
      <c r="G569" s="2915">
        <v>62.54</v>
      </c>
      <c r="H569" s="2915">
        <f t="shared" si="9"/>
        <v>10.98</v>
      </c>
      <c r="Q569" s="3004">
        <v>565</v>
      </c>
      <c r="R569" s="2999" t="s">
        <v>5212</v>
      </c>
      <c r="S569" s="3000">
        <v>62.54</v>
      </c>
      <c r="T569" s="3000">
        <v>1</v>
      </c>
      <c r="U569" s="3000">
        <v>17260</v>
      </c>
      <c r="V569" s="3000">
        <v>108</v>
      </c>
    </row>
    <row r="570" spans="4:22" ht="14.25" thickBot="1">
      <c r="D570" s="2915">
        <v>566</v>
      </c>
      <c r="E570" s="2915"/>
      <c r="F570" s="2914" t="s">
        <v>3677</v>
      </c>
      <c r="G570" s="2915">
        <v>62.56</v>
      </c>
      <c r="H570" s="2915">
        <f t="shared" si="9"/>
        <v>10.99</v>
      </c>
      <c r="Q570" s="3004">
        <v>566</v>
      </c>
      <c r="R570" s="2999" t="s">
        <v>5213</v>
      </c>
      <c r="S570" s="3000">
        <v>62.56</v>
      </c>
      <c r="T570" s="3000">
        <v>1</v>
      </c>
      <c r="U570" s="3000">
        <v>17260</v>
      </c>
      <c r="V570" s="3000">
        <v>108</v>
      </c>
    </row>
    <row r="571" spans="4:22" ht="14.25" thickBot="1">
      <c r="D571" s="2915">
        <v>567</v>
      </c>
      <c r="E571" s="2915"/>
      <c r="F571" s="2914" t="s">
        <v>3678</v>
      </c>
      <c r="G571" s="2915">
        <v>62.56</v>
      </c>
      <c r="H571" s="2915">
        <f t="shared" si="9"/>
        <v>10.99</v>
      </c>
      <c r="Q571" s="3004">
        <v>567</v>
      </c>
      <c r="R571" s="2999" t="s">
        <v>5214</v>
      </c>
      <c r="S571" s="3000">
        <v>62.56</v>
      </c>
      <c r="T571" s="3000">
        <v>1</v>
      </c>
      <c r="U571" s="3000">
        <v>17260</v>
      </c>
      <c r="V571" s="3000">
        <v>108</v>
      </c>
    </row>
    <row r="572" spans="4:22" ht="14.25" thickBot="1">
      <c r="D572" s="2915">
        <v>568</v>
      </c>
      <c r="E572" s="2915"/>
      <c r="F572" s="2914" t="s">
        <v>3679</v>
      </c>
      <c r="G572" s="2915">
        <v>62.54</v>
      </c>
      <c r="H572" s="2915">
        <f t="shared" si="9"/>
        <v>10.98</v>
      </c>
      <c r="Q572" s="3004">
        <v>568</v>
      </c>
      <c r="R572" s="2999" t="s">
        <v>5215</v>
      </c>
      <c r="S572" s="3000">
        <v>62.54</v>
      </c>
      <c r="T572" s="3000">
        <v>1</v>
      </c>
      <c r="U572" s="3000">
        <v>17260</v>
      </c>
      <c r="V572" s="3000">
        <v>108</v>
      </c>
    </row>
    <row r="573" spans="4:22" ht="14.25" thickBot="1">
      <c r="D573" s="2915">
        <v>569</v>
      </c>
      <c r="E573" s="2915"/>
      <c r="F573" s="2914" t="s">
        <v>3680</v>
      </c>
      <c r="G573" s="2915">
        <v>50.63</v>
      </c>
      <c r="H573" s="2915">
        <f t="shared" si="9"/>
        <v>8.89</v>
      </c>
      <c r="Q573" s="3004">
        <v>569</v>
      </c>
      <c r="R573" s="2999" t="s">
        <v>5216</v>
      </c>
      <c r="S573" s="3000">
        <v>50.63</v>
      </c>
      <c r="T573" s="3000">
        <v>1</v>
      </c>
      <c r="U573" s="3000">
        <v>17260</v>
      </c>
      <c r="V573" s="3000">
        <v>87</v>
      </c>
    </row>
    <row r="574" spans="4:22" ht="14.25" thickBot="1">
      <c r="D574" s="2915">
        <v>570</v>
      </c>
      <c r="E574" s="2915"/>
      <c r="F574" s="2914" t="s">
        <v>3681</v>
      </c>
      <c r="G574" s="2915">
        <v>50.63</v>
      </c>
      <c r="H574" s="2915">
        <f t="shared" si="9"/>
        <v>8.89</v>
      </c>
      <c r="Q574" s="3004">
        <v>570</v>
      </c>
      <c r="R574" s="2999" t="s">
        <v>5217</v>
      </c>
      <c r="S574" s="3000">
        <v>50.63</v>
      </c>
      <c r="T574" s="3000">
        <v>1</v>
      </c>
      <c r="U574" s="3000">
        <v>17260</v>
      </c>
      <c r="V574" s="3000">
        <v>87</v>
      </c>
    </row>
    <row r="575" spans="4:22" ht="14.25" thickBot="1">
      <c r="D575" s="2915">
        <v>571</v>
      </c>
      <c r="E575" s="2915"/>
      <c r="F575" s="2914" t="s">
        <v>3682</v>
      </c>
      <c r="G575" s="2915">
        <v>50.63</v>
      </c>
      <c r="H575" s="2915">
        <f t="shared" si="9"/>
        <v>8.89</v>
      </c>
      <c r="Q575" s="3004">
        <v>571</v>
      </c>
      <c r="R575" s="2999" t="s">
        <v>5218</v>
      </c>
      <c r="S575" s="3000">
        <v>50.63</v>
      </c>
      <c r="T575" s="3000">
        <v>1</v>
      </c>
      <c r="U575" s="3000">
        <v>17260</v>
      </c>
      <c r="V575" s="3000">
        <v>87</v>
      </c>
    </row>
    <row r="576" spans="4:22" ht="14.25" thickBot="1">
      <c r="D576" s="2915">
        <v>572</v>
      </c>
      <c r="E576" s="2915"/>
      <c r="F576" s="2914" t="s">
        <v>3683</v>
      </c>
      <c r="G576" s="2915">
        <v>50.63</v>
      </c>
      <c r="H576" s="2915">
        <f t="shared" si="9"/>
        <v>8.89</v>
      </c>
      <c r="Q576" s="3004">
        <v>572</v>
      </c>
      <c r="R576" s="2999" t="s">
        <v>5219</v>
      </c>
      <c r="S576" s="3000">
        <v>50.63</v>
      </c>
      <c r="T576" s="3000">
        <v>1</v>
      </c>
      <c r="U576" s="3000">
        <v>17260</v>
      </c>
      <c r="V576" s="3000">
        <v>87</v>
      </c>
    </row>
    <row r="577" spans="4:22" ht="14.25" thickBot="1">
      <c r="D577" s="2915">
        <v>573</v>
      </c>
      <c r="E577" s="2915"/>
      <c r="F577" s="2914" t="s">
        <v>3684</v>
      </c>
      <c r="G577" s="2915">
        <v>50.63</v>
      </c>
      <c r="H577" s="2915">
        <f t="shared" si="9"/>
        <v>8.89</v>
      </c>
      <c r="Q577" s="3004">
        <v>573</v>
      </c>
      <c r="R577" s="2999" t="s">
        <v>5220</v>
      </c>
      <c r="S577" s="3000">
        <v>50.63</v>
      </c>
      <c r="T577" s="3000">
        <v>1</v>
      </c>
      <c r="U577" s="3000">
        <v>17260</v>
      </c>
      <c r="V577" s="3000">
        <v>87</v>
      </c>
    </row>
    <row r="578" spans="4:22" ht="14.25" thickBot="1">
      <c r="D578" s="2915">
        <v>574</v>
      </c>
      <c r="E578" s="2915"/>
      <c r="F578" s="2914" t="s">
        <v>3685</v>
      </c>
      <c r="G578" s="2915">
        <v>50.63</v>
      </c>
      <c r="H578" s="2915">
        <f t="shared" si="9"/>
        <v>8.89</v>
      </c>
      <c r="Q578" s="3004">
        <v>574</v>
      </c>
      <c r="R578" s="2999" t="s">
        <v>5221</v>
      </c>
      <c r="S578" s="3000">
        <v>50.63</v>
      </c>
      <c r="T578" s="3000">
        <v>1</v>
      </c>
      <c r="U578" s="3000">
        <v>17260</v>
      </c>
      <c r="V578" s="3000">
        <v>87</v>
      </c>
    </row>
    <row r="579" spans="4:22" ht="14.25" thickBot="1">
      <c r="D579" s="2915">
        <v>575</v>
      </c>
      <c r="E579" s="2915"/>
      <c r="F579" s="2914" t="s">
        <v>3686</v>
      </c>
      <c r="G579" s="2915">
        <v>50.63</v>
      </c>
      <c r="H579" s="2915">
        <f t="shared" si="9"/>
        <v>8.89</v>
      </c>
      <c r="Q579" s="3004">
        <v>575</v>
      </c>
      <c r="R579" s="2999" t="s">
        <v>5222</v>
      </c>
      <c r="S579" s="3000">
        <v>50.63</v>
      </c>
      <c r="T579" s="3000">
        <v>1</v>
      </c>
      <c r="U579" s="3000">
        <v>17260</v>
      </c>
      <c r="V579" s="3000">
        <v>87</v>
      </c>
    </row>
    <row r="580" spans="4:22" ht="14.25" thickBot="1">
      <c r="D580" s="2915">
        <v>576</v>
      </c>
      <c r="E580" s="2915"/>
      <c r="F580" s="2914" t="s">
        <v>3687</v>
      </c>
      <c r="G580" s="2915">
        <v>50.63</v>
      </c>
      <c r="H580" s="2915">
        <f t="shared" si="9"/>
        <v>8.89</v>
      </c>
      <c r="Q580" s="3004">
        <v>576</v>
      </c>
      <c r="R580" s="2999" t="s">
        <v>5223</v>
      </c>
      <c r="S580" s="3000">
        <v>50.63</v>
      </c>
      <c r="T580" s="3000">
        <v>1</v>
      </c>
      <c r="U580" s="3000">
        <v>17260</v>
      </c>
      <c r="V580" s="3000">
        <v>87</v>
      </c>
    </row>
    <row r="581" spans="4:22" ht="14.25" thickBot="1">
      <c r="D581" s="2915">
        <v>577</v>
      </c>
      <c r="E581" s="2915"/>
      <c r="F581" s="2914" t="s">
        <v>3688</v>
      </c>
      <c r="G581" s="2915">
        <v>50.63</v>
      </c>
      <c r="H581" s="2915">
        <f t="shared" si="9"/>
        <v>8.89</v>
      </c>
      <c r="Q581" s="3004">
        <v>577</v>
      </c>
      <c r="R581" s="2999" t="s">
        <v>5224</v>
      </c>
      <c r="S581" s="3000">
        <v>50.63</v>
      </c>
      <c r="T581" s="3000">
        <v>1</v>
      </c>
      <c r="U581" s="3000">
        <v>17260</v>
      </c>
      <c r="V581" s="3000">
        <v>87</v>
      </c>
    </row>
    <row r="582" spans="4:22" ht="14.25" thickBot="1">
      <c r="D582" s="2915">
        <v>578</v>
      </c>
      <c r="E582" s="2915"/>
      <c r="F582" s="2914" t="s">
        <v>3689</v>
      </c>
      <c r="G582" s="2915">
        <v>50.63</v>
      </c>
      <c r="H582" s="2915">
        <f t="shared" ref="H582:H645" si="10">ROUND(G582/$N$7*$M$7,2)</f>
        <v>8.89</v>
      </c>
      <c r="Q582" s="3004">
        <v>578</v>
      </c>
      <c r="R582" s="2999" t="s">
        <v>5225</v>
      </c>
      <c r="S582" s="3000">
        <v>50.63</v>
      </c>
      <c r="T582" s="3000">
        <v>1</v>
      </c>
      <c r="U582" s="3000">
        <v>17260</v>
      </c>
      <c r="V582" s="3000">
        <v>87</v>
      </c>
    </row>
    <row r="583" spans="4:22" ht="14.25" thickBot="1">
      <c r="D583" s="2915">
        <v>579</v>
      </c>
      <c r="E583" s="2915"/>
      <c r="F583" s="2914" t="s">
        <v>3690</v>
      </c>
      <c r="G583" s="2915">
        <v>50.63</v>
      </c>
      <c r="H583" s="2915">
        <f t="shared" si="10"/>
        <v>8.89</v>
      </c>
      <c r="Q583" s="3004">
        <v>579</v>
      </c>
      <c r="R583" s="2999" t="s">
        <v>5226</v>
      </c>
      <c r="S583" s="3000">
        <v>50.63</v>
      </c>
      <c r="T583" s="3000">
        <v>1</v>
      </c>
      <c r="U583" s="3000">
        <v>17260</v>
      </c>
      <c r="V583" s="3000">
        <v>87</v>
      </c>
    </row>
    <row r="584" spans="4:22" ht="14.25" thickBot="1">
      <c r="D584" s="2915">
        <v>580</v>
      </c>
      <c r="E584" s="2915"/>
      <c r="F584" s="2914" t="s">
        <v>3691</v>
      </c>
      <c r="G584" s="2915">
        <v>50.63</v>
      </c>
      <c r="H584" s="2915">
        <f t="shared" si="10"/>
        <v>8.89</v>
      </c>
      <c r="Q584" s="3004">
        <v>580</v>
      </c>
      <c r="R584" s="2999" t="s">
        <v>5227</v>
      </c>
      <c r="S584" s="3000">
        <v>50.63</v>
      </c>
      <c r="T584" s="3000">
        <v>1</v>
      </c>
      <c r="U584" s="3000">
        <v>17260</v>
      </c>
      <c r="V584" s="3000">
        <v>87</v>
      </c>
    </row>
    <row r="585" spans="4:22" ht="14.25" thickBot="1">
      <c r="D585" s="2915">
        <v>581</v>
      </c>
      <c r="E585" s="2915"/>
      <c r="F585" s="2914" t="s">
        <v>3692</v>
      </c>
      <c r="G585" s="2915">
        <v>50.38</v>
      </c>
      <c r="H585" s="2915">
        <f t="shared" si="10"/>
        <v>8.85</v>
      </c>
      <c r="Q585" s="3004">
        <v>581</v>
      </c>
      <c r="R585" s="2999" t="s">
        <v>5228</v>
      </c>
      <c r="S585" s="3000">
        <v>50.38</v>
      </c>
      <c r="T585" s="3000">
        <v>1</v>
      </c>
      <c r="U585" s="3000">
        <v>17260</v>
      </c>
      <c r="V585" s="3000">
        <v>87</v>
      </c>
    </row>
    <row r="586" spans="4:22" ht="14.25" thickBot="1">
      <c r="D586" s="2915">
        <v>582</v>
      </c>
      <c r="E586" s="2915"/>
      <c r="F586" s="2914" t="s">
        <v>3693</v>
      </c>
      <c r="G586" s="2915">
        <v>51.12</v>
      </c>
      <c r="H586" s="2915">
        <f t="shared" si="10"/>
        <v>8.98</v>
      </c>
      <c r="Q586" s="3004">
        <v>582</v>
      </c>
      <c r="R586" s="2999" t="s">
        <v>5229</v>
      </c>
      <c r="S586" s="3000">
        <v>51.12</v>
      </c>
      <c r="T586" s="3000">
        <v>1</v>
      </c>
      <c r="U586" s="3000">
        <v>17260</v>
      </c>
      <c r="V586" s="3000">
        <v>88</v>
      </c>
    </row>
    <row r="587" spans="4:22" ht="14.25" thickBot="1">
      <c r="D587" s="2915">
        <v>583</v>
      </c>
      <c r="E587" s="2915"/>
      <c r="F587" s="2914" t="s">
        <v>3694</v>
      </c>
      <c r="G587" s="2915">
        <v>68.760000000000005</v>
      </c>
      <c r="H587" s="2915">
        <f t="shared" si="10"/>
        <v>12.07</v>
      </c>
      <c r="Q587" s="3004">
        <v>583</v>
      </c>
      <c r="R587" s="2999" t="s">
        <v>5230</v>
      </c>
      <c r="S587" s="3000">
        <v>68.760000000000005</v>
      </c>
      <c r="T587" s="3000">
        <v>1</v>
      </c>
      <c r="U587" s="3000">
        <v>17260</v>
      </c>
      <c r="V587" s="3000">
        <v>119</v>
      </c>
    </row>
    <row r="588" spans="4:22" ht="14.25" thickBot="1">
      <c r="D588" s="2915">
        <v>584</v>
      </c>
      <c r="E588" s="2915"/>
      <c r="F588" s="2914" t="s">
        <v>3695</v>
      </c>
      <c r="G588" s="2915">
        <v>69.319999999999993</v>
      </c>
      <c r="H588" s="2915">
        <f t="shared" si="10"/>
        <v>12.17</v>
      </c>
      <c r="Q588" s="3004">
        <v>584</v>
      </c>
      <c r="R588" s="2999" t="s">
        <v>5231</v>
      </c>
      <c r="S588" s="3000">
        <v>69.319999999999993</v>
      </c>
      <c r="T588" s="3000">
        <v>1</v>
      </c>
      <c r="U588" s="3000">
        <v>17260</v>
      </c>
      <c r="V588" s="3000">
        <v>120</v>
      </c>
    </row>
    <row r="589" spans="4:22" ht="14.25" thickBot="1">
      <c r="D589" s="2915">
        <v>585</v>
      </c>
      <c r="E589" s="2915"/>
      <c r="F589" s="2914" t="s">
        <v>3696</v>
      </c>
      <c r="G589" s="2915">
        <v>61.41</v>
      </c>
      <c r="H589" s="2915">
        <f t="shared" si="10"/>
        <v>10.78</v>
      </c>
      <c r="Q589" s="3004">
        <v>585</v>
      </c>
      <c r="R589" s="2999" t="s">
        <v>5232</v>
      </c>
      <c r="S589" s="3000">
        <v>61.41</v>
      </c>
      <c r="T589" s="3000">
        <v>1</v>
      </c>
      <c r="U589" s="3000">
        <v>17260</v>
      </c>
      <c r="V589" s="3000">
        <v>106</v>
      </c>
    </row>
    <row r="590" spans="4:22" ht="14.25" thickBot="1">
      <c r="D590" s="2915">
        <v>586</v>
      </c>
      <c r="E590" s="2915"/>
      <c r="F590" s="2914" t="s">
        <v>3697</v>
      </c>
      <c r="G590" s="2915">
        <v>61.41</v>
      </c>
      <c r="H590" s="2915">
        <f t="shared" si="10"/>
        <v>10.78</v>
      </c>
      <c r="Q590" s="3004">
        <v>586</v>
      </c>
      <c r="R590" s="2999" t="s">
        <v>5233</v>
      </c>
      <c r="S590" s="3000">
        <v>61.41</v>
      </c>
      <c r="T590" s="3000">
        <v>1</v>
      </c>
      <c r="U590" s="3000">
        <v>17260</v>
      </c>
      <c r="V590" s="3000">
        <v>106</v>
      </c>
    </row>
    <row r="591" spans="4:22" ht="14.25" thickBot="1">
      <c r="D591" s="2915">
        <v>587</v>
      </c>
      <c r="E591" s="2915"/>
      <c r="F591" s="2914" t="s">
        <v>3698</v>
      </c>
      <c r="G591" s="2915">
        <v>61.41</v>
      </c>
      <c r="H591" s="2915">
        <f t="shared" si="10"/>
        <v>10.78</v>
      </c>
      <c r="Q591" s="3004">
        <v>587</v>
      </c>
      <c r="R591" s="2999" t="s">
        <v>5234</v>
      </c>
      <c r="S591" s="3000">
        <v>61.41</v>
      </c>
      <c r="T591" s="3000">
        <v>1</v>
      </c>
      <c r="U591" s="3000">
        <v>17260</v>
      </c>
      <c r="V591" s="3000">
        <v>106</v>
      </c>
    </row>
    <row r="592" spans="4:22" ht="14.25" thickBot="1">
      <c r="D592" s="2915">
        <v>588</v>
      </c>
      <c r="E592" s="2915"/>
      <c r="F592" s="2914" t="s">
        <v>3699</v>
      </c>
      <c r="G592" s="2915">
        <v>61.41</v>
      </c>
      <c r="H592" s="2915">
        <f t="shared" si="10"/>
        <v>10.78</v>
      </c>
      <c r="Q592" s="3004">
        <v>588</v>
      </c>
      <c r="R592" s="2999" t="s">
        <v>5235</v>
      </c>
      <c r="S592" s="3000">
        <v>61.41</v>
      </c>
      <c r="T592" s="3000">
        <v>1</v>
      </c>
      <c r="U592" s="3000">
        <v>17260</v>
      </c>
      <c r="V592" s="3000">
        <v>106</v>
      </c>
    </row>
    <row r="593" spans="4:22" ht="14.25" thickBot="1">
      <c r="D593" s="2915">
        <v>589</v>
      </c>
      <c r="E593" s="2915"/>
      <c r="F593" s="2914" t="s">
        <v>3700</v>
      </c>
      <c r="G593" s="2915">
        <v>61.41</v>
      </c>
      <c r="H593" s="2915">
        <f t="shared" si="10"/>
        <v>10.78</v>
      </c>
      <c r="Q593" s="3004">
        <v>589</v>
      </c>
      <c r="R593" s="2999" t="s">
        <v>5236</v>
      </c>
      <c r="S593" s="3000">
        <v>61.41</v>
      </c>
      <c r="T593" s="3000">
        <v>1</v>
      </c>
      <c r="U593" s="3000">
        <v>17260</v>
      </c>
      <c r="V593" s="3000">
        <v>106</v>
      </c>
    </row>
    <row r="594" spans="4:22" ht="14.25" thickBot="1">
      <c r="D594" s="2915">
        <v>590</v>
      </c>
      <c r="E594" s="2915"/>
      <c r="F594" s="2914" t="s">
        <v>3701</v>
      </c>
      <c r="G594" s="2915">
        <v>72.87</v>
      </c>
      <c r="H594" s="2915">
        <f t="shared" si="10"/>
        <v>12.8</v>
      </c>
      <c r="Q594" s="3004">
        <v>590</v>
      </c>
      <c r="R594" s="2999" t="s">
        <v>5237</v>
      </c>
      <c r="S594" s="3000">
        <v>72.87</v>
      </c>
      <c r="T594" s="3000">
        <v>1</v>
      </c>
      <c r="U594" s="3000">
        <v>17260</v>
      </c>
      <c r="V594" s="3000">
        <v>126</v>
      </c>
    </row>
    <row r="595" spans="4:22" ht="14.25" thickBot="1">
      <c r="D595" s="2915">
        <v>591</v>
      </c>
      <c r="E595" s="2915"/>
      <c r="F595" s="2914" t="s">
        <v>3702</v>
      </c>
      <c r="G595" s="2915">
        <v>81.069999999999993</v>
      </c>
      <c r="H595" s="2915">
        <f t="shared" si="10"/>
        <v>14.24</v>
      </c>
      <c r="Q595" s="3004">
        <v>591</v>
      </c>
      <c r="R595" s="2999" t="s">
        <v>5238</v>
      </c>
      <c r="S595" s="3000">
        <v>81.069999999999993</v>
      </c>
      <c r="T595" s="3000">
        <v>1</v>
      </c>
      <c r="U595" s="3000">
        <v>17260</v>
      </c>
      <c r="V595" s="3000">
        <v>140</v>
      </c>
    </row>
    <row r="596" spans="4:22" ht="14.25" thickBot="1">
      <c r="D596" s="2915">
        <v>592</v>
      </c>
      <c r="E596" s="2915"/>
      <c r="F596" s="2914" t="s">
        <v>3703</v>
      </c>
      <c r="G596" s="2915">
        <v>61.41</v>
      </c>
      <c r="H596" s="2915">
        <f t="shared" si="10"/>
        <v>10.78</v>
      </c>
      <c r="Q596" s="3004">
        <v>592</v>
      </c>
      <c r="R596" s="2999" t="s">
        <v>5239</v>
      </c>
      <c r="S596" s="3000">
        <v>61.41</v>
      </c>
      <c r="T596" s="3000">
        <v>1</v>
      </c>
      <c r="U596" s="3000">
        <v>17260</v>
      </c>
      <c r="V596" s="3000">
        <v>106</v>
      </c>
    </row>
    <row r="597" spans="4:22" ht="14.25" thickBot="1">
      <c r="D597" s="2915">
        <v>593</v>
      </c>
      <c r="E597" s="2915"/>
      <c r="F597" s="2914" t="s">
        <v>3704</v>
      </c>
      <c r="G597" s="2915">
        <v>54.6</v>
      </c>
      <c r="H597" s="2915">
        <f t="shared" si="10"/>
        <v>9.59</v>
      </c>
      <c r="Q597" s="3004">
        <v>593</v>
      </c>
      <c r="R597" s="2999" t="s">
        <v>5240</v>
      </c>
      <c r="S597" s="3000">
        <v>54.6</v>
      </c>
      <c r="T597" s="3000">
        <v>1</v>
      </c>
      <c r="U597" s="3000">
        <v>17260</v>
      </c>
      <c r="V597" s="3000">
        <v>94</v>
      </c>
    </row>
    <row r="598" spans="4:22" ht="14.25" thickBot="1">
      <c r="D598" s="2915">
        <v>594</v>
      </c>
      <c r="E598" s="2915"/>
      <c r="F598" s="2914" t="s">
        <v>3705</v>
      </c>
      <c r="G598" s="2915">
        <v>71.23</v>
      </c>
      <c r="H598" s="2915">
        <f t="shared" si="10"/>
        <v>12.51</v>
      </c>
      <c r="Q598" s="3004">
        <v>594</v>
      </c>
      <c r="R598" s="2999" t="s">
        <v>5241</v>
      </c>
      <c r="S598" s="3000">
        <v>71.23</v>
      </c>
      <c r="T598" s="3000">
        <v>1</v>
      </c>
      <c r="U598" s="3000">
        <v>17260</v>
      </c>
      <c r="V598" s="3000">
        <v>123</v>
      </c>
    </row>
    <row r="599" spans="4:22" ht="14.25" thickBot="1">
      <c r="D599" s="2915">
        <v>595</v>
      </c>
      <c r="E599" s="2915"/>
      <c r="F599" s="2914" t="s">
        <v>3706</v>
      </c>
      <c r="G599" s="2915">
        <v>61.41</v>
      </c>
      <c r="H599" s="2915">
        <f t="shared" si="10"/>
        <v>10.78</v>
      </c>
      <c r="Q599" s="3004">
        <v>595</v>
      </c>
      <c r="R599" s="2999" t="s">
        <v>5242</v>
      </c>
      <c r="S599" s="3000">
        <v>61.41</v>
      </c>
      <c r="T599" s="3000">
        <v>1</v>
      </c>
      <c r="U599" s="3000">
        <v>17260</v>
      </c>
      <c r="V599" s="3000">
        <v>106</v>
      </c>
    </row>
    <row r="600" spans="4:22" ht="14.25" thickBot="1">
      <c r="D600" s="2915">
        <v>596</v>
      </c>
      <c r="E600" s="2915"/>
      <c r="F600" s="2914" t="s">
        <v>3707</v>
      </c>
      <c r="G600" s="2915">
        <v>61.41</v>
      </c>
      <c r="H600" s="2915">
        <f t="shared" si="10"/>
        <v>10.78</v>
      </c>
      <c r="Q600" s="3004">
        <v>596</v>
      </c>
      <c r="R600" s="2999" t="s">
        <v>5243</v>
      </c>
      <c r="S600" s="3000">
        <v>61.41</v>
      </c>
      <c r="T600" s="3000">
        <v>1</v>
      </c>
      <c r="U600" s="3000">
        <v>17260</v>
      </c>
      <c r="V600" s="3000">
        <v>106</v>
      </c>
    </row>
    <row r="601" spans="4:22" ht="14.25" thickBot="1">
      <c r="D601" s="2915">
        <v>597</v>
      </c>
      <c r="E601" s="2915"/>
      <c r="F601" s="2914" t="s">
        <v>3708</v>
      </c>
      <c r="G601" s="2915">
        <v>61.41</v>
      </c>
      <c r="H601" s="2915">
        <f t="shared" si="10"/>
        <v>10.78</v>
      </c>
      <c r="Q601" s="3004">
        <v>597</v>
      </c>
      <c r="R601" s="2999" t="s">
        <v>5244</v>
      </c>
      <c r="S601" s="3000">
        <v>61.41</v>
      </c>
      <c r="T601" s="3000">
        <v>1</v>
      </c>
      <c r="U601" s="3000">
        <v>17260</v>
      </c>
      <c r="V601" s="3000">
        <v>106</v>
      </c>
    </row>
    <row r="602" spans="4:22" ht="14.25" thickBot="1">
      <c r="D602" s="2915">
        <v>598</v>
      </c>
      <c r="E602" s="2915"/>
      <c r="F602" s="2914" t="s">
        <v>3709</v>
      </c>
      <c r="G602" s="2915">
        <v>61.88</v>
      </c>
      <c r="H602" s="2915">
        <f t="shared" si="10"/>
        <v>10.87</v>
      </c>
      <c r="Q602" s="3004">
        <v>598</v>
      </c>
      <c r="R602" s="2999" t="s">
        <v>5245</v>
      </c>
      <c r="S602" s="3000">
        <v>61.88</v>
      </c>
      <c r="T602" s="3000">
        <v>1</v>
      </c>
      <c r="U602" s="3000">
        <v>17260</v>
      </c>
      <c r="V602" s="3000">
        <v>107</v>
      </c>
    </row>
    <row r="603" spans="4:22" ht="14.25" thickBot="1">
      <c r="D603" s="2915">
        <v>599</v>
      </c>
      <c r="E603" s="2915"/>
      <c r="F603" s="2914" t="s">
        <v>3710</v>
      </c>
      <c r="G603" s="2915">
        <v>58.8</v>
      </c>
      <c r="H603" s="2915">
        <f t="shared" si="10"/>
        <v>10.32</v>
      </c>
      <c r="Q603" s="3004">
        <v>599</v>
      </c>
      <c r="R603" s="2999" t="s">
        <v>5246</v>
      </c>
      <c r="S603" s="3000">
        <v>58.8</v>
      </c>
      <c r="T603" s="3000">
        <v>1</v>
      </c>
      <c r="U603" s="3000">
        <v>17260</v>
      </c>
      <c r="V603" s="3000">
        <v>101</v>
      </c>
    </row>
    <row r="604" spans="4:22" ht="14.25" thickBot="1">
      <c r="D604" s="2915">
        <v>600</v>
      </c>
      <c r="E604" s="2915"/>
      <c r="F604" s="2914" t="s">
        <v>3711</v>
      </c>
      <c r="G604" s="2915">
        <v>60.21</v>
      </c>
      <c r="H604" s="2915">
        <f t="shared" si="10"/>
        <v>10.57</v>
      </c>
      <c r="Q604" s="3004">
        <v>600</v>
      </c>
      <c r="R604" s="2999" t="s">
        <v>5247</v>
      </c>
      <c r="S604" s="3000">
        <v>60.21</v>
      </c>
      <c r="T604" s="3000">
        <v>1</v>
      </c>
      <c r="U604" s="3000">
        <v>17260</v>
      </c>
      <c r="V604" s="3000">
        <v>104</v>
      </c>
    </row>
    <row r="605" spans="4:22" ht="14.25" thickBot="1">
      <c r="D605" s="2915">
        <v>601</v>
      </c>
      <c r="E605" s="2915"/>
      <c r="F605" s="2914" t="s">
        <v>3712</v>
      </c>
      <c r="G605" s="2915">
        <v>65.760000000000005</v>
      </c>
      <c r="H605" s="2915">
        <f t="shared" si="10"/>
        <v>11.55</v>
      </c>
      <c r="Q605" s="3004">
        <v>601</v>
      </c>
      <c r="R605" s="2999" t="s">
        <v>5248</v>
      </c>
      <c r="S605" s="3000">
        <v>65.760000000000005</v>
      </c>
      <c r="T605" s="3000">
        <v>1</v>
      </c>
      <c r="U605" s="3000">
        <v>17260</v>
      </c>
      <c r="V605" s="3000">
        <v>114</v>
      </c>
    </row>
    <row r="606" spans="4:22" ht="14.25" thickBot="1">
      <c r="D606" s="2915">
        <v>602</v>
      </c>
      <c r="E606" s="2915"/>
      <c r="F606" s="2914" t="s">
        <v>3713</v>
      </c>
      <c r="G606" s="2915">
        <v>59.41</v>
      </c>
      <c r="H606" s="2915">
        <f t="shared" si="10"/>
        <v>10.43</v>
      </c>
      <c r="Q606" s="3004">
        <v>602</v>
      </c>
      <c r="R606" s="2999" t="s">
        <v>5249</v>
      </c>
      <c r="S606" s="3000">
        <v>59.41</v>
      </c>
      <c r="T606" s="3000">
        <v>1</v>
      </c>
      <c r="U606" s="3000">
        <v>17260</v>
      </c>
      <c r="V606" s="3000">
        <v>103</v>
      </c>
    </row>
    <row r="607" spans="4:22" ht="14.25" thickBot="1">
      <c r="D607" s="2915">
        <v>603</v>
      </c>
      <c r="E607" s="2915"/>
      <c r="F607" s="2914" t="s">
        <v>3714</v>
      </c>
      <c r="G607" s="2915">
        <v>60.69</v>
      </c>
      <c r="H607" s="2915">
        <f t="shared" si="10"/>
        <v>10.66</v>
      </c>
      <c r="Q607" s="3004">
        <v>603</v>
      </c>
      <c r="R607" s="2999" t="s">
        <v>5250</v>
      </c>
      <c r="S607" s="3000">
        <v>60.69</v>
      </c>
      <c r="T607" s="3000">
        <v>1</v>
      </c>
      <c r="U607" s="3000">
        <v>17260</v>
      </c>
      <c r="V607" s="3000">
        <v>105</v>
      </c>
    </row>
    <row r="608" spans="4:22" ht="14.25" thickBot="1">
      <c r="D608" s="2915">
        <v>604</v>
      </c>
      <c r="E608" s="2915"/>
      <c r="F608" s="2914" t="s">
        <v>3715</v>
      </c>
      <c r="G608" s="2915">
        <v>60.69</v>
      </c>
      <c r="H608" s="2915">
        <f t="shared" si="10"/>
        <v>10.66</v>
      </c>
      <c r="Q608" s="3004">
        <v>604</v>
      </c>
      <c r="R608" s="2999" t="s">
        <v>5251</v>
      </c>
      <c r="S608" s="3000">
        <v>60.69</v>
      </c>
      <c r="T608" s="3000">
        <v>1</v>
      </c>
      <c r="U608" s="3000">
        <v>17260</v>
      </c>
      <c r="V608" s="3000">
        <v>105</v>
      </c>
    </row>
    <row r="609" spans="4:22" ht="14.25" thickBot="1">
      <c r="D609" s="2915">
        <v>605</v>
      </c>
      <c r="E609" s="2915"/>
      <c r="F609" s="2914" t="s">
        <v>3716</v>
      </c>
      <c r="G609" s="2915">
        <v>60.69</v>
      </c>
      <c r="H609" s="2915">
        <f t="shared" si="10"/>
        <v>10.66</v>
      </c>
      <c r="Q609" s="3004">
        <v>605</v>
      </c>
      <c r="R609" s="2999" t="s">
        <v>5252</v>
      </c>
      <c r="S609" s="3000">
        <v>60.69</v>
      </c>
      <c r="T609" s="3000">
        <v>1</v>
      </c>
      <c r="U609" s="3000">
        <v>17260</v>
      </c>
      <c r="V609" s="3000">
        <v>105</v>
      </c>
    </row>
    <row r="610" spans="4:22" ht="14.25" thickBot="1">
      <c r="D610" s="2915">
        <v>606</v>
      </c>
      <c r="E610" s="2915"/>
      <c r="F610" s="2914" t="s">
        <v>3717</v>
      </c>
      <c r="G610" s="2915">
        <v>60.69</v>
      </c>
      <c r="H610" s="2915">
        <f t="shared" si="10"/>
        <v>10.66</v>
      </c>
      <c r="Q610" s="3004">
        <v>606</v>
      </c>
      <c r="R610" s="2999" t="s">
        <v>5253</v>
      </c>
      <c r="S610" s="3000">
        <v>60.69</v>
      </c>
      <c r="T610" s="3000">
        <v>1</v>
      </c>
      <c r="U610" s="3000">
        <v>17260</v>
      </c>
      <c r="V610" s="3000">
        <v>105</v>
      </c>
    </row>
    <row r="611" spans="4:22" ht="14.25" thickBot="1">
      <c r="D611" s="2915">
        <v>607</v>
      </c>
      <c r="E611" s="2915"/>
      <c r="F611" s="2914" t="s">
        <v>3718</v>
      </c>
      <c r="G611" s="2915">
        <v>60.69</v>
      </c>
      <c r="H611" s="2915">
        <f t="shared" si="10"/>
        <v>10.66</v>
      </c>
      <c r="Q611" s="3004">
        <v>607</v>
      </c>
      <c r="R611" s="2999" t="s">
        <v>5254</v>
      </c>
      <c r="S611" s="3000">
        <v>60.69</v>
      </c>
      <c r="T611" s="3000">
        <v>1</v>
      </c>
      <c r="U611" s="3000">
        <v>17260</v>
      </c>
      <c r="V611" s="3000">
        <v>105</v>
      </c>
    </row>
    <row r="612" spans="4:22" ht="14.25" thickBot="1">
      <c r="D612" s="2915">
        <v>608</v>
      </c>
      <c r="E612" s="2915"/>
      <c r="F612" s="2914" t="s">
        <v>3719</v>
      </c>
      <c r="G612" s="2915">
        <v>60.69</v>
      </c>
      <c r="H612" s="2915">
        <f t="shared" si="10"/>
        <v>10.66</v>
      </c>
      <c r="Q612" s="3004">
        <v>608</v>
      </c>
      <c r="R612" s="2999" t="s">
        <v>5255</v>
      </c>
      <c r="S612" s="3000">
        <v>60.69</v>
      </c>
      <c r="T612" s="3000">
        <v>1</v>
      </c>
      <c r="U612" s="3000">
        <v>17260</v>
      </c>
      <c r="V612" s="3000">
        <v>105</v>
      </c>
    </row>
    <row r="613" spans="4:22" ht="14.25" thickBot="1">
      <c r="D613" s="2915">
        <v>609</v>
      </c>
      <c r="E613" s="2915"/>
      <c r="F613" s="2914" t="s">
        <v>3720</v>
      </c>
      <c r="G613" s="2915">
        <v>60.69</v>
      </c>
      <c r="H613" s="2915">
        <f t="shared" si="10"/>
        <v>10.66</v>
      </c>
      <c r="Q613" s="3004">
        <v>609</v>
      </c>
      <c r="R613" s="2999" t="s">
        <v>5256</v>
      </c>
      <c r="S613" s="3000">
        <v>60.69</v>
      </c>
      <c r="T613" s="3000">
        <v>1</v>
      </c>
      <c r="U613" s="3000">
        <v>17260</v>
      </c>
      <c r="V613" s="3000">
        <v>105</v>
      </c>
    </row>
    <row r="614" spans="4:22" ht="14.25" thickBot="1">
      <c r="D614" s="2915">
        <v>610</v>
      </c>
      <c r="E614" s="2915"/>
      <c r="F614" s="2914" t="s">
        <v>3721</v>
      </c>
      <c r="G614" s="2915">
        <v>60.69</v>
      </c>
      <c r="H614" s="2915">
        <f t="shared" si="10"/>
        <v>10.66</v>
      </c>
      <c r="Q614" s="3004">
        <v>610</v>
      </c>
      <c r="R614" s="2999" t="s">
        <v>5257</v>
      </c>
      <c r="S614" s="3000">
        <v>60.69</v>
      </c>
      <c r="T614" s="3000">
        <v>1</v>
      </c>
      <c r="U614" s="3000">
        <v>17260</v>
      </c>
      <c r="V614" s="3000">
        <v>105</v>
      </c>
    </row>
    <row r="615" spans="4:22" ht="14.25" thickBot="1">
      <c r="D615" s="2915">
        <v>611</v>
      </c>
      <c r="E615" s="2915"/>
      <c r="F615" s="2914" t="s">
        <v>3722</v>
      </c>
      <c r="G615" s="2915">
        <v>60.69</v>
      </c>
      <c r="H615" s="2915">
        <f t="shared" si="10"/>
        <v>10.66</v>
      </c>
      <c r="Q615" s="3004">
        <v>611</v>
      </c>
      <c r="R615" s="2999" t="s">
        <v>5258</v>
      </c>
      <c r="S615" s="3000">
        <v>60.69</v>
      </c>
      <c r="T615" s="3000">
        <v>1</v>
      </c>
      <c r="U615" s="3000">
        <v>17260</v>
      </c>
      <c r="V615" s="3000">
        <v>105</v>
      </c>
    </row>
    <row r="616" spans="4:22" ht="14.25" thickBot="1">
      <c r="D616" s="2915">
        <v>612</v>
      </c>
      <c r="E616" s="2915"/>
      <c r="F616" s="2914" t="s">
        <v>3723</v>
      </c>
      <c r="G616" s="2915">
        <v>54.3</v>
      </c>
      <c r="H616" s="2915">
        <f t="shared" si="10"/>
        <v>9.5299999999999994</v>
      </c>
      <c r="Q616" s="3004">
        <v>612</v>
      </c>
      <c r="R616" s="2999" t="s">
        <v>5259</v>
      </c>
      <c r="S616" s="3000">
        <v>54.3</v>
      </c>
      <c r="T616" s="3000">
        <v>1</v>
      </c>
      <c r="U616" s="3000">
        <v>17260</v>
      </c>
      <c r="V616" s="3000">
        <v>94</v>
      </c>
    </row>
    <row r="617" spans="4:22" ht="14.25" thickBot="1">
      <c r="D617" s="2915">
        <v>613</v>
      </c>
      <c r="E617" s="2915"/>
      <c r="F617" s="2914" t="s">
        <v>3724</v>
      </c>
      <c r="G617" s="2915">
        <v>60.68</v>
      </c>
      <c r="H617" s="2915">
        <f t="shared" si="10"/>
        <v>10.65</v>
      </c>
      <c r="Q617" s="3004">
        <v>613</v>
      </c>
      <c r="R617" s="2999" t="s">
        <v>5260</v>
      </c>
      <c r="S617" s="3000">
        <v>60.68</v>
      </c>
      <c r="T617" s="3000">
        <v>1</v>
      </c>
      <c r="U617" s="3000">
        <v>17260</v>
      </c>
      <c r="V617" s="3000">
        <v>105</v>
      </c>
    </row>
    <row r="618" spans="4:22" ht="14.25" thickBot="1">
      <c r="D618" s="2915">
        <v>614</v>
      </c>
      <c r="E618" s="2915"/>
      <c r="F618" s="2914" t="s">
        <v>3725</v>
      </c>
      <c r="G618" s="2915">
        <v>80.459999999999994</v>
      </c>
      <c r="H618" s="2915">
        <f t="shared" si="10"/>
        <v>14.13</v>
      </c>
      <c r="Q618" s="3004">
        <v>614</v>
      </c>
      <c r="R618" s="2999" t="s">
        <v>5261</v>
      </c>
      <c r="S618" s="3000">
        <v>80.459999999999994</v>
      </c>
      <c r="T618" s="3000">
        <v>1</v>
      </c>
      <c r="U618" s="3000">
        <v>17260</v>
      </c>
      <c r="V618" s="3000">
        <v>139</v>
      </c>
    </row>
    <row r="619" spans="4:22" ht="14.25" thickBot="1">
      <c r="D619" s="2915">
        <v>615</v>
      </c>
      <c r="E619" s="2915"/>
      <c r="F619" s="2914" t="s">
        <v>3726</v>
      </c>
      <c r="G619" s="2915">
        <v>80.45</v>
      </c>
      <c r="H619" s="2915">
        <f t="shared" si="10"/>
        <v>14.13</v>
      </c>
      <c r="Q619" s="3004">
        <v>615</v>
      </c>
      <c r="R619" s="2999" t="s">
        <v>5262</v>
      </c>
      <c r="S619" s="3000">
        <v>80.45</v>
      </c>
      <c r="T619" s="3000">
        <v>1</v>
      </c>
      <c r="U619" s="3000">
        <v>17260</v>
      </c>
      <c r="V619" s="3000">
        <v>139</v>
      </c>
    </row>
    <row r="620" spans="4:22" ht="14.25" thickBot="1">
      <c r="D620" s="2915">
        <v>616</v>
      </c>
      <c r="E620" s="2915"/>
      <c r="F620" s="2914" t="s">
        <v>3727</v>
      </c>
      <c r="G620" s="2915">
        <v>60.69</v>
      </c>
      <c r="H620" s="2915">
        <f t="shared" si="10"/>
        <v>10.66</v>
      </c>
      <c r="Q620" s="3004">
        <v>616</v>
      </c>
      <c r="R620" s="2999" t="s">
        <v>5263</v>
      </c>
      <c r="S620" s="3000">
        <v>60.69</v>
      </c>
      <c r="T620" s="3000">
        <v>1</v>
      </c>
      <c r="U620" s="3000">
        <v>17260</v>
      </c>
      <c r="V620" s="3000">
        <v>105</v>
      </c>
    </row>
    <row r="621" spans="4:22" ht="14.25" thickBot="1">
      <c r="D621" s="2915">
        <v>617</v>
      </c>
      <c r="E621" s="2915"/>
      <c r="F621" s="2914" t="s">
        <v>3728</v>
      </c>
      <c r="G621" s="2915">
        <v>60.69</v>
      </c>
      <c r="H621" s="2915">
        <f t="shared" si="10"/>
        <v>10.66</v>
      </c>
      <c r="Q621" s="3004">
        <v>617</v>
      </c>
      <c r="R621" s="2999" t="s">
        <v>5264</v>
      </c>
      <c r="S621" s="3000">
        <v>60.69</v>
      </c>
      <c r="T621" s="3000">
        <v>1</v>
      </c>
      <c r="U621" s="3000">
        <v>17260</v>
      </c>
      <c r="V621" s="3000">
        <v>105</v>
      </c>
    </row>
    <row r="622" spans="4:22" ht="14.25" thickBot="1">
      <c r="D622" s="2915">
        <v>618</v>
      </c>
      <c r="E622" s="2915"/>
      <c r="F622" s="2914" t="s">
        <v>3729</v>
      </c>
      <c r="G622" s="2915">
        <v>60.68</v>
      </c>
      <c r="H622" s="2915">
        <f t="shared" si="10"/>
        <v>10.65</v>
      </c>
      <c r="Q622" s="3004">
        <v>618</v>
      </c>
      <c r="R622" s="2999" t="s">
        <v>5265</v>
      </c>
      <c r="S622" s="3000">
        <v>60.68</v>
      </c>
      <c r="T622" s="3000">
        <v>1</v>
      </c>
      <c r="U622" s="3000">
        <v>17260</v>
      </c>
      <c r="V622" s="3000">
        <v>105</v>
      </c>
    </row>
    <row r="623" spans="4:22" ht="14.25" thickBot="1">
      <c r="D623" s="2915">
        <v>619</v>
      </c>
      <c r="E623" s="2915"/>
      <c r="F623" s="2914" t="s">
        <v>3730</v>
      </c>
      <c r="G623" s="2915">
        <v>60.69</v>
      </c>
      <c r="H623" s="2915">
        <f t="shared" si="10"/>
        <v>10.66</v>
      </c>
      <c r="Q623" s="3004">
        <v>619</v>
      </c>
      <c r="R623" s="2999" t="s">
        <v>5266</v>
      </c>
      <c r="S623" s="3000">
        <v>60.69</v>
      </c>
      <c r="T623" s="3000">
        <v>1</v>
      </c>
      <c r="U623" s="3000">
        <v>17260</v>
      </c>
      <c r="V623" s="3000">
        <v>105</v>
      </c>
    </row>
    <row r="624" spans="4:22" ht="14.25" thickBot="1">
      <c r="D624" s="2915">
        <v>620</v>
      </c>
      <c r="E624" s="2915"/>
      <c r="F624" s="2914" t="s">
        <v>3731</v>
      </c>
      <c r="G624" s="2915">
        <v>60.69</v>
      </c>
      <c r="H624" s="2915">
        <f t="shared" si="10"/>
        <v>10.66</v>
      </c>
      <c r="Q624" s="3004">
        <v>620</v>
      </c>
      <c r="R624" s="2999" t="s">
        <v>5267</v>
      </c>
      <c r="S624" s="3000">
        <v>60.69</v>
      </c>
      <c r="T624" s="3000">
        <v>1</v>
      </c>
      <c r="U624" s="3000">
        <v>17260</v>
      </c>
      <c r="V624" s="3000">
        <v>105</v>
      </c>
    </row>
    <row r="625" spans="4:22" ht="14.25" thickBot="1">
      <c r="D625" s="2915">
        <v>621</v>
      </c>
      <c r="E625" s="2915"/>
      <c r="F625" s="2914" t="s">
        <v>3732</v>
      </c>
      <c r="G625" s="2915">
        <v>60.69</v>
      </c>
      <c r="H625" s="2915">
        <f t="shared" si="10"/>
        <v>10.66</v>
      </c>
      <c r="Q625" s="3004">
        <v>621</v>
      </c>
      <c r="R625" s="2999" t="s">
        <v>5268</v>
      </c>
      <c r="S625" s="3000">
        <v>60.69</v>
      </c>
      <c r="T625" s="3000">
        <v>1</v>
      </c>
      <c r="U625" s="3000">
        <v>17260</v>
      </c>
      <c r="V625" s="3000">
        <v>105</v>
      </c>
    </row>
    <row r="626" spans="4:22" ht="14.25" thickBot="1">
      <c r="D626" s="2915">
        <v>622</v>
      </c>
      <c r="E626" s="2915"/>
      <c r="F626" s="2914" t="s">
        <v>3733</v>
      </c>
      <c r="G626" s="2915">
        <v>60.69</v>
      </c>
      <c r="H626" s="2915">
        <f t="shared" si="10"/>
        <v>10.66</v>
      </c>
      <c r="Q626" s="3004">
        <v>622</v>
      </c>
      <c r="R626" s="2999" t="s">
        <v>5269</v>
      </c>
      <c r="S626" s="3000">
        <v>60.69</v>
      </c>
      <c r="T626" s="3000">
        <v>1</v>
      </c>
      <c r="U626" s="3000">
        <v>17260</v>
      </c>
      <c r="V626" s="3000">
        <v>105</v>
      </c>
    </row>
    <row r="627" spans="4:22" ht="14.25" thickBot="1">
      <c r="D627" s="2915">
        <v>623</v>
      </c>
      <c r="E627" s="2915"/>
      <c r="F627" s="2914" t="s">
        <v>3734</v>
      </c>
      <c r="G627" s="2915">
        <v>60.69</v>
      </c>
      <c r="H627" s="2915">
        <f t="shared" si="10"/>
        <v>10.66</v>
      </c>
      <c r="Q627" s="3004">
        <v>623</v>
      </c>
      <c r="R627" s="2999" t="s">
        <v>5270</v>
      </c>
      <c r="S627" s="3000">
        <v>60.69</v>
      </c>
      <c r="T627" s="3000">
        <v>1</v>
      </c>
      <c r="U627" s="3000">
        <v>17260</v>
      </c>
      <c r="V627" s="3000">
        <v>105</v>
      </c>
    </row>
    <row r="628" spans="4:22" ht="14.25" thickBot="1">
      <c r="D628" s="2915">
        <v>624</v>
      </c>
      <c r="E628" s="2915"/>
      <c r="F628" s="2914" t="s">
        <v>3735</v>
      </c>
      <c r="G628" s="2915">
        <v>60.69</v>
      </c>
      <c r="H628" s="2915">
        <f t="shared" si="10"/>
        <v>10.66</v>
      </c>
      <c r="Q628" s="3004">
        <v>624</v>
      </c>
      <c r="R628" s="2999" t="s">
        <v>5271</v>
      </c>
      <c r="S628" s="3000">
        <v>60.69</v>
      </c>
      <c r="T628" s="3000">
        <v>1</v>
      </c>
      <c r="U628" s="3000">
        <v>17260</v>
      </c>
      <c r="V628" s="3000">
        <v>105</v>
      </c>
    </row>
    <row r="629" spans="4:22" ht="14.25" thickBot="1">
      <c r="D629" s="2915">
        <v>625</v>
      </c>
      <c r="E629" s="2915"/>
      <c r="F629" s="2914" t="s">
        <v>3736</v>
      </c>
      <c r="G629" s="2915">
        <v>60.69</v>
      </c>
      <c r="H629" s="2915">
        <f t="shared" si="10"/>
        <v>10.66</v>
      </c>
      <c r="Q629" s="3004">
        <v>625</v>
      </c>
      <c r="R629" s="2999" t="s">
        <v>5272</v>
      </c>
      <c r="S629" s="3000">
        <v>60.69</v>
      </c>
      <c r="T629" s="3000">
        <v>1</v>
      </c>
      <c r="U629" s="3000">
        <v>17260</v>
      </c>
      <c r="V629" s="3000">
        <v>105</v>
      </c>
    </row>
    <row r="630" spans="4:22" ht="14.25" thickBot="1">
      <c r="D630" s="2915">
        <v>626</v>
      </c>
      <c r="E630" s="2915"/>
      <c r="F630" s="2914" t="s">
        <v>3737</v>
      </c>
      <c r="G630" s="2915">
        <v>60.69</v>
      </c>
      <c r="H630" s="2915">
        <f t="shared" si="10"/>
        <v>10.66</v>
      </c>
      <c r="Q630" s="3004">
        <v>626</v>
      </c>
      <c r="R630" s="2999" t="s">
        <v>5273</v>
      </c>
      <c r="S630" s="3000">
        <v>60.69</v>
      </c>
      <c r="T630" s="3000">
        <v>1</v>
      </c>
      <c r="U630" s="3000">
        <v>17260</v>
      </c>
      <c r="V630" s="3000">
        <v>105</v>
      </c>
    </row>
    <row r="631" spans="4:22" ht="14.25" thickBot="1">
      <c r="D631" s="2915">
        <v>627</v>
      </c>
      <c r="E631" s="2915"/>
      <c r="F631" s="2914" t="s">
        <v>3738</v>
      </c>
      <c r="G631" s="2915">
        <v>104.53</v>
      </c>
      <c r="H631" s="2915">
        <f t="shared" si="10"/>
        <v>18.350000000000001</v>
      </c>
      <c r="Q631" s="3004">
        <v>627</v>
      </c>
      <c r="R631" s="2999" t="s">
        <v>5274</v>
      </c>
      <c r="S631" s="3000">
        <v>104.53</v>
      </c>
      <c r="T631" s="3000">
        <v>0.99</v>
      </c>
      <c r="U631" s="3000">
        <v>17087</v>
      </c>
      <c r="V631" s="3000">
        <v>179</v>
      </c>
    </row>
    <row r="632" spans="4:22" ht="14.25" thickBot="1">
      <c r="D632" s="2915">
        <v>628</v>
      </c>
      <c r="E632" s="2915"/>
      <c r="F632" s="2914" t="s">
        <v>3739</v>
      </c>
      <c r="G632" s="2915">
        <v>55.78</v>
      </c>
      <c r="H632" s="2915">
        <f t="shared" si="10"/>
        <v>9.7899999999999991</v>
      </c>
      <c r="Q632" s="3004">
        <v>628</v>
      </c>
      <c r="R632" s="2999" t="s">
        <v>5275</v>
      </c>
      <c r="S632" s="3000">
        <v>55.78</v>
      </c>
      <c r="T632" s="3000">
        <v>1</v>
      </c>
      <c r="U632" s="3000">
        <v>17260</v>
      </c>
      <c r="V632" s="3000">
        <v>96</v>
      </c>
    </row>
    <row r="633" spans="4:22" ht="14.25" thickBot="1">
      <c r="D633" s="2915">
        <v>629</v>
      </c>
      <c r="E633" s="2915"/>
      <c r="F633" s="2914" t="s">
        <v>3740</v>
      </c>
      <c r="G633" s="2915">
        <v>48.86</v>
      </c>
      <c r="H633" s="2915">
        <f t="shared" si="10"/>
        <v>8.58</v>
      </c>
      <c r="Q633" s="3004">
        <v>629</v>
      </c>
      <c r="R633" s="2999" t="s">
        <v>5276</v>
      </c>
      <c r="S633" s="3000">
        <v>48.86</v>
      </c>
      <c r="T633" s="3000">
        <v>1</v>
      </c>
      <c r="U633" s="3000">
        <v>17260</v>
      </c>
      <c r="V633" s="3000">
        <v>84</v>
      </c>
    </row>
    <row r="634" spans="4:22" ht="14.25" thickBot="1">
      <c r="D634" s="2915">
        <v>630</v>
      </c>
      <c r="E634" s="2915"/>
      <c r="F634" s="2914" t="s">
        <v>3741</v>
      </c>
      <c r="G634" s="2915">
        <v>48.86</v>
      </c>
      <c r="H634" s="2915">
        <f t="shared" si="10"/>
        <v>8.58</v>
      </c>
      <c r="Q634" s="3004">
        <v>630</v>
      </c>
      <c r="R634" s="2999" t="s">
        <v>5277</v>
      </c>
      <c r="S634" s="3000">
        <v>48.86</v>
      </c>
      <c r="T634" s="3000">
        <v>1</v>
      </c>
      <c r="U634" s="3000">
        <v>17260</v>
      </c>
      <c r="V634" s="3000">
        <v>84</v>
      </c>
    </row>
    <row r="635" spans="4:22" ht="14.25" thickBot="1">
      <c r="D635" s="2915">
        <v>631</v>
      </c>
      <c r="E635" s="2915"/>
      <c r="F635" s="2914" t="s">
        <v>3742</v>
      </c>
      <c r="G635" s="2915">
        <v>48.86</v>
      </c>
      <c r="H635" s="2915">
        <f t="shared" si="10"/>
        <v>8.58</v>
      </c>
      <c r="Q635" s="3004">
        <v>631</v>
      </c>
      <c r="R635" s="2999" t="s">
        <v>5278</v>
      </c>
      <c r="S635" s="3000">
        <v>48.86</v>
      </c>
      <c r="T635" s="3000">
        <v>1</v>
      </c>
      <c r="U635" s="3000">
        <v>17260</v>
      </c>
      <c r="V635" s="3000">
        <v>84</v>
      </c>
    </row>
    <row r="636" spans="4:22" ht="14.25" thickBot="1">
      <c r="D636" s="2915">
        <v>632</v>
      </c>
      <c r="E636" s="2915"/>
      <c r="F636" s="2914" t="s">
        <v>3743</v>
      </c>
      <c r="G636" s="2915">
        <v>54.5</v>
      </c>
      <c r="H636" s="2915">
        <f t="shared" si="10"/>
        <v>9.57</v>
      </c>
      <c r="Q636" s="3004">
        <v>632</v>
      </c>
      <c r="R636" s="2999" t="s">
        <v>5279</v>
      </c>
      <c r="S636" s="3000">
        <v>54.5</v>
      </c>
      <c r="T636" s="3000">
        <v>1</v>
      </c>
      <c r="U636" s="3000">
        <v>17260</v>
      </c>
      <c r="V636" s="3000">
        <v>94</v>
      </c>
    </row>
    <row r="637" spans="4:22" ht="14.25" thickBot="1">
      <c r="D637" s="2915">
        <v>633</v>
      </c>
      <c r="E637" s="2915"/>
      <c r="F637" s="2914" t="s">
        <v>3744</v>
      </c>
      <c r="G637" s="2915">
        <v>64.58</v>
      </c>
      <c r="H637" s="2915">
        <f t="shared" si="10"/>
        <v>11.34</v>
      </c>
      <c r="Q637" s="3004">
        <v>633</v>
      </c>
      <c r="R637" s="2999" t="s">
        <v>5280</v>
      </c>
      <c r="S637" s="3000">
        <v>64.58</v>
      </c>
      <c r="T637" s="3000">
        <v>1</v>
      </c>
      <c r="U637" s="3000">
        <v>17260</v>
      </c>
      <c r="V637" s="3000">
        <v>111</v>
      </c>
    </row>
    <row r="638" spans="4:22" ht="14.25" thickBot="1">
      <c r="D638" s="2915">
        <v>634</v>
      </c>
      <c r="E638" s="2915"/>
      <c r="F638" s="2914" t="s">
        <v>3745</v>
      </c>
      <c r="G638" s="2915">
        <v>45.32</v>
      </c>
      <c r="H638" s="2915">
        <f t="shared" si="10"/>
        <v>7.96</v>
      </c>
      <c r="Q638" s="3004">
        <v>634</v>
      </c>
      <c r="R638" s="2999" t="s">
        <v>5281</v>
      </c>
      <c r="S638" s="3000">
        <v>45.32</v>
      </c>
      <c r="T638" s="3000">
        <v>1</v>
      </c>
      <c r="U638" s="3000">
        <v>17260</v>
      </c>
      <c r="V638" s="3000">
        <v>78</v>
      </c>
    </row>
    <row r="639" spans="4:22" ht="14.25" thickBot="1">
      <c r="D639" s="2915">
        <v>635</v>
      </c>
      <c r="E639" s="2915"/>
      <c r="F639" s="2914" t="s">
        <v>3746</v>
      </c>
      <c r="G639" s="2915">
        <v>45.2</v>
      </c>
      <c r="H639" s="2915">
        <f t="shared" si="10"/>
        <v>7.94</v>
      </c>
      <c r="Q639" s="3004">
        <v>635</v>
      </c>
      <c r="R639" s="2999" t="s">
        <v>5282</v>
      </c>
      <c r="S639" s="3000">
        <v>45.2</v>
      </c>
      <c r="T639" s="3000">
        <v>1</v>
      </c>
      <c r="U639" s="3000">
        <v>17260</v>
      </c>
      <c r="V639" s="3000">
        <v>78</v>
      </c>
    </row>
    <row r="640" spans="4:22" ht="14.25" thickBot="1">
      <c r="D640" s="2915">
        <v>636</v>
      </c>
      <c r="E640" s="2915"/>
      <c r="F640" s="2914" t="s">
        <v>3747</v>
      </c>
      <c r="G640" s="2915">
        <v>45.32</v>
      </c>
      <c r="H640" s="2915">
        <f t="shared" si="10"/>
        <v>7.96</v>
      </c>
      <c r="Q640" s="3004">
        <v>636</v>
      </c>
      <c r="R640" s="2999" t="s">
        <v>5283</v>
      </c>
      <c r="S640" s="3000">
        <v>45.32</v>
      </c>
      <c r="T640" s="3000">
        <v>1</v>
      </c>
      <c r="U640" s="3000">
        <v>17260</v>
      </c>
      <c r="V640" s="3000">
        <v>78</v>
      </c>
    </row>
    <row r="641" spans="4:22" ht="14.25" thickBot="1">
      <c r="D641" s="2915">
        <v>637</v>
      </c>
      <c r="E641" s="2915"/>
      <c r="F641" s="2914" t="s">
        <v>3748</v>
      </c>
      <c r="G641" s="2915">
        <v>45.32</v>
      </c>
      <c r="H641" s="2915">
        <f t="shared" si="10"/>
        <v>7.96</v>
      </c>
      <c r="Q641" s="3004">
        <v>637</v>
      </c>
      <c r="R641" s="2999" t="s">
        <v>5284</v>
      </c>
      <c r="S641" s="3000">
        <v>45.32</v>
      </c>
      <c r="T641" s="3000">
        <v>1</v>
      </c>
      <c r="U641" s="3000">
        <v>17260</v>
      </c>
      <c r="V641" s="3000">
        <v>78</v>
      </c>
    </row>
    <row r="642" spans="4:22" ht="14.25" thickBot="1">
      <c r="D642" s="2915">
        <v>638</v>
      </c>
      <c r="E642" s="2915"/>
      <c r="F642" s="2914" t="s">
        <v>3749</v>
      </c>
      <c r="G642" s="2915">
        <v>48.86</v>
      </c>
      <c r="H642" s="2915">
        <f t="shared" si="10"/>
        <v>8.58</v>
      </c>
      <c r="Q642" s="3004">
        <v>638</v>
      </c>
      <c r="R642" s="2999" t="s">
        <v>5285</v>
      </c>
      <c r="S642" s="3000">
        <v>48.86</v>
      </c>
      <c r="T642" s="3000">
        <v>1</v>
      </c>
      <c r="U642" s="3000">
        <v>17260</v>
      </c>
      <c r="V642" s="3000">
        <v>84</v>
      </c>
    </row>
    <row r="643" spans="4:22" ht="14.25" thickBot="1">
      <c r="D643" s="2915">
        <v>639</v>
      </c>
      <c r="E643" s="2915"/>
      <c r="F643" s="2914" t="s">
        <v>3750</v>
      </c>
      <c r="G643" s="2915">
        <v>44.51</v>
      </c>
      <c r="H643" s="2915">
        <f t="shared" si="10"/>
        <v>7.82</v>
      </c>
      <c r="Q643" s="3004">
        <v>639</v>
      </c>
      <c r="R643" s="2999" t="s">
        <v>5286</v>
      </c>
      <c r="S643" s="3000">
        <v>44.51</v>
      </c>
      <c r="T643" s="3000">
        <v>1</v>
      </c>
      <c r="U643" s="3000">
        <v>17260</v>
      </c>
      <c r="V643" s="3000">
        <v>77</v>
      </c>
    </row>
    <row r="644" spans="4:22" ht="14.25" thickBot="1">
      <c r="D644" s="2915">
        <v>640</v>
      </c>
      <c r="E644" s="2915"/>
      <c r="F644" s="2914" t="s">
        <v>3751</v>
      </c>
      <c r="G644" s="2915">
        <v>54.67</v>
      </c>
      <c r="H644" s="2915">
        <f t="shared" si="10"/>
        <v>9.6</v>
      </c>
      <c r="Q644" s="3004">
        <v>640</v>
      </c>
      <c r="R644" s="2999" t="s">
        <v>5287</v>
      </c>
      <c r="S644" s="3000">
        <v>54.67</v>
      </c>
      <c r="T644" s="3000">
        <v>1</v>
      </c>
      <c r="U644" s="3000">
        <v>17260</v>
      </c>
      <c r="V644" s="3000">
        <v>94</v>
      </c>
    </row>
    <row r="645" spans="4:22" ht="14.25" thickBot="1">
      <c r="D645" s="2915">
        <v>641</v>
      </c>
      <c r="E645" s="2915"/>
      <c r="F645" s="2914" t="s">
        <v>3752</v>
      </c>
      <c r="G645" s="2915">
        <v>48.86</v>
      </c>
      <c r="H645" s="2915">
        <f t="shared" si="10"/>
        <v>8.58</v>
      </c>
      <c r="Q645" s="3004">
        <v>641</v>
      </c>
      <c r="R645" s="2999" t="s">
        <v>5288</v>
      </c>
      <c r="S645" s="3000">
        <v>48.86</v>
      </c>
      <c r="T645" s="3000">
        <v>1</v>
      </c>
      <c r="U645" s="3000">
        <v>17260</v>
      </c>
      <c r="V645" s="3000">
        <v>84</v>
      </c>
    </row>
    <row r="646" spans="4:22" ht="14.25" thickBot="1">
      <c r="D646" s="2915">
        <v>642</v>
      </c>
      <c r="E646" s="2915"/>
      <c r="F646" s="2914" t="s">
        <v>3753</v>
      </c>
      <c r="G646" s="2915">
        <v>48.86</v>
      </c>
      <c r="H646" s="2915">
        <f t="shared" ref="H646:H709" si="11">ROUND(G646/$N$7*$M$7,2)</f>
        <v>8.58</v>
      </c>
      <c r="Q646" s="3004">
        <v>642</v>
      </c>
      <c r="R646" s="2999" t="s">
        <v>5289</v>
      </c>
      <c r="S646" s="3000">
        <v>48.86</v>
      </c>
      <c r="T646" s="3000">
        <v>1</v>
      </c>
      <c r="U646" s="3000">
        <v>17260</v>
      </c>
      <c r="V646" s="3000">
        <v>84</v>
      </c>
    </row>
    <row r="647" spans="4:22" ht="14.25" thickBot="1">
      <c r="D647" s="2915">
        <v>643</v>
      </c>
      <c r="E647" s="2915"/>
      <c r="F647" s="2914" t="s">
        <v>3754</v>
      </c>
      <c r="G647" s="2915">
        <v>48.86</v>
      </c>
      <c r="H647" s="2915">
        <f t="shared" si="11"/>
        <v>8.58</v>
      </c>
      <c r="Q647" s="3004">
        <v>643</v>
      </c>
      <c r="R647" s="2999" t="s">
        <v>5290</v>
      </c>
      <c r="S647" s="3000">
        <v>48.86</v>
      </c>
      <c r="T647" s="3000">
        <v>1</v>
      </c>
      <c r="U647" s="3000">
        <v>17260</v>
      </c>
      <c r="V647" s="3000">
        <v>84</v>
      </c>
    </row>
    <row r="648" spans="4:22" ht="14.25" thickBot="1">
      <c r="D648" s="2915">
        <v>644</v>
      </c>
      <c r="E648" s="2915"/>
      <c r="F648" s="2914" t="s">
        <v>3755</v>
      </c>
      <c r="G648" s="2915">
        <v>54.87</v>
      </c>
      <c r="H648" s="2915">
        <f t="shared" si="11"/>
        <v>9.6300000000000008</v>
      </c>
      <c r="Q648" s="3004">
        <v>644</v>
      </c>
      <c r="R648" s="2999" t="s">
        <v>5291</v>
      </c>
      <c r="S648" s="3000">
        <v>54.87</v>
      </c>
      <c r="T648" s="3000">
        <v>1</v>
      </c>
      <c r="U648" s="3000">
        <v>17260</v>
      </c>
      <c r="V648" s="3000">
        <v>95</v>
      </c>
    </row>
    <row r="649" spans="4:22" ht="14.25" thickBot="1">
      <c r="D649" s="2915">
        <v>645</v>
      </c>
      <c r="E649" s="2915"/>
      <c r="F649" s="2914" t="s">
        <v>3756</v>
      </c>
      <c r="G649" s="2915">
        <v>88.13</v>
      </c>
      <c r="H649" s="2915">
        <f t="shared" si="11"/>
        <v>15.47</v>
      </c>
      <c r="Q649" s="3004">
        <v>645</v>
      </c>
      <c r="R649" s="2999" t="s">
        <v>5292</v>
      </c>
      <c r="S649" s="3000">
        <v>88.13</v>
      </c>
      <c r="T649" s="3000">
        <v>1</v>
      </c>
      <c r="U649" s="3000">
        <v>17260</v>
      </c>
      <c r="V649" s="3000">
        <v>152</v>
      </c>
    </row>
    <row r="650" spans="4:22" ht="14.25" thickBot="1">
      <c r="D650" s="2915">
        <v>646</v>
      </c>
      <c r="E650" s="2915"/>
      <c r="F650" s="2914" t="s">
        <v>3757</v>
      </c>
      <c r="G650" s="2915">
        <v>186.33</v>
      </c>
      <c r="H650" s="2915">
        <f t="shared" si="11"/>
        <v>32.72</v>
      </c>
      <c r="Q650" s="3004">
        <v>646</v>
      </c>
      <c r="R650" s="2999" t="s">
        <v>5293</v>
      </c>
      <c r="S650" s="3000">
        <v>186.33</v>
      </c>
      <c r="T650" s="3000">
        <v>0.99</v>
      </c>
      <c r="U650" s="3000">
        <v>17087</v>
      </c>
      <c r="V650" s="3000">
        <v>318</v>
      </c>
    </row>
    <row r="651" spans="4:22" ht="14.25" thickBot="1">
      <c r="D651" s="2915">
        <v>647</v>
      </c>
      <c r="E651" s="2915"/>
      <c r="F651" s="2914" t="s">
        <v>3758</v>
      </c>
      <c r="G651" s="2915">
        <v>188.39</v>
      </c>
      <c r="H651" s="2915">
        <f t="shared" si="11"/>
        <v>33.08</v>
      </c>
      <c r="Q651" s="3004">
        <v>647</v>
      </c>
      <c r="R651" s="2999" t="s">
        <v>5294</v>
      </c>
      <c r="S651" s="3000">
        <v>188.39</v>
      </c>
      <c r="T651" s="3000">
        <v>0.99</v>
      </c>
      <c r="U651" s="3000">
        <v>17087</v>
      </c>
      <c r="V651" s="3000">
        <v>322</v>
      </c>
    </row>
    <row r="652" spans="4:22" ht="14.25" thickBot="1">
      <c r="D652" s="2915">
        <v>648</v>
      </c>
      <c r="E652" s="2915"/>
      <c r="F652" s="2914" t="s">
        <v>3759</v>
      </c>
      <c r="G652" s="2915">
        <v>188.39</v>
      </c>
      <c r="H652" s="2915">
        <f t="shared" si="11"/>
        <v>33.08</v>
      </c>
      <c r="Q652" s="3004">
        <v>648</v>
      </c>
      <c r="R652" s="2999" t="s">
        <v>5295</v>
      </c>
      <c r="S652" s="3000">
        <v>188.39</v>
      </c>
      <c r="T652" s="3000">
        <v>0.99</v>
      </c>
      <c r="U652" s="3000">
        <v>17087</v>
      </c>
      <c r="V652" s="3000">
        <v>322</v>
      </c>
    </row>
    <row r="653" spans="4:22" ht="14.25" thickBot="1">
      <c r="D653" s="2915">
        <v>649</v>
      </c>
      <c r="E653" s="2915"/>
      <c r="F653" s="2914" t="s">
        <v>3760</v>
      </c>
      <c r="G653" s="2915">
        <v>188.39</v>
      </c>
      <c r="H653" s="2915">
        <f t="shared" si="11"/>
        <v>33.08</v>
      </c>
      <c r="Q653" s="3004">
        <v>649</v>
      </c>
      <c r="R653" s="2999" t="s">
        <v>5296</v>
      </c>
      <c r="S653" s="3000">
        <v>188.39</v>
      </c>
      <c r="T653" s="3000">
        <v>0.99</v>
      </c>
      <c r="U653" s="3000">
        <v>17087</v>
      </c>
      <c r="V653" s="3000">
        <v>322</v>
      </c>
    </row>
    <row r="654" spans="4:22" ht="14.25" thickBot="1">
      <c r="D654" s="2915">
        <v>650</v>
      </c>
      <c r="E654" s="2915"/>
      <c r="F654" s="2914" t="s">
        <v>3761</v>
      </c>
      <c r="G654" s="2915">
        <v>188.39</v>
      </c>
      <c r="H654" s="2915">
        <f t="shared" si="11"/>
        <v>33.08</v>
      </c>
      <c r="Q654" s="3004">
        <v>650</v>
      </c>
      <c r="R654" s="2999" t="s">
        <v>5297</v>
      </c>
      <c r="S654" s="3000">
        <v>188.39</v>
      </c>
      <c r="T654" s="3000">
        <v>0.99</v>
      </c>
      <c r="U654" s="3000">
        <v>17087</v>
      </c>
      <c r="V654" s="3000">
        <v>322</v>
      </c>
    </row>
    <row r="655" spans="4:22" ht="14.25" thickBot="1">
      <c r="D655" s="2915">
        <v>651</v>
      </c>
      <c r="E655" s="2915"/>
      <c r="F655" s="2914" t="s">
        <v>3762</v>
      </c>
      <c r="G655" s="2915">
        <v>188.39</v>
      </c>
      <c r="H655" s="2915">
        <f t="shared" si="11"/>
        <v>33.08</v>
      </c>
      <c r="Q655" s="3004">
        <v>651</v>
      </c>
      <c r="R655" s="2999" t="s">
        <v>5298</v>
      </c>
      <c r="S655" s="3000">
        <v>188.39</v>
      </c>
      <c r="T655" s="3000">
        <v>0.99</v>
      </c>
      <c r="U655" s="3000">
        <v>17087</v>
      </c>
      <c r="V655" s="3000">
        <v>322</v>
      </c>
    </row>
    <row r="656" spans="4:22" ht="14.25" thickBot="1">
      <c r="D656" s="2915">
        <v>652</v>
      </c>
      <c r="E656" s="2915"/>
      <c r="F656" s="2914" t="s">
        <v>3763</v>
      </c>
      <c r="G656" s="2915">
        <v>187.53</v>
      </c>
      <c r="H656" s="2915">
        <f t="shared" si="11"/>
        <v>32.93</v>
      </c>
      <c r="Q656" s="3004">
        <v>652</v>
      </c>
      <c r="R656" s="2999" t="s">
        <v>5299</v>
      </c>
      <c r="S656" s="3000">
        <v>187.53</v>
      </c>
      <c r="T656" s="3000">
        <v>0.99</v>
      </c>
      <c r="U656" s="3000">
        <v>17087</v>
      </c>
      <c r="V656" s="3000">
        <v>320</v>
      </c>
    </row>
    <row r="657" spans="4:22" ht="14.25" thickBot="1">
      <c r="D657" s="2915">
        <v>653</v>
      </c>
      <c r="E657" s="2915"/>
      <c r="F657" s="2914" t="s">
        <v>3764</v>
      </c>
      <c r="G657" s="2915">
        <v>210.19</v>
      </c>
      <c r="H657" s="2915">
        <f t="shared" si="11"/>
        <v>36.909999999999997</v>
      </c>
      <c r="Q657" s="3004">
        <v>653</v>
      </c>
      <c r="R657" s="2999" t="s">
        <v>5300</v>
      </c>
      <c r="S657" s="3000">
        <v>210.19</v>
      </c>
      <c r="T657" s="3000">
        <v>0.98</v>
      </c>
      <c r="U657" s="3000">
        <v>16915</v>
      </c>
      <c r="V657" s="3000">
        <v>356</v>
      </c>
    </row>
    <row r="658" spans="4:22" ht="14.25" thickBot="1">
      <c r="D658" s="2915">
        <v>654</v>
      </c>
      <c r="E658" s="2915"/>
      <c r="F658" s="2914" t="s">
        <v>3765</v>
      </c>
      <c r="G658" s="2915">
        <v>169.2</v>
      </c>
      <c r="H658" s="2915">
        <f t="shared" si="11"/>
        <v>29.71</v>
      </c>
      <c r="Q658" s="3004">
        <v>654</v>
      </c>
      <c r="R658" s="2999" t="s">
        <v>5301</v>
      </c>
      <c r="S658" s="3000">
        <v>169.2</v>
      </c>
      <c r="T658" s="3000">
        <v>0.99</v>
      </c>
      <c r="U658" s="3000">
        <v>17087</v>
      </c>
      <c r="V658" s="3000">
        <v>289</v>
      </c>
    </row>
    <row r="659" spans="4:22" ht="14.25" thickBot="1">
      <c r="D659" s="2915">
        <v>655</v>
      </c>
      <c r="E659" s="2915"/>
      <c r="F659" s="2914" t="s">
        <v>3766</v>
      </c>
      <c r="G659" s="2915">
        <v>178.35</v>
      </c>
      <c r="H659" s="2915">
        <f t="shared" si="11"/>
        <v>31.32</v>
      </c>
      <c r="Q659" s="3004">
        <v>655</v>
      </c>
      <c r="R659" s="2999" t="s">
        <v>5302</v>
      </c>
      <c r="S659" s="3000">
        <v>178.35</v>
      </c>
      <c r="T659" s="3000">
        <v>0.99</v>
      </c>
      <c r="U659" s="3000">
        <v>17087</v>
      </c>
      <c r="V659" s="3000">
        <v>305</v>
      </c>
    </row>
    <row r="660" spans="4:22" ht="14.25" thickBot="1">
      <c r="D660" s="2915">
        <v>656</v>
      </c>
      <c r="E660" s="2915"/>
      <c r="F660" s="2914" t="s">
        <v>3767</v>
      </c>
      <c r="G660" s="2915">
        <v>208.92</v>
      </c>
      <c r="H660" s="2915">
        <f t="shared" si="11"/>
        <v>36.68</v>
      </c>
      <c r="Q660" s="3004">
        <v>656</v>
      </c>
      <c r="R660" s="2999" t="s">
        <v>5303</v>
      </c>
      <c r="S660" s="3000">
        <v>208.92</v>
      </c>
      <c r="T660" s="3000">
        <v>0.98</v>
      </c>
      <c r="U660" s="3000">
        <v>16915</v>
      </c>
      <c r="V660" s="3000">
        <v>353</v>
      </c>
    </row>
    <row r="661" spans="4:22" ht="14.25" thickBot="1">
      <c r="D661" s="2915">
        <v>657</v>
      </c>
      <c r="E661" s="2915"/>
      <c r="F661" s="2914" t="s">
        <v>3768</v>
      </c>
      <c r="G661" s="2915">
        <v>188.35</v>
      </c>
      <c r="H661" s="2915">
        <f t="shared" si="11"/>
        <v>33.07</v>
      </c>
      <c r="Q661" s="3004">
        <v>657</v>
      </c>
      <c r="R661" s="2999" t="s">
        <v>5304</v>
      </c>
      <c r="S661" s="3000">
        <v>188.35</v>
      </c>
      <c r="T661" s="3000">
        <v>0.99</v>
      </c>
      <c r="U661" s="3000">
        <v>17087</v>
      </c>
      <c r="V661" s="3000">
        <v>322</v>
      </c>
    </row>
    <row r="662" spans="4:22" ht="14.25" thickBot="1">
      <c r="D662" s="2915">
        <v>658</v>
      </c>
      <c r="E662" s="2915"/>
      <c r="F662" s="2914" t="s">
        <v>3769</v>
      </c>
      <c r="G662" s="2915">
        <v>188.39</v>
      </c>
      <c r="H662" s="2915">
        <f t="shared" si="11"/>
        <v>33.08</v>
      </c>
      <c r="Q662" s="3004">
        <v>658</v>
      </c>
      <c r="R662" s="2999" t="s">
        <v>5305</v>
      </c>
      <c r="S662" s="3000">
        <v>188.39</v>
      </c>
      <c r="T662" s="3000">
        <v>0.99</v>
      </c>
      <c r="U662" s="3000">
        <v>17087</v>
      </c>
      <c r="V662" s="3000">
        <v>322</v>
      </c>
    </row>
    <row r="663" spans="4:22" ht="14.25" thickBot="1">
      <c r="D663" s="2915">
        <v>659</v>
      </c>
      <c r="E663" s="2915"/>
      <c r="F663" s="2914" t="s">
        <v>3770</v>
      </c>
      <c r="G663" s="2915">
        <v>188.39</v>
      </c>
      <c r="H663" s="2915">
        <f t="shared" si="11"/>
        <v>33.08</v>
      </c>
      <c r="Q663" s="3004">
        <v>659</v>
      </c>
      <c r="R663" s="2999" t="s">
        <v>5306</v>
      </c>
      <c r="S663" s="3000">
        <v>188.39</v>
      </c>
      <c r="T663" s="3000">
        <v>0.99</v>
      </c>
      <c r="U663" s="3000">
        <v>17087</v>
      </c>
      <c r="V663" s="3000">
        <v>322</v>
      </c>
    </row>
    <row r="664" spans="4:22" ht="14.25" thickBot="1">
      <c r="D664" s="2915">
        <v>660</v>
      </c>
      <c r="E664" s="2915"/>
      <c r="F664" s="2914" t="s">
        <v>3771</v>
      </c>
      <c r="G664" s="2915">
        <v>188.39</v>
      </c>
      <c r="H664" s="2915">
        <f t="shared" si="11"/>
        <v>33.08</v>
      </c>
      <c r="Q664" s="3004">
        <v>660</v>
      </c>
      <c r="R664" s="2999" t="s">
        <v>5307</v>
      </c>
      <c r="S664" s="3000">
        <v>188.39</v>
      </c>
      <c r="T664" s="3000">
        <v>0.99</v>
      </c>
      <c r="U664" s="3000">
        <v>17087</v>
      </c>
      <c r="V664" s="3000">
        <v>322</v>
      </c>
    </row>
    <row r="665" spans="4:22" ht="14.25" thickBot="1">
      <c r="D665" s="2915">
        <v>661</v>
      </c>
      <c r="E665" s="2915"/>
      <c r="F665" s="2914" t="s">
        <v>3772</v>
      </c>
      <c r="G665" s="2915">
        <v>188.39</v>
      </c>
      <c r="H665" s="2915">
        <f t="shared" si="11"/>
        <v>33.08</v>
      </c>
      <c r="Q665" s="3004">
        <v>661</v>
      </c>
      <c r="R665" s="2999" t="s">
        <v>5308</v>
      </c>
      <c r="S665" s="3000">
        <v>188.39</v>
      </c>
      <c r="T665" s="3000">
        <v>0.99</v>
      </c>
      <c r="U665" s="3000">
        <v>17087</v>
      </c>
      <c r="V665" s="3000">
        <v>322</v>
      </c>
    </row>
    <row r="666" spans="4:22" ht="14.25" thickBot="1">
      <c r="D666" s="2915">
        <v>662</v>
      </c>
      <c r="E666" s="2915"/>
      <c r="F666" s="2914" t="s">
        <v>3773</v>
      </c>
      <c r="G666" s="2915">
        <v>188.39</v>
      </c>
      <c r="H666" s="2915">
        <f t="shared" si="11"/>
        <v>33.08</v>
      </c>
      <c r="Q666" s="3004">
        <v>662</v>
      </c>
      <c r="R666" s="2999" t="s">
        <v>5309</v>
      </c>
      <c r="S666" s="3000">
        <v>188.39</v>
      </c>
      <c r="T666" s="3000">
        <v>0.99</v>
      </c>
      <c r="U666" s="3000">
        <v>17087</v>
      </c>
      <c r="V666" s="3000">
        <v>322</v>
      </c>
    </row>
    <row r="667" spans="4:22" ht="14.25" thickBot="1">
      <c r="D667" s="2915">
        <v>663</v>
      </c>
      <c r="E667" s="2915"/>
      <c r="F667" s="2914" t="s">
        <v>3774</v>
      </c>
      <c r="G667" s="2915">
        <v>279.91000000000003</v>
      </c>
      <c r="H667" s="2915">
        <f t="shared" si="11"/>
        <v>49.15</v>
      </c>
      <c r="Q667" s="3004">
        <v>663</v>
      </c>
      <c r="R667" s="2999" t="s">
        <v>5310</v>
      </c>
      <c r="S667" s="3000">
        <v>279.91000000000003</v>
      </c>
      <c r="T667" s="3000">
        <v>0.98</v>
      </c>
      <c r="U667" s="3000">
        <v>16915</v>
      </c>
      <c r="V667" s="3000">
        <v>473</v>
      </c>
    </row>
    <row r="668" spans="4:22" ht="14.25" thickBot="1">
      <c r="D668" s="2915">
        <v>664</v>
      </c>
      <c r="E668" s="2915"/>
      <c r="F668" s="2914" t="s">
        <v>3775</v>
      </c>
      <c r="G668" s="2915">
        <v>175.75</v>
      </c>
      <c r="H668" s="2915">
        <f t="shared" si="11"/>
        <v>30.86</v>
      </c>
      <c r="Q668" s="3004">
        <v>664</v>
      </c>
      <c r="R668" s="2999" t="s">
        <v>5311</v>
      </c>
      <c r="S668" s="3000">
        <v>175.75</v>
      </c>
      <c r="T668" s="3000">
        <v>0.99</v>
      </c>
      <c r="U668" s="3000">
        <v>17087</v>
      </c>
      <c r="V668" s="3000">
        <v>300</v>
      </c>
    </row>
    <row r="669" spans="4:22" ht="14.25" thickBot="1">
      <c r="D669" s="2915">
        <v>665</v>
      </c>
      <c r="E669" s="2915"/>
      <c r="F669" s="2914" t="s">
        <v>3776</v>
      </c>
      <c r="G669" s="2915">
        <v>188.32</v>
      </c>
      <c r="H669" s="2915">
        <f t="shared" si="11"/>
        <v>33.07</v>
      </c>
      <c r="Q669" s="3004">
        <v>665</v>
      </c>
      <c r="R669" s="2999" t="s">
        <v>5312</v>
      </c>
      <c r="S669" s="3000">
        <v>188.32</v>
      </c>
      <c r="T669" s="3000">
        <v>0.99</v>
      </c>
      <c r="U669" s="3000">
        <v>17087</v>
      </c>
      <c r="V669" s="3000">
        <v>322</v>
      </c>
    </row>
    <row r="670" spans="4:22" ht="14.25" thickBot="1">
      <c r="D670" s="2915">
        <v>666</v>
      </c>
      <c r="E670" s="2915"/>
      <c r="F670" s="2914" t="s">
        <v>3777</v>
      </c>
      <c r="G670" s="2915">
        <v>210.22</v>
      </c>
      <c r="H670" s="2915">
        <f t="shared" si="11"/>
        <v>36.909999999999997</v>
      </c>
      <c r="Q670" s="3004">
        <v>666</v>
      </c>
      <c r="R670" s="2999" t="s">
        <v>5313</v>
      </c>
      <c r="S670" s="3000">
        <v>210.22</v>
      </c>
      <c r="T670" s="3000">
        <v>0.98</v>
      </c>
      <c r="U670" s="3000">
        <v>16915</v>
      </c>
      <c r="V670" s="3000">
        <v>356</v>
      </c>
    </row>
    <row r="671" spans="4:22" ht="14.25" thickBot="1">
      <c r="D671" s="2915">
        <v>667</v>
      </c>
      <c r="E671" s="2915"/>
      <c r="F671" s="2914" t="s">
        <v>3778</v>
      </c>
      <c r="G671" s="2915">
        <v>187.56</v>
      </c>
      <c r="H671" s="2915">
        <f t="shared" si="11"/>
        <v>32.93</v>
      </c>
      <c r="Q671" s="3004">
        <v>667</v>
      </c>
      <c r="R671" s="2999" t="s">
        <v>5314</v>
      </c>
      <c r="S671" s="3000">
        <v>187.56</v>
      </c>
      <c r="T671" s="3000">
        <v>0.99</v>
      </c>
      <c r="U671" s="3000">
        <v>17087</v>
      </c>
      <c r="V671" s="3000">
        <v>320</v>
      </c>
    </row>
    <row r="672" spans="4:22" ht="14.25" thickBot="1">
      <c r="D672" s="2915">
        <v>668</v>
      </c>
      <c r="E672" s="2915"/>
      <c r="F672" s="2914" t="s">
        <v>3779</v>
      </c>
      <c r="G672" s="2915">
        <v>188.42</v>
      </c>
      <c r="H672" s="2915">
        <f t="shared" si="11"/>
        <v>33.08</v>
      </c>
      <c r="Q672" s="3004">
        <v>668</v>
      </c>
      <c r="R672" s="2999" t="s">
        <v>5315</v>
      </c>
      <c r="S672" s="3000">
        <v>188.42</v>
      </c>
      <c r="T672" s="3000">
        <v>0.99</v>
      </c>
      <c r="U672" s="3000">
        <v>17087</v>
      </c>
      <c r="V672" s="3000">
        <v>322</v>
      </c>
    </row>
    <row r="673" spans="4:22" ht="14.25" thickBot="1">
      <c r="D673" s="2915">
        <v>669</v>
      </c>
      <c r="E673" s="2915"/>
      <c r="F673" s="2914" t="s">
        <v>3780</v>
      </c>
      <c r="G673" s="2915">
        <v>188.42</v>
      </c>
      <c r="H673" s="2915">
        <f t="shared" si="11"/>
        <v>33.08</v>
      </c>
      <c r="Q673" s="3004">
        <v>669</v>
      </c>
      <c r="R673" s="2999" t="s">
        <v>5316</v>
      </c>
      <c r="S673" s="3000">
        <v>188.42</v>
      </c>
      <c r="T673" s="3000">
        <v>0.99</v>
      </c>
      <c r="U673" s="3000">
        <v>17087</v>
      </c>
      <c r="V673" s="3000">
        <v>322</v>
      </c>
    </row>
    <row r="674" spans="4:22" ht="14.25" thickBot="1">
      <c r="D674" s="2915">
        <v>670</v>
      </c>
      <c r="E674" s="2915"/>
      <c r="F674" s="2914" t="s">
        <v>3781</v>
      </c>
      <c r="G674" s="2915">
        <v>188.42</v>
      </c>
      <c r="H674" s="2915">
        <f t="shared" si="11"/>
        <v>33.08</v>
      </c>
      <c r="Q674" s="3004">
        <v>670</v>
      </c>
      <c r="R674" s="2999" t="s">
        <v>5317</v>
      </c>
      <c r="S674" s="3000">
        <v>188.42</v>
      </c>
      <c r="T674" s="3000">
        <v>0.99</v>
      </c>
      <c r="U674" s="3000">
        <v>17087</v>
      </c>
      <c r="V674" s="3000">
        <v>322</v>
      </c>
    </row>
    <row r="675" spans="4:22" ht="14.25" thickBot="1">
      <c r="D675" s="2915">
        <v>671</v>
      </c>
      <c r="E675" s="2915"/>
      <c r="F675" s="2914" t="s">
        <v>3782</v>
      </c>
      <c r="G675" s="2915">
        <v>188.42</v>
      </c>
      <c r="H675" s="2915">
        <f t="shared" si="11"/>
        <v>33.08</v>
      </c>
      <c r="Q675" s="3004">
        <v>671</v>
      </c>
      <c r="R675" s="2999" t="s">
        <v>5318</v>
      </c>
      <c r="S675" s="3000">
        <v>188.42</v>
      </c>
      <c r="T675" s="3000">
        <v>0.99</v>
      </c>
      <c r="U675" s="3000">
        <v>17087</v>
      </c>
      <c r="V675" s="3000">
        <v>322</v>
      </c>
    </row>
    <row r="676" spans="4:22" ht="14.25" thickBot="1">
      <c r="D676" s="2915">
        <v>672</v>
      </c>
      <c r="E676" s="2915"/>
      <c r="F676" s="2914" t="s">
        <v>3783</v>
      </c>
      <c r="G676" s="2915">
        <v>188.42</v>
      </c>
      <c r="H676" s="2915">
        <f t="shared" si="11"/>
        <v>33.08</v>
      </c>
      <c r="Q676" s="3004">
        <v>672</v>
      </c>
      <c r="R676" s="2999" t="s">
        <v>5319</v>
      </c>
      <c r="S676" s="3000">
        <v>188.42</v>
      </c>
      <c r="T676" s="3000">
        <v>0.99</v>
      </c>
      <c r="U676" s="3000">
        <v>17087</v>
      </c>
      <c r="V676" s="3000">
        <v>322</v>
      </c>
    </row>
    <row r="677" spans="4:22" ht="14.25" thickBot="1">
      <c r="D677" s="2915">
        <v>673</v>
      </c>
      <c r="E677" s="2915"/>
      <c r="F677" s="2914" t="s">
        <v>3784</v>
      </c>
      <c r="G677" s="2915">
        <v>186.36</v>
      </c>
      <c r="H677" s="2915">
        <f t="shared" si="11"/>
        <v>32.72</v>
      </c>
      <c r="Q677" s="3004">
        <v>673</v>
      </c>
      <c r="R677" s="2999" t="s">
        <v>5320</v>
      </c>
      <c r="S677" s="3000">
        <v>186.36</v>
      </c>
      <c r="T677" s="3000">
        <v>0.99</v>
      </c>
      <c r="U677" s="3000">
        <v>17087</v>
      </c>
      <c r="V677" s="3000">
        <v>318</v>
      </c>
    </row>
    <row r="678" spans="4:22" ht="14.25" thickBot="1">
      <c r="D678" s="2915">
        <v>674</v>
      </c>
      <c r="E678" s="2915"/>
      <c r="F678" s="2914" t="s">
        <v>3785</v>
      </c>
      <c r="G678" s="2915">
        <v>188.36</v>
      </c>
      <c r="H678" s="2915">
        <f t="shared" si="11"/>
        <v>33.07</v>
      </c>
      <c r="Q678" s="3004">
        <v>674</v>
      </c>
      <c r="R678" s="2999" t="s">
        <v>5321</v>
      </c>
      <c r="S678" s="3000">
        <v>188.36</v>
      </c>
      <c r="T678" s="3000">
        <v>0.99</v>
      </c>
      <c r="U678" s="3000">
        <v>17087</v>
      </c>
      <c r="V678" s="3000">
        <v>322</v>
      </c>
    </row>
    <row r="679" spans="4:22" ht="14.25" thickBot="1">
      <c r="D679" s="2915">
        <v>675</v>
      </c>
      <c r="E679" s="2915"/>
      <c r="F679" s="2914" t="s">
        <v>3786</v>
      </c>
      <c r="G679" s="2915">
        <v>175.78</v>
      </c>
      <c r="H679" s="2915">
        <f t="shared" si="11"/>
        <v>30.87</v>
      </c>
      <c r="Q679" s="3004">
        <v>675</v>
      </c>
      <c r="R679" s="2999" t="s">
        <v>5322</v>
      </c>
      <c r="S679" s="3000">
        <v>175.78</v>
      </c>
      <c r="T679" s="3000">
        <v>0.99</v>
      </c>
      <c r="U679" s="3000">
        <v>17087</v>
      </c>
      <c r="V679" s="3000">
        <v>300</v>
      </c>
    </row>
    <row r="680" spans="4:22" ht="14.25" thickBot="1">
      <c r="D680" s="2915">
        <v>676</v>
      </c>
      <c r="E680" s="2915"/>
      <c r="F680" s="2914" t="s">
        <v>3787</v>
      </c>
      <c r="G680" s="2915">
        <v>279.95999999999998</v>
      </c>
      <c r="H680" s="2915">
        <f t="shared" si="11"/>
        <v>49.16</v>
      </c>
      <c r="Q680" s="3004">
        <v>676</v>
      </c>
      <c r="R680" s="2999" t="s">
        <v>5323</v>
      </c>
      <c r="S680" s="3000">
        <v>279.95999999999998</v>
      </c>
      <c r="T680" s="3000">
        <v>0.98</v>
      </c>
      <c r="U680" s="3000">
        <v>16915</v>
      </c>
      <c r="V680" s="3000">
        <v>474</v>
      </c>
    </row>
    <row r="681" spans="4:22" ht="14.25" thickBot="1">
      <c r="D681" s="2915">
        <v>677</v>
      </c>
      <c r="E681" s="2915"/>
      <c r="F681" s="2914" t="s">
        <v>3788</v>
      </c>
      <c r="G681" s="2915">
        <v>188.43</v>
      </c>
      <c r="H681" s="2915">
        <f t="shared" si="11"/>
        <v>33.090000000000003</v>
      </c>
      <c r="Q681" s="3004">
        <v>677</v>
      </c>
      <c r="R681" s="2999" t="s">
        <v>5324</v>
      </c>
      <c r="S681" s="3000">
        <v>188.43</v>
      </c>
      <c r="T681" s="3000">
        <v>0.99</v>
      </c>
      <c r="U681" s="3000">
        <v>17087</v>
      </c>
      <c r="V681" s="3000">
        <v>322</v>
      </c>
    </row>
    <row r="682" spans="4:22" ht="14.25" thickBot="1">
      <c r="D682" s="2915">
        <v>678</v>
      </c>
      <c r="E682" s="2915"/>
      <c r="F682" s="2914" t="s">
        <v>3789</v>
      </c>
      <c r="G682" s="2915">
        <v>188.43</v>
      </c>
      <c r="H682" s="2915">
        <f t="shared" si="11"/>
        <v>33.090000000000003</v>
      </c>
      <c r="Q682" s="3004">
        <v>678</v>
      </c>
      <c r="R682" s="2999" t="s">
        <v>5325</v>
      </c>
      <c r="S682" s="3000">
        <v>188.43</v>
      </c>
      <c r="T682" s="3000">
        <v>0.99</v>
      </c>
      <c r="U682" s="3000">
        <v>17087</v>
      </c>
      <c r="V682" s="3000">
        <v>322</v>
      </c>
    </row>
    <row r="683" spans="4:22" ht="14.25" thickBot="1">
      <c r="D683" s="2915">
        <v>679</v>
      </c>
      <c r="E683" s="2915"/>
      <c r="F683" s="2914" t="s">
        <v>3790</v>
      </c>
      <c r="G683" s="2915">
        <v>188.43</v>
      </c>
      <c r="H683" s="2915">
        <f t="shared" si="11"/>
        <v>33.090000000000003</v>
      </c>
      <c r="Q683" s="3004">
        <v>679</v>
      </c>
      <c r="R683" s="2999" t="s">
        <v>5326</v>
      </c>
      <c r="S683" s="3000">
        <v>188.43</v>
      </c>
      <c r="T683" s="3000">
        <v>0.99</v>
      </c>
      <c r="U683" s="3000">
        <v>17087</v>
      </c>
      <c r="V683" s="3000">
        <v>322</v>
      </c>
    </row>
    <row r="684" spans="4:22" ht="14.25" thickBot="1">
      <c r="D684" s="2915">
        <v>680</v>
      </c>
      <c r="E684" s="2915"/>
      <c r="F684" s="2914" t="s">
        <v>3791</v>
      </c>
      <c r="G684" s="2915">
        <v>188.43</v>
      </c>
      <c r="H684" s="2915">
        <f t="shared" si="11"/>
        <v>33.090000000000003</v>
      </c>
      <c r="Q684" s="3004">
        <v>680</v>
      </c>
      <c r="R684" s="2999" t="s">
        <v>5327</v>
      </c>
      <c r="S684" s="3000">
        <v>188.43</v>
      </c>
      <c r="T684" s="3000">
        <v>0.99</v>
      </c>
      <c r="U684" s="3000">
        <v>17087</v>
      </c>
      <c r="V684" s="3000">
        <v>322</v>
      </c>
    </row>
    <row r="685" spans="4:22" ht="14.25" thickBot="1">
      <c r="D685" s="2915">
        <v>681</v>
      </c>
      <c r="E685" s="2915"/>
      <c r="F685" s="2914" t="s">
        <v>3792</v>
      </c>
      <c r="G685" s="2915">
        <v>188.43</v>
      </c>
      <c r="H685" s="2915">
        <f t="shared" si="11"/>
        <v>33.090000000000003</v>
      </c>
      <c r="Q685" s="3004">
        <v>681</v>
      </c>
      <c r="R685" s="2999" t="s">
        <v>5328</v>
      </c>
      <c r="S685" s="3000">
        <v>188.43</v>
      </c>
      <c r="T685" s="3000">
        <v>0.99</v>
      </c>
      <c r="U685" s="3000">
        <v>17087</v>
      </c>
      <c r="V685" s="3000">
        <v>322</v>
      </c>
    </row>
    <row r="686" spans="4:22" ht="14.25" thickBot="1">
      <c r="D686" s="2915">
        <v>682</v>
      </c>
      <c r="E686" s="2915"/>
      <c r="F686" s="2914" t="s">
        <v>3793</v>
      </c>
      <c r="G686" s="2915">
        <v>188.38</v>
      </c>
      <c r="H686" s="2915">
        <f t="shared" si="11"/>
        <v>33.08</v>
      </c>
      <c r="Q686" s="3004">
        <v>682</v>
      </c>
      <c r="R686" s="2999" t="s">
        <v>5329</v>
      </c>
      <c r="S686" s="3000">
        <v>188.38</v>
      </c>
      <c r="T686" s="3000">
        <v>0.99</v>
      </c>
      <c r="U686" s="3000">
        <v>17087</v>
      </c>
      <c r="V686" s="3000">
        <v>322</v>
      </c>
    </row>
    <row r="687" spans="4:22" ht="14.25" thickBot="1">
      <c r="D687" s="2915">
        <v>683</v>
      </c>
      <c r="E687" s="2915"/>
      <c r="F687" s="2914" t="s">
        <v>3794</v>
      </c>
      <c r="G687" s="2915">
        <v>208.95</v>
      </c>
      <c r="H687" s="2915">
        <f t="shared" si="11"/>
        <v>36.69</v>
      </c>
      <c r="Q687" s="3004">
        <v>683</v>
      </c>
      <c r="R687" s="2999" t="s">
        <v>5330</v>
      </c>
      <c r="S687" s="3000">
        <v>208.95</v>
      </c>
      <c r="T687" s="3000">
        <v>0.98</v>
      </c>
      <c r="U687" s="3000">
        <v>16915</v>
      </c>
      <c r="V687" s="3000">
        <v>353</v>
      </c>
    </row>
    <row r="688" spans="4:22" ht="14.25" thickBot="1">
      <c r="D688" s="2915">
        <v>684</v>
      </c>
      <c r="E688" s="2915"/>
      <c r="F688" s="2914" t="s">
        <v>3795</v>
      </c>
      <c r="G688" s="2915">
        <v>189.85</v>
      </c>
      <c r="H688" s="2915">
        <f t="shared" si="11"/>
        <v>33.340000000000003</v>
      </c>
      <c r="Q688" s="3004">
        <v>684</v>
      </c>
      <c r="R688" s="2999" t="s">
        <v>5331</v>
      </c>
      <c r="S688" s="3000">
        <v>189.85</v>
      </c>
      <c r="T688" s="3000">
        <v>0.99</v>
      </c>
      <c r="U688" s="3000">
        <v>17087</v>
      </c>
      <c r="V688" s="3000">
        <v>324</v>
      </c>
    </row>
    <row r="689" spans="4:22" ht="14.25" thickBot="1">
      <c r="D689" s="2915">
        <v>685</v>
      </c>
      <c r="E689" s="2915"/>
      <c r="F689" s="2914" t="s">
        <v>3796</v>
      </c>
      <c r="G689" s="2915">
        <v>169.23</v>
      </c>
      <c r="H689" s="2915">
        <f t="shared" si="11"/>
        <v>29.72</v>
      </c>
      <c r="Q689" s="3004">
        <v>685</v>
      </c>
      <c r="R689" s="2999" t="s">
        <v>5332</v>
      </c>
      <c r="S689" s="3000">
        <v>169.23</v>
      </c>
      <c r="T689" s="3000">
        <v>0.99</v>
      </c>
      <c r="U689" s="3000">
        <v>17087</v>
      </c>
      <c r="V689" s="3000">
        <v>289</v>
      </c>
    </row>
    <row r="690" spans="4:22" ht="14.25" thickBot="1">
      <c r="D690" s="2915">
        <v>686</v>
      </c>
      <c r="E690" s="2915"/>
      <c r="F690" s="2914" t="s">
        <v>3797</v>
      </c>
      <c r="G690" s="2915">
        <v>55.7</v>
      </c>
      <c r="H690" s="2915">
        <f t="shared" si="11"/>
        <v>9.7799999999999994</v>
      </c>
      <c r="Q690" s="3004">
        <v>686</v>
      </c>
      <c r="R690" s="2999" t="s">
        <v>5333</v>
      </c>
      <c r="S690" s="3000">
        <v>55.7</v>
      </c>
      <c r="T690" s="3000">
        <v>1</v>
      </c>
      <c r="U690" s="3000">
        <v>17260</v>
      </c>
      <c r="V690" s="3000">
        <v>96</v>
      </c>
    </row>
    <row r="691" spans="4:22" ht="14.25" thickBot="1">
      <c r="D691" s="2915">
        <v>687</v>
      </c>
      <c r="E691" s="2915"/>
      <c r="F691" s="2914" t="s">
        <v>3798</v>
      </c>
      <c r="G691" s="2915">
        <v>49.53</v>
      </c>
      <c r="H691" s="2915">
        <f t="shared" si="11"/>
        <v>8.6999999999999993</v>
      </c>
      <c r="Q691" s="3004">
        <v>687</v>
      </c>
      <c r="R691" s="2999" t="s">
        <v>5334</v>
      </c>
      <c r="S691" s="3000">
        <v>49.53</v>
      </c>
      <c r="T691" s="3000">
        <v>1</v>
      </c>
      <c r="U691" s="3000">
        <v>17260</v>
      </c>
      <c r="V691" s="3000">
        <v>85</v>
      </c>
    </row>
    <row r="692" spans="4:22" ht="14.25" thickBot="1">
      <c r="D692" s="2915">
        <v>688</v>
      </c>
      <c r="E692" s="2915"/>
      <c r="F692" s="2914" t="s">
        <v>3799</v>
      </c>
      <c r="G692" s="2915">
        <v>50.63</v>
      </c>
      <c r="H692" s="2915">
        <f t="shared" si="11"/>
        <v>8.89</v>
      </c>
      <c r="Q692" s="3004">
        <v>688</v>
      </c>
      <c r="R692" s="2999" t="s">
        <v>5335</v>
      </c>
      <c r="S692" s="3000">
        <v>50.63</v>
      </c>
      <c r="T692" s="3000">
        <v>1</v>
      </c>
      <c r="U692" s="3000">
        <v>17260</v>
      </c>
      <c r="V692" s="3000">
        <v>87</v>
      </c>
    </row>
    <row r="693" spans="4:22" ht="14.25" thickBot="1">
      <c r="D693" s="2915">
        <v>689</v>
      </c>
      <c r="E693" s="2915"/>
      <c r="F693" s="2914" t="s">
        <v>3800</v>
      </c>
      <c r="G693" s="2915">
        <v>50.63</v>
      </c>
      <c r="H693" s="2915">
        <f t="shared" si="11"/>
        <v>8.89</v>
      </c>
      <c r="Q693" s="3004">
        <v>689</v>
      </c>
      <c r="R693" s="2999" t="s">
        <v>5336</v>
      </c>
      <c r="S693" s="3000">
        <v>50.63</v>
      </c>
      <c r="T693" s="3000">
        <v>1</v>
      </c>
      <c r="U693" s="3000">
        <v>17260</v>
      </c>
      <c r="V693" s="3000">
        <v>87</v>
      </c>
    </row>
    <row r="694" spans="4:22" ht="14.25" thickBot="1">
      <c r="D694" s="2915">
        <v>690</v>
      </c>
      <c r="E694" s="2915"/>
      <c r="F694" s="2914" t="s">
        <v>3801</v>
      </c>
      <c r="G694" s="2915">
        <v>50.63</v>
      </c>
      <c r="H694" s="2915">
        <f t="shared" si="11"/>
        <v>8.89</v>
      </c>
      <c r="Q694" s="3004">
        <v>690</v>
      </c>
      <c r="R694" s="2999" t="s">
        <v>5337</v>
      </c>
      <c r="S694" s="3000">
        <v>50.63</v>
      </c>
      <c r="T694" s="3000">
        <v>1</v>
      </c>
      <c r="U694" s="3000">
        <v>17260</v>
      </c>
      <c r="V694" s="3000">
        <v>87</v>
      </c>
    </row>
    <row r="695" spans="4:22" ht="14.25" thickBot="1">
      <c r="D695" s="2915">
        <v>691</v>
      </c>
      <c r="E695" s="2915"/>
      <c r="F695" s="2914" t="s">
        <v>3802</v>
      </c>
      <c r="G695" s="2915">
        <v>50.63</v>
      </c>
      <c r="H695" s="2915">
        <f t="shared" si="11"/>
        <v>8.89</v>
      </c>
      <c r="Q695" s="3004">
        <v>691</v>
      </c>
      <c r="R695" s="2999" t="s">
        <v>5338</v>
      </c>
      <c r="S695" s="3000">
        <v>50.63</v>
      </c>
      <c r="T695" s="3000">
        <v>1</v>
      </c>
      <c r="U695" s="3000">
        <v>17260</v>
      </c>
      <c r="V695" s="3000">
        <v>87</v>
      </c>
    </row>
    <row r="696" spans="4:22" ht="14.25" thickBot="1">
      <c r="D696" s="2915">
        <v>692</v>
      </c>
      <c r="E696" s="2915"/>
      <c r="F696" s="2914" t="s">
        <v>3803</v>
      </c>
      <c r="G696" s="2915">
        <v>50.63</v>
      </c>
      <c r="H696" s="2915">
        <f t="shared" si="11"/>
        <v>8.89</v>
      </c>
      <c r="Q696" s="3004">
        <v>692</v>
      </c>
      <c r="R696" s="2999" t="s">
        <v>5339</v>
      </c>
      <c r="S696" s="3000">
        <v>50.63</v>
      </c>
      <c r="T696" s="3000">
        <v>1</v>
      </c>
      <c r="U696" s="3000">
        <v>17260</v>
      </c>
      <c r="V696" s="3000">
        <v>87</v>
      </c>
    </row>
    <row r="697" spans="4:22" ht="14.25" thickBot="1">
      <c r="D697" s="2915">
        <v>693</v>
      </c>
      <c r="E697" s="2915"/>
      <c r="F697" s="2914" t="s">
        <v>3804</v>
      </c>
      <c r="G697" s="2915">
        <v>50.63</v>
      </c>
      <c r="H697" s="2915">
        <f t="shared" si="11"/>
        <v>8.89</v>
      </c>
      <c r="Q697" s="3004">
        <v>693</v>
      </c>
      <c r="R697" s="2999" t="s">
        <v>5340</v>
      </c>
      <c r="S697" s="3000">
        <v>50.63</v>
      </c>
      <c r="T697" s="3000">
        <v>1</v>
      </c>
      <c r="U697" s="3000">
        <v>17260</v>
      </c>
      <c r="V697" s="3000">
        <v>87</v>
      </c>
    </row>
    <row r="698" spans="4:22" ht="14.25" thickBot="1">
      <c r="D698" s="2915">
        <v>694</v>
      </c>
      <c r="E698" s="2915"/>
      <c r="F698" s="2914" t="s">
        <v>3805</v>
      </c>
      <c r="G698" s="2915">
        <v>50.63</v>
      </c>
      <c r="H698" s="2915">
        <f t="shared" si="11"/>
        <v>8.89</v>
      </c>
      <c r="Q698" s="3004">
        <v>694</v>
      </c>
      <c r="R698" s="2999" t="s">
        <v>5341</v>
      </c>
      <c r="S698" s="3000">
        <v>50.63</v>
      </c>
      <c r="T698" s="3000">
        <v>1</v>
      </c>
      <c r="U698" s="3000">
        <v>17260</v>
      </c>
      <c r="V698" s="3000">
        <v>87</v>
      </c>
    </row>
    <row r="699" spans="4:22" ht="14.25" thickBot="1">
      <c r="D699" s="2915">
        <v>695</v>
      </c>
      <c r="E699" s="2915"/>
      <c r="F699" s="2914" t="s">
        <v>3806</v>
      </c>
      <c r="G699" s="2915">
        <v>50.63</v>
      </c>
      <c r="H699" s="2915">
        <f t="shared" si="11"/>
        <v>8.89</v>
      </c>
      <c r="Q699" s="3004">
        <v>695</v>
      </c>
      <c r="R699" s="2999" t="s">
        <v>5342</v>
      </c>
      <c r="S699" s="3000">
        <v>50.63</v>
      </c>
      <c r="T699" s="3000">
        <v>1</v>
      </c>
      <c r="U699" s="3000">
        <v>17260</v>
      </c>
      <c r="V699" s="3000">
        <v>87</v>
      </c>
    </row>
    <row r="700" spans="4:22" ht="14.25" thickBot="1">
      <c r="D700" s="2915">
        <v>696</v>
      </c>
      <c r="E700" s="2915"/>
      <c r="F700" s="2914" t="s">
        <v>3807</v>
      </c>
      <c r="G700" s="2915">
        <v>50.63</v>
      </c>
      <c r="H700" s="2915">
        <f t="shared" si="11"/>
        <v>8.89</v>
      </c>
      <c r="Q700" s="3004">
        <v>696</v>
      </c>
      <c r="R700" s="2999" t="s">
        <v>5343</v>
      </c>
      <c r="S700" s="3000">
        <v>50.63</v>
      </c>
      <c r="T700" s="3000">
        <v>1</v>
      </c>
      <c r="U700" s="3000">
        <v>17260</v>
      </c>
      <c r="V700" s="3000">
        <v>87</v>
      </c>
    </row>
    <row r="701" spans="4:22" ht="14.25" thickBot="1">
      <c r="D701" s="2915">
        <v>697</v>
      </c>
      <c r="E701" s="2915"/>
      <c r="F701" s="2914" t="s">
        <v>3808</v>
      </c>
      <c r="G701" s="2915">
        <v>50.63</v>
      </c>
      <c r="H701" s="2915">
        <f t="shared" si="11"/>
        <v>8.89</v>
      </c>
      <c r="Q701" s="3004">
        <v>697</v>
      </c>
      <c r="R701" s="2999" t="s">
        <v>5344</v>
      </c>
      <c r="S701" s="3000">
        <v>50.63</v>
      </c>
      <c r="T701" s="3000">
        <v>1</v>
      </c>
      <c r="U701" s="3000">
        <v>17260</v>
      </c>
      <c r="V701" s="3000">
        <v>87</v>
      </c>
    </row>
    <row r="702" spans="4:22" ht="14.25" thickBot="1">
      <c r="D702" s="2915">
        <v>698</v>
      </c>
      <c r="E702" s="2915"/>
      <c r="F702" s="2914" t="s">
        <v>3809</v>
      </c>
      <c r="G702" s="2915">
        <v>49.61</v>
      </c>
      <c r="H702" s="2915">
        <f t="shared" si="11"/>
        <v>8.7100000000000009</v>
      </c>
      <c r="Q702" s="3004">
        <v>698</v>
      </c>
      <c r="R702" s="2999" t="s">
        <v>5345</v>
      </c>
      <c r="S702" s="3000">
        <v>49.61</v>
      </c>
      <c r="T702" s="3000">
        <v>1</v>
      </c>
      <c r="U702" s="3000">
        <v>17260</v>
      </c>
      <c r="V702" s="3000">
        <v>86</v>
      </c>
    </row>
    <row r="703" spans="4:22" ht="14.25" thickBot="1">
      <c r="D703" s="2915">
        <v>699</v>
      </c>
      <c r="E703" s="2915"/>
      <c r="F703" s="2914" t="s">
        <v>3810</v>
      </c>
      <c r="G703" s="2915">
        <v>46.31</v>
      </c>
      <c r="H703" s="2915">
        <f t="shared" si="11"/>
        <v>8.1300000000000008</v>
      </c>
      <c r="Q703" s="3004">
        <v>699</v>
      </c>
      <c r="R703" s="2999" t="s">
        <v>5346</v>
      </c>
      <c r="S703" s="3000">
        <v>46.31</v>
      </c>
      <c r="T703" s="3000">
        <v>1</v>
      </c>
      <c r="U703" s="3000">
        <v>17260</v>
      </c>
      <c r="V703" s="3000">
        <v>80</v>
      </c>
    </row>
    <row r="704" spans="4:22" ht="14.25" thickBot="1">
      <c r="D704" s="2915">
        <v>700</v>
      </c>
      <c r="E704" s="2915"/>
      <c r="F704" s="2914" t="s">
        <v>3811</v>
      </c>
      <c r="G704" s="2915">
        <v>50.63</v>
      </c>
      <c r="H704" s="2915">
        <f t="shared" si="11"/>
        <v>8.89</v>
      </c>
      <c r="Q704" s="3004">
        <v>700</v>
      </c>
      <c r="R704" s="2999" t="s">
        <v>5347</v>
      </c>
      <c r="S704" s="3000">
        <v>50.63</v>
      </c>
      <c r="T704" s="3000">
        <v>1</v>
      </c>
      <c r="U704" s="3000">
        <v>17260</v>
      </c>
      <c r="V704" s="3000">
        <v>87</v>
      </c>
    </row>
    <row r="705" spans="4:22" ht="14.25" thickBot="1">
      <c r="D705" s="2915">
        <v>701</v>
      </c>
      <c r="E705" s="2915"/>
      <c r="F705" s="2914" t="s">
        <v>3812</v>
      </c>
      <c r="G705" s="2915">
        <v>50.63</v>
      </c>
      <c r="H705" s="2915">
        <f t="shared" si="11"/>
        <v>8.89</v>
      </c>
      <c r="Q705" s="3004">
        <v>701</v>
      </c>
      <c r="R705" s="2999" t="s">
        <v>5348</v>
      </c>
      <c r="S705" s="3000">
        <v>50.63</v>
      </c>
      <c r="T705" s="3000">
        <v>1</v>
      </c>
      <c r="U705" s="3000">
        <v>17260</v>
      </c>
      <c r="V705" s="3000">
        <v>87</v>
      </c>
    </row>
    <row r="706" spans="4:22" ht="14.25" thickBot="1">
      <c r="D706" s="2915">
        <v>702</v>
      </c>
      <c r="E706" s="2915"/>
      <c r="F706" s="2914" t="s">
        <v>3813</v>
      </c>
      <c r="G706" s="2915">
        <v>62.54</v>
      </c>
      <c r="H706" s="2915">
        <f t="shared" si="11"/>
        <v>10.98</v>
      </c>
      <c r="Q706" s="3004">
        <v>702</v>
      </c>
      <c r="R706" s="2999" t="s">
        <v>5349</v>
      </c>
      <c r="S706" s="3000">
        <v>62.54</v>
      </c>
      <c r="T706" s="3000">
        <v>1</v>
      </c>
      <c r="U706" s="3000">
        <v>17260</v>
      </c>
      <c r="V706" s="3000">
        <v>108</v>
      </c>
    </row>
    <row r="707" spans="4:22" ht="14.25" thickBot="1">
      <c r="D707" s="2915">
        <v>703</v>
      </c>
      <c r="E707" s="2915"/>
      <c r="F707" s="2914" t="s">
        <v>3814</v>
      </c>
      <c r="G707" s="2915">
        <v>62.56</v>
      </c>
      <c r="H707" s="2915">
        <f t="shared" si="11"/>
        <v>10.99</v>
      </c>
      <c r="Q707" s="3004">
        <v>703</v>
      </c>
      <c r="R707" s="2999" t="s">
        <v>5350</v>
      </c>
      <c r="S707" s="3000">
        <v>62.56</v>
      </c>
      <c r="T707" s="3000">
        <v>1</v>
      </c>
      <c r="U707" s="3000">
        <v>17260</v>
      </c>
      <c r="V707" s="3000">
        <v>108</v>
      </c>
    </row>
    <row r="708" spans="4:22" ht="14.25" thickBot="1">
      <c r="D708" s="2915">
        <v>704</v>
      </c>
      <c r="E708" s="2915"/>
      <c r="F708" s="2914" t="s">
        <v>3815</v>
      </c>
      <c r="G708" s="2915">
        <v>62.56</v>
      </c>
      <c r="H708" s="2915">
        <f t="shared" si="11"/>
        <v>10.99</v>
      </c>
      <c r="Q708" s="3004">
        <v>704</v>
      </c>
      <c r="R708" s="2999" t="s">
        <v>5351</v>
      </c>
      <c r="S708" s="3000">
        <v>62.56</v>
      </c>
      <c r="T708" s="3000">
        <v>1</v>
      </c>
      <c r="U708" s="3000">
        <v>17260</v>
      </c>
      <c r="V708" s="3000">
        <v>108</v>
      </c>
    </row>
    <row r="709" spans="4:22" ht="14.25" thickBot="1">
      <c r="D709" s="2915">
        <v>705</v>
      </c>
      <c r="E709" s="2915"/>
      <c r="F709" s="2914" t="s">
        <v>3816</v>
      </c>
      <c r="G709" s="2915">
        <v>62.54</v>
      </c>
      <c r="H709" s="2915">
        <f t="shared" si="11"/>
        <v>10.98</v>
      </c>
      <c r="Q709" s="3004">
        <v>705</v>
      </c>
      <c r="R709" s="2999" t="s">
        <v>5352</v>
      </c>
      <c r="S709" s="3000">
        <v>62.54</v>
      </c>
      <c r="T709" s="3000">
        <v>1</v>
      </c>
      <c r="U709" s="3000">
        <v>17260</v>
      </c>
      <c r="V709" s="3000">
        <v>108</v>
      </c>
    </row>
    <row r="710" spans="4:22" ht="14.25" thickBot="1">
      <c r="D710" s="2915">
        <v>706</v>
      </c>
      <c r="E710" s="2915"/>
      <c r="F710" s="2914" t="s">
        <v>3817</v>
      </c>
      <c r="G710" s="2915">
        <v>50.63</v>
      </c>
      <c r="H710" s="2915">
        <f t="shared" ref="H710:H773" si="12">ROUND(G710/$N$7*$M$7,2)</f>
        <v>8.89</v>
      </c>
      <c r="Q710" s="3004">
        <v>706</v>
      </c>
      <c r="R710" s="2999" t="s">
        <v>5353</v>
      </c>
      <c r="S710" s="3000">
        <v>50.63</v>
      </c>
      <c r="T710" s="3000">
        <v>1</v>
      </c>
      <c r="U710" s="3000">
        <v>17260</v>
      </c>
      <c r="V710" s="3000">
        <v>87</v>
      </c>
    </row>
    <row r="711" spans="4:22" ht="14.25" thickBot="1">
      <c r="D711" s="2915">
        <v>707</v>
      </c>
      <c r="E711" s="2915"/>
      <c r="F711" s="2914" t="s">
        <v>3818</v>
      </c>
      <c r="G711" s="2915">
        <v>50.63</v>
      </c>
      <c r="H711" s="2915">
        <f t="shared" si="12"/>
        <v>8.89</v>
      </c>
      <c r="Q711" s="3004">
        <v>707</v>
      </c>
      <c r="R711" s="2999" t="s">
        <v>5354</v>
      </c>
      <c r="S711" s="3000">
        <v>50.63</v>
      </c>
      <c r="T711" s="3000">
        <v>1</v>
      </c>
      <c r="U711" s="3000">
        <v>17260</v>
      </c>
      <c r="V711" s="3000">
        <v>87</v>
      </c>
    </row>
    <row r="712" spans="4:22" ht="14.25" thickBot="1">
      <c r="D712" s="2915">
        <v>708</v>
      </c>
      <c r="E712" s="2915"/>
      <c r="F712" s="2914" t="s">
        <v>3819</v>
      </c>
      <c r="G712" s="2915">
        <v>50.63</v>
      </c>
      <c r="H712" s="2915">
        <f t="shared" si="12"/>
        <v>8.89</v>
      </c>
      <c r="Q712" s="3004">
        <v>708</v>
      </c>
      <c r="R712" s="2999" t="s">
        <v>5355</v>
      </c>
      <c r="S712" s="3000">
        <v>50.63</v>
      </c>
      <c r="T712" s="3000">
        <v>1</v>
      </c>
      <c r="U712" s="3000">
        <v>17260</v>
      </c>
      <c r="V712" s="3000">
        <v>87</v>
      </c>
    </row>
    <row r="713" spans="4:22" ht="14.25" thickBot="1">
      <c r="D713" s="2915">
        <v>709</v>
      </c>
      <c r="E713" s="2915"/>
      <c r="F713" s="2914" t="s">
        <v>3820</v>
      </c>
      <c r="G713" s="2915">
        <v>50.63</v>
      </c>
      <c r="H713" s="2915">
        <f t="shared" si="12"/>
        <v>8.89</v>
      </c>
      <c r="Q713" s="3004">
        <v>709</v>
      </c>
      <c r="R713" s="2999" t="s">
        <v>5356</v>
      </c>
      <c r="S713" s="3000">
        <v>50.63</v>
      </c>
      <c r="T713" s="3000">
        <v>1</v>
      </c>
      <c r="U713" s="3000">
        <v>17260</v>
      </c>
      <c r="V713" s="3000">
        <v>87</v>
      </c>
    </row>
    <row r="714" spans="4:22" ht="14.25" thickBot="1">
      <c r="D714" s="2915">
        <v>710</v>
      </c>
      <c r="E714" s="2915"/>
      <c r="F714" s="2914" t="s">
        <v>3821</v>
      </c>
      <c r="G714" s="2915">
        <v>50.63</v>
      </c>
      <c r="H714" s="2915">
        <f t="shared" si="12"/>
        <v>8.89</v>
      </c>
      <c r="Q714" s="3004">
        <v>710</v>
      </c>
      <c r="R714" s="2999" t="s">
        <v>5357</v>
      </c>
      <c r="S714" s="3000">
        <v>50.63</v>
      </c>
      <c r="T714" s="3000">
        <v>1</v>
      </c>
      <c r="U714" s="3000">
        <v>17260</v>
      </c>
      <c r="V714" s="3000">
        <v>87</v>
      </c>
    </row>
    <row r="715" spans="4:22" ht="14.25" thickBot="1">
      <c r="D715" s="2915">
        <v>711</v>
      </c>
      <c r="E715" s="2915"/>
      <c r="F715" s="2914" t="s">
        <v>3822</v>
      </c>
      <c r="G715" s="2915">
        <v>50.63</v>
      </c>
      <c r="H715" s="2915">
        <f t="shared" si="12"/>
        <v>8.89</v>
      </c>
      <c r="Q715" s="3004">
        <v>711</v>
      </c>
      <c r="R715" s="2999" t="s">
        <v>5358</v>
      </c>
      <c r="S715" s="3000">
        <v>50.63</v>
      </c>
      <c r="T715" s="3000">
        <v>1</v>
      </c>
      <c r="U715" s="3000">
        <v>17260</v>
      </c>
      <c r="V715" s="3000">
        <v>87</v>
      </c>
    </row>
    <row r="716" spans="4:22" ht="14.25" thickBot="1">
      <c r="D716" s="2915">
        <v>712</v>
      </c>
      <c r="E716" s="2915"/>
      <c r="F716" s="2914" t="s">
        <v>3823</v>
      </c>
      <c r="G716" s="2915">
        <v>50.63</v>
      </c>
      <c r="H716" s="2915">
        <f t="shared" si="12"/>
        <v>8.89</v>
      </c>
      <c r="Q716" s="3004">
        <v>712</v>
      </c>
      <c r="R716" s="2999" t="s">
        <v>5359</v>
      </c>
      <c r="S716" s="3000">
        <v>50.63</v>
      </c>
      <c r="T716" s="3000">
        <v>1</v>
      </c>
      <c r="U716" s="3000">
        <v>17260</v>
      </c>
      <c r="V716" s="3000">
        <v>87</v>
      </c>
    </row>
    <row r="717" spans="4:22" ht="14.25" thickBot="1">
      <c r="D717" s="2915">
        <v>713</v>
      </c>
      <c r="E717" s="2915"/>
      <c r="F717" s="2914" t="s">
        <v>3824</v>
      </c>
      <c r="G717" s="2915">
        <v>50.63</v>
      </c>
      <c r="H717" s="2915">
        <f t="shared" si="12"/>
        <v>8.89</v>
      </c>
      <c r="Q717" s="3004">
        <v>713</v>
      </c>
      <c r="R717" s="2999" t="s">
        <v>5360</v>
      </c>
      <c r="S717" s="3000">
        <v>50.63</v>
      </c>
      <c r="T717" s="3000">
        <v>1</v>
      </c>
      <c r="U717" s="3000">
        <v>17260</v>
      </c>
      <c r="V717" s="3000">
        <v>87</v>
      </c>
    </row>
    <row r="718" spans="4:22" ht="14.25" thickBot="1">
      <c r="D718" s="2915">
        <v>714</v>
      </c>
      <c r="E718" s="2915"/>
      <c r="F718" s="2914" t="s">
        <v>3825</v>
      </c>
      <c r="G718" s="2915">
        <v>50.63</v>
      </c>
      <c r="H718" s="2915">
        <f t="shared" si="12"/>
        <v>8.89</v>
      </c>
      <c r="Q718" s="3004">
        <v>714</v>
      </c>
      <c r="R718" s="2999" t="s">
        <v>5361</v>
      </c>
      <c r="S718" s="3000">
        <v>50.63</v>
      </c>
      <c r="T718" s="3000">
        <v>1</v>
      </c>
      <c r="U718" s="3000">
        <v>17260</v>
      </c>
      <c r="V718" s="3000">
        <v>87</v>
      </c>
    </row>
    <row r="719" spans="4:22" ht="14.25" thickBot="1">
      <c r="D719" s="2915">
        <v>715</v>
      </c>
      <c r="E719" s="2915"/>
      <c r="F719" s="2914" t="s">
        <v>3826</v>
      </c>
      <c r="G719" s="2915">
        <v>50.63</v>
      </c>
      <c r="H719" s="2915">
        <f t="shared" si="12"/>
        <v>8.89</v>
      </c>
      <c r="Q719" s="3004">
        <v>715</v>
      </c>
      <c r="R719" s="2999" t="s">
        <v>5362</v>
      </c>
      <c r="S719" s="3000">
        <v>50.63</v>
      </c>
      <c r="T719" s="3000">
        <v>1</v>
      </c>
      <c r="U719" s="3000">
        <v>17260</v>
      </c>
      <c r="V719" s="3000">
        <v>87</v>
      </c>
    </row>
    <row r="720" spans="4:22" ht="14.25" thickBot="1">
      <c r="D720" s="2915">
        <v>716</v>
      </c>
      <c r="E720" s="2915"/>
      <c r="F720" s="2914" t="s">
        <v>3827</v>
      </c>
      <c r="G720" s="2915">
        <v>50.63</v>
      </c>
      <c r="H720" s="2915">
        <f t="shared" si="12"/>
        <v>8.89</v>
      </c>
      <c r="Q720" s="3004">
        <v>716</v>
      </c>
      <c r="R720" s="2999" t="s">
        <v>5363</v>
      </c>
      <c r="S720" s="3000">
        <v>50.63</v>
      </c>
      <c r="T720" s="3000">
        <v>1</v>
      </c>
      <c r="U720" s="3000">
        <v>17260</v>
      </c>
      <c r="V720" s="3000">
        <v>87</v>
      </c>
    </row>
    <row r="721" spans="4:22" ht="14.25" thickBot="1">
      <c r="D721" s="2915">
        <v>717</v>
      </c>
      <c r="E721" s="2915"/>
      <c r="F721" s="2914" t="s">
        <v>3828</v>
      </c>
      <c r="G721" s="2915">
        <v>50.63</v>
      </c>
      <c r="H721" s="2915">
        <f t="shared" si="12"/>
        <v>8.89</v>
      </c>
      <c r="Q721" s="3004">
        <v>717</v>
      </c>
      <c r="R721" s="2999" t="s">
        <v>5364</v>
      </c>
      <c r="S721" s="3000">
        <v>50.63</v>
      </c>
      <c r="T721" s="3000">
        <v>1</v>
      </c>
      <c r="U721" s="3000">
        <v>17260</v>
      </c>
      <c r="V721" s="3000">
        <v>87</v>
      </c>
    </row>
    <row r="722" spans="4:22" ht="14.25" thickBot="1">
      <c r="D722" s="2915">
        <v>718</v>
      </c>
      <c r="E722" s="2915"/>
      <c r="F722" s="2914" t="s">
        <v>3829</v>
      </c>
      <c r="G722" s="2915">
        <v>50.38</v>
      </c>
      <c r="H722" s="2915">
        <f t="shared" si="12"/>
        <v>8.85</v>
      </c>
      <c r="Q722" s="3004">
        <v>718</v>
      </c>
      <c r="R722" s="2999" t="s">
        <v>5365</v>
      </c>
      <c r="S722" s="3000">
        <v>50.38</v>
      </c>
      <c r="T722" s="3000">
        <v>1</v>
      </c>
      <c r="U722" s="3000">
        <v>17260</v>
      </c>
      <c r="V722" s="3000">
        <v>87</v>
      </c>
    </row>
    <row r="723" spans="4:22" ht="14.25" thickBot="1">
      <c r="D723" s="2915">
        <v>719</v>
      </c>
      <c r="E723" s="2915"/>
      <c r="F723" s="2914" t="s">
        <v>3830</v>
      </c>
      <c r="G723" s="2915">
        <v>51.12</v>
      </c>
      <c r="H723" s="2915">
        <f t="shared" si="12"/>
        <v>8.98</v>
      </c>
      <c r="Q723" s="3004">
        <v>719</v>
      </c>
      <c r="R723" s="2999" t="s">
        <v>5366</v>
      </c>
      <c r="S723" s="3000">
        <v>51.12</v>
      </c>
      <c r="T723" s="3000">
        <v>1</v>
      </c>
      <c r="U723" s="3000">
        <v>17260</v>
      </c>
      <c r="V723" s="3000">
        <v>88</v>
      </c>
    </row>
    <row r="724" spans="4:22" ht="14.25" thickBot="1">
      <c r="D724" s="2915">
        <v>720</v>
      </c>
      <c r="E724" s="2915"/>
      <c r="F724" s="2914" t="s">
        <v>3831</v>
      </c>
      <c r="G724" s="2915">
        <v>68.760000000000005</v>
      </c>
      <c r="H724" s="2915">
        <f t="shared" si="12"/>
        <v>12.07</v>
      </c>
      <c r="Q724" s="3004">
        <v>720</v>
      </c>
      <c r="R724" s="2999" t="s">
        <v>5367</v>
      </c>
      <c r="S724" s="3000">
        <v>68.760000000000005</v>
      </c>
      <c r="T724" s="3000">
        <v>1</v>
      </c>
      <c r="U724" s="3000">
        <v>17260</v>
      </c>
      <c r="V724" s="3000">
        <v>119</v>
      </c>
    </row>
    <row r="725" spans="4:22" ht="14.25" thickBot="1">
      <c r="D725" s="2915">
        <v>721</v>
      </c>
      <c r="E725" s="2915"/>
      <c r="F725" s="2914" t="s">
        <v>3832</v>
      </c>
      <c r="G725" s="2915">
        <v>69.319999999999993</v>
      </c>
      <c r="H725" s="2915">
        <f t="shared" si="12"/>
        <v>12.17</v>
      </c>
      <c r="Q725" s="3004">
        <v>721</v>
      </c>
      <c r="R725" s="2999" t="s">
        <v>5368</v>
      </c>
      <c r="S725" s="3000">
        <v>69.319999999999993</v>
      </c>
      <c r="T725" s="3000">
        <v>1</v>
      </c>
      <c r="U725" s="3000">
        <v>17260</v>
      </c>
      <c r="V725" s="3000">
        <v>120</v>
      </c>
    </row>
    <row r="726" spans="4:22" ht="14.25" thickBot="1">
      <c r="D726" s="2915">
        <v>722</v>
      </c>
      <c r="E726" s="2915"/>
      <c r="F726" s="2914" t="s">
        <v>3833</v>
      </c>
      <c r="G726" s="2915">
        <v>61.41</v>
      </c>
      <c r="H726" s="2915">
        <f t="shared" si="12"/>
        <v>10.78</v>
      </c>
      <c r="Q726" s="3004">
        <v>722</v>
      </c>
      <c r="R726" s="2999" t="s">
        <v>5369</v>
      </c>
      <c r="S726" s="3000">
        <v>61.41</v>
      </c>
      <c r="T726" s="3000">
        <v>1</v>
      </c>
      <c r="U726" s="3000">
        <v>17260</v>
      </c>
      <c r="V726" s="3000">
        <v>106</v>
      </c>
    </row>
    <row r="727" spans="4:22" ht="14.25" thickBot="1">
      <c r="D727" s="2915">
        <v>723</v>
      </c>
      <c r="E727" s="2915"/>
      <c r="F727" s="2914" t="s">
        <v>3834</v>
      </c>
      <c r="G727" s="2915">
        <v>61.41</v>
      </c>
      <c r="H727" s="2915">
        <f t="shared" si="12"/>
        <v>10.78</v>
      </c>
      <c r="Q727" s="3004">
        <v>723</v>
      </c>
      <c r="R727" s="2999" t="s">
        <v>5370</v>
      </c>
      <c r="S727" s="3000">
        <v>61.41</v>
      </c>
      <c r="T727" s="3000">
        <v>1</v>
      </c>
      <c r="U727" s="3000">
        <v>17260</v>
      </c>
      <c r="V727" s="3000">
        <v>106</v>
      </c>
    </row>
    <row r="728" spans="4:22" ht="14.25" thickBot="1">
      <c r="D728" s="2915">
        <v>724</v>
      </c>
      <c r="E728" s="2915"/>
      <c r="F728" s="2914" t="s">
        <v>3835</v>
      </c>
      <c r="G728" s="2915">
        <v>61.41</v>
      </c>
      <c r="H728" s="2915">
        <f t="shared" si="12"/>
        <v>10.78</v>
      </c>
      <c r="Q728" s="3004">
        <v>724</v>
      </c>
      <c r="R728" s="2999" t="s">
        <v>5371</v>
      </c>
      <c r="S728" s="3000">
        <v>61.41</v>
      </c>
      <c r="T728" s="3000">
        <v>1</v>
      </c>
      <c r="U728" s="3000">
        <v>17260</v>
      </c>
      <c r="V728" s="3000">
        <v>106</v>
      </c>
    </row>
    <row r="729" spans="4:22" ht="14.25" thickBot="1">
      <c r="D729" s="2915">
        <v>725</v>
      </c>
      <c r="E729" s="2915"/>
      <c r="F729" s="2914" t="s">
        <v>3836</v>
      </c>
      <c r="G729" s="2915">
        <v>61.41</v>
      </c>
      <c r="H729" s="2915">
        <f t="shared" si="12"/>
        <v>10.78</v>
      </c>
      <c r="Q729" s="3004">
        <v>725</v>
      </c>
      <c r="R729" s="2999" t="s">
        <v>5372</v>
      </c>
      <c r="S729" s="3000">
        <v>61.41</v>
      </c>
      <c r="T729" s="3000">
        <v>1</v>
      </c>
      <c r="U729" s="3000">
        <v>17260</v>
      </c>
      <c r="V729" s="3000">
        <v>106</v>
      </c>
    </row>
    <row r="730" spans="4:22" ht="14.25" thickBot="1">
      <c r="D730" s="2915">
        <v>726</v>
      </c>
      <c r="E730" s="2915"/>
      <c r="F730" s="2914" t="s">
        <v>3837</v>
      </c>
      <c r="G730" s="2915">
        <v>61.41</v>
      </c>
      <c r="H730" s="2915">
        <f t="shared" si="12"/>
        <v>10.78</v>
      </c>
      <c r="Q730" s="3004">
        <v>726</v>
      </c>
      <c r="R730" s="2999" t="s">
        <v>5373</v>
      </c>
      <c r="S730" s="3000">
        <v>61.41</v>
      </c>
      <c r="T730" s="3000">
        <v>1</v>
      </c>
      <c r="U730" s="3000">
        <v>17260</v>
      </c>
      <c r="V730" s="3000">
        <v>106</v>
      </c>
    </row>
    <row r="731" spans="4:22" ht="14.25" thickBot="1">
      <c r="D731" s="2915">
        <v>727</v>
      </c>
      <c r="E731" s="2915"/>
      <c r="F731" s="2914" t="s">
        <v>3838</v>
      </c>
      <c r="G731" s="2915">
        <v>72.87</v>
      </c>
      <c r="H731" s="2915">
        <f t="shared" si="12"/>
        <v>12.8</v>
      </c>
      <c r="Q731" s="3004">
        <v>727</v>
      </c>
      <c r="R731" s="2999" t="s">
        <v>5374</v>
      </c>
      <c r="S731" s="3000">
        <v>72.87</v>
      </c>
      <c r="T731" s="3000">
        <v>1</v>
      </c>
      <c r="U731" s="3000">
        <v>17260</v>
      </c>
      <c r="V731" s="3000">
        <v>126</v>
      </c>
    </row>
    <row r="732" spans="4:22" ht="14.25" thickBot="1">
      <c r="D732" s="2915">
        <v>728</v>
      </c>
      <c r="E732" s="2915"/>
      <c r="F732" s="2914" t="s">
        <v>3839</v>
      </c>
      <c r="G732" s="2915">
        <v>81.069999999999993</v>
      </c>
      <c r="H732" s="2915">
        <f t="shared" si="12"/>
        <v>14.24</v>
      </c>
      <c r="Q732" s="3004">
        <v>728</v>
      </c>
      <c r="R732" s="2999" t="s">
        <v>5375</v>
      </c>
      <c r="S732" s="3000">
        <v>81.069999999999993</v>
      </c>
      <c r="T732" s="3000">
        <v>1</v>
      </c>
      <c r="U732" s="3000">
        <v>17260</v>
      </c>
      <c r="V732" s="3000">
        <v>140</v>
      </c>
    </row>
    <row r="733" spans="4:22" ht="14.25" thickBot="1">
      <c r="D733" s="2915">
        <v>729</v>
      </c>
      <c r="E733" s="2915"/>
      <c r="F733" s="2914" t="s">
        <v>3840</v>
      </c>
      <c r="G733" s="2915">
        <v>61.41</v>
      </c>
      <c r="H733" s="2915">
        <f t="shared" si="12"/>
        <v>10.78</v>
      </c>
      <c r="Q733" s="3004">
        <v>729</v>
      </c>
      <c r="R733" s="2999" t="s">
        <v>5376</v>
      </c>
      <c r="S733" s="3000">
        <v>61.41</v>
      </c>
      <c r="T733" s="3000">
        <v>1</v>
      </c>
      <c r="U733" s="3000">
        <v>17260</v>
      </c>
      <c r="V733" s="3000">
        <v>106</v>
      </c>
    </row>
    <row r="734" spans="4:22" ht="14.25" thickBot="1">
      <c r="D734" s="2915">
        <v>730</v>
      </c>
      <c r="E734" s="2915"/>
      <c r="F734" s="2914" t="s">
        <v>3841</v>
      </c>
      <c r="G734" s="2915">
        <v>54.6</v>
      </c>
      <c r="H734" s="2915">
        <f t="shared" si="12"/>
        <v>9.59</v>
      </c>
      <c r="Q734" s="3004">
        <v>730</v>
      </c>
      <c r="R734" s="2999" t="s">
        <v>5377</v>
      </c>
      <c r="S734" s="3000">
        <v>54.6</v>
      </c>
      <c r="T734" s="3000">
        <v>1</v>
      </c>
      <c r="U734" s="3000">
        <v>17260</v>
      </c>
      <c r="V734" s="3000">
        <v>94</v>
      </c>
    </row>
    <row r="735" spans="4:22" ht="14.25" thickBot="1">
      <c r="D735" s="2915">
        <v>731</v>
      </c>
      <c r="E735" s="2915"/>
      <c r="F735" s="2914" t="s">
        <v>3842</v>
      </c>
      <c r="G735" s="2915">
        <v>71.23</v>
      </c>
      <c r="H735" s="2915">
        <f t="shared" si="12"/>
        <v>12.51</v>
      </c>
      <c r="Q735" s="3004">
        <v>731</v>
      </c>
      <c r="R735" s="2999" t="s">
        <v>5378</v>
      </c>
      <c r="S735" s="3000">
        <v>71.23</v>
      </c>
      <c r="T735" s="3000">
        <v>1</v>
      </c>
      <c r="U735" s="3000">
        <v>17260</v>
      </c>
      <c r="V735" s="3000">
        <v>123</v>
      </c>
    </row>
    <row r="736" spans="4:22" ht="14.25" thickBot="1">
      <c r="D736" s="2915">
        <v>732</v>
      </c>
      <c r="E736" s="2915"/>
      <c r="F736" s="2914" t="s">
        <v>3843</v>
      </c>
      <c r="G736" s="2915">
        <v>61.41</v>
      </c>
      <c r="H736" s="2915">
        <f t="shared" si="12"/>
        <v>10.78</v>
      </c>
      <c r="Q736" s="3004">
        <v>732</v>
      </c>
      <c r="R736" s="2999" t="s">
        <v>5379</v>
      </c>
      <c r="S736" s="3000">
        <v>61.41</v>
      </c>
      <c r="T736" s="3000">
        <v>1</v>
      </c>
      <c r="U736" s="3000">
        <v>17260</v>
      </c>
      <c r="V736" s="3000">
        <v>106</v>
      </c>
    </row>
    <row r="737" spans="4:22" ht="14.25" thickBot="1">
      <c r="D737" s="2915">
        <v>733</v>
      </c>
      <c r="E737" s="2915"/>
      <c r="F737" s="2914" t="s">
        <v>3844</v>
      </c>
      <c r="G737" s="2915">
        <v>61.41</v>
      </c>
      <c r="H737" s="2915">
        <f t="shared" si="12"/>
        <v>10.78</v>
      </c>
      <c r="Q737" s="3004">
        <v>733</v>
      </c>
      <c r="R737" s="2999" t="s">
        <v>5380</v>
      </c>
      <c r="S737" s="3000">
        <v>61.41</v>
      </c>
      <c r="T737" s="3000">
        <v>1</v>
      </c>
      <c r="U737" s="3000">
        <v>17260</v>
      </c>
      <c r="V737" s="3000">
        <v>106</v>
      </c>
    </row>
    <row r="738" spans="4:22" ht="14.25" thickBot="1">
      <c r="D738" s="2915">
        <v>734</v>
      </c>
      <c r="E738" s="2915"/>
      <c r="F738" s="2914" t="s">
        <v>3845</v>
      </c>
      <c r="G738" s="2915">
        <v>61.41</v>
      </c>
      <c r="H738" s="2915">
        <f t="shared" si="12"/>
        <v>10.78</v>
      </c>
      <c r="Q738" s="3004">
        <v>734</v>
      </c>
      <c r="R738" s="2999" t="s">
        <v>5381</v>
      </c>
      <c r="S738" s="3000">
        <v>61.41</v>
      </c>
      <c r="T738" s="3000">
        <v>1</v>
      </c>
      <c r="U738" s="3000">
        <v>17260</v>
      </c>
      <c r="V738" s="3000">
        <v>106</v>
      </c>
    </row>
    <row r="739" spans="4:22" ht="14.25" thickBot="1">
      <c r="D739" s="2915">
        <v>735</v>
      </c>
      <c r="E739" s="2915"/>
      <c r="F739" s="2914" t="s">
        <v>3846</v>
      </c>
      <c r="G739" s="2915">
        <v>61.88</v>
      </c>
      <c r="H739" s="2915">
        <f t="shared" si="12"/>
        <v>10.87</v>
      </c>
      <c r="Q739" s="3004">
        <v>735</v>
      </c>
      <c r="R739" s="2999" t="s">
        <v>5382</v>
      </c>
      <c r="S739" s="3000">
        <v>61.88</v>
      </c>
      <c r="T739" s="3000">
        <v>1</v>
      </c>
      <c r="U739" s="3000">
        <v>17260</v>
      </c>
      <c r="V739" s="3000">
        <v>107</v>
      </c>
    </row>
    <row r="740" spans="4:22" ht="14.25" thickBot="1">
      <c r="D740" s="2915">
        <v>736</v>
      </c>
      <c r="E740" s="2915"/>
      <c r="F740" s="2914" t="s">
        <v>3847</v>
      </c>
      <c r="G740" s="2915">
        <v>58.8</v>
      </c>
      <c r="H740" s="2915">
        <f t="shared" si="12"/>
        <v>10.32</v>
      </c>
      <c r="Q740" s="3004">
        <v>736</v>
      </c>
      <c r="R740" s="2999" t="s">
        <v>5383</v>
      </c>
      <c r="S740" s="3000">
        <v>58.8</v>
      </c>
      <c r="T740" s="3000">
        <v>1</v>
      </c>
      <c r="U740" s="3000">
        <v>17260</v>
      </c>
      <c r="V740" s="3000">
        <v>101</v>
      </c>
    </row>
    <row r="741" spans="4:22" ht="14.25" thickBot="1">
      <c r="D741" s="2915">
        <v>737</v>
      </c>
      <c r="E741" s="2915"/>
      <c r="F741" s="2914" t="s">
        <v>3848</v>
      </c>
      <c r="G741" s="2915">
        <v>60.21</v>
      </c>
      <c r="H741" s="2915">
        <f t="shared" si="12"/>
        <v>10.57</v>
      </c>
      <c r="Q741" s="3004">
        <v>737</v>
      </c>
      <c r="R741" s="2999" t="s">
        <v>5384</v>
      </c>
      <c r="S741" s="3000">
        <v>60.21</v>
      </c>
      <c r="T741" s="3000">
        <v>1</v>
      </c>
      <c r="U741" s="3000">
        <v>17260</v>
      </c>
      <c r="V741" s="3000">
        <v>104</v>
      </c>
    </row>
    <row r="742" spans="4:22" ht="14.25" thickBot="1">
      <c r="D742" s="2915">
        <v>738</v>
      </c>
      <c r="E742" s="2915"/>
      <c r="F742" s="2914" t="s">
        <v>3849</v>
      </c>
      <c r="G742" s="2915">
        <v>65.760000000000005</v>
      </c>
      <c r="H742" s="2915">
        <f t="shared" si="12"/>
        <v>11.55</v>
      </c>
      <c r="Q742" s="3004">
        <v>738</v>
      </c>
      <c r="R742" s="2999" t="s">
        <v>5385</v>
      </c>
      <c r="S742" s="3000">
        <v>65.760000000000005</v>
      </c>
      <c r="T742" s="3000">
        <v>1</v>
      </c>
      <c r="U742" s="3000">
        <v>17260</v>
      </c>
      <c r="V742" s="3000">
        <v>114</v>
      </c>
    </row>
    <row r="743" spans="4:22" ht="14.25" thickBot="1">
      <c r="D743" s="2915">
        <v>739</v>
      </c>
      <c r="E743" s="2915"/>
      <c r="F743" s="2914" t="s">
        <v>3850</v>
      </c>
      <c r="G743" s="2915">
        <v>59.41</v>
      </c>
      <c r="H743" s="2915">
        <f t="shared" si="12"/>
        <v>10.43</v>
      </c>
      <c r="Q743" s="3004">
        <v>739</v>
      </c>
      <c r="R743" s="2999" t="s">
        <v>3850</v>
      </c>
      <c r="S743" s="3000">
        <v>59.41</v>
      </c>
      <c r="T743" s="3000">
        <v>1</v>
      </c>
      <c r="U743" s="3000">
        <v>17260</v>
      </c>
      <c r="V743" s="3000">
        <v>103</v>
      </c>
    </row>
    <row r="744" spans="4:22" ht="14.25" thickBot="1">
      <c r="D744" s="2915">
        <v>740</v>
      </c>
      <c r="E744" s="2915"/>
      <c r="F744" s="2914" t="s">
        <v>3851</v>
      </c>
      <c r="G744" s="2915">
        <v>60.69</v>
      </c>
      <c r="H744" s="2915">
        <f t="shared" si="12"/>
        <v>10.66</v>
      </c>
      <c r="Q744" s="3004">
        <v>740</v>
      </c>
      <c r="R744" s="2999" t="s">
        <v>3851</v>
      </c>
      <c r="S744" s="3000">
        <v>60.69</v>
      </c>
      <c r="T744" s="3000">
        <v>1</v>
      </c>
      <c r="U744" s="3000">
        <v>17260</v>
      </c>
      <c r="V744" s="3000">
        <v>105</v>
      </c>
    </row>
    <row r="745" spans="4:22" ht="14.25" thickBot="1">
      <c r="D745" s="2915">
        <v>741</v>
      </c>
      <c r="E745" s="2915"/>
      <c r="F745" s="2914" t="s">
        <v>3852</v>
      </c>
      <c r="G745" s="2915">
        <v>60.69</v>
      </c>
      <c r="H745" s="2915">
        <f t="shared" si="12"/>
        <v>10.66</v>
      </c>
      <c r="Q745" s="3004">
        <v>741</v>
      </c>
      <c r="R745" s="2999" t="s">
        <v>3852</v>
      </c>
      <c r="S745" s="3000">
        <v>60.69</v>
      </c>
      <c r="T745" s="3000">
        <v>1</v>
      </c>
      <c r="U745" s="3000">
        <v>17260</v>
      </c>
      <c r="V745" s="3000">
        <v>105</v>
      </c>
    </row>
    <row r="746" spans="4:22" ht="14.25" thickBot="1">
      <c r="D746" s="2915">
        <v>742</v>
      </c>
      <c r="E746" s="2915"/>
      <c r="F746" s="2914" t="s">
        <v>3853</v>
      </c>
      <c r="G746" s="2915">
        <v>60.69</v>
      </c>
      <c r="H746" s="2915">
        <f t="shared" si="12"/>
        <v>10.66</v>
      </c>
      <c r="Q746" s="3004">
        <v>742</v>
      </c>
      <c r="R746" s="2999" t="s">
        <v>3853</v>
      </c>
      <c r="S746" s="3000">
        <v>60.69</v>
      </c>
      <c r="T746" s="3000">
        <v>1</v>
      </c>
      <c r="U746" s="3000">
        <v>17260</v>
      </c>
      <c r="V746" s="3000">
        <v>105</v>
      </c>
    </row>
    <row r="747" spans="4:22" ht="14.25" thickBot="1">
      <c r="D747" s="2915">
        <v>743</v>
      </c>
      <c r="E747" s="2915"/>
      <c r="F747" s="2914" t="s">
        <v>3854</v>
      </c>
      <c r="G747" s="2915">
        <v>60.69</v>
      </c>
      <c r="H747" s="2915">
        <f t="shared" si="12"/>
        <v>10.66</v>
      </c>
      <c r="Q747" s="3004">
        <v>743</v>
      </c>
      <c r="R747" s="2999" t="s">
        <v>3854</v>
      </c>
      <c r="S747" s="3000">
        <v>60.69</v>
      </c>
      <c r="T747" s="3000">
        <v>1</v>
      </c>
      <c r="U747" s="3000">
        <v>17260</v>
      </c>
      <c r="V747" s="3000">
        <v>105</v>
      </c>
    </row>
    <row r="748" spans="4:22" ht="14.25" thickBot="1">
      <c r="D748" s="2915">
        <v>744</v>
      </c>
      <c r="E748" s="2915"/>
      <c r="F748" s="2914" t="s">
        <v>3855</v>
      </c>
      <c r="G748" s="2915">
        <v>60.69</v>
      </c>
      <c r="H748" s="2915">
        <f t="shared" si="12"/>
        <v>10.66</v>
      </c>
      <c r="Q748" s="3004">
        <v>744</v>
      </c>
      <c r="R748" s="2999" t="s">
        <v>3855</v>
      </c>
      <c r="S748" s="3000">
        <v>60.69</v>
      </c>
      <c r="T748" s="3000">
        <v>1</v>
      </c>
      <c r="U748" s="3000">
        <v>17260</v>
      </c>
      <c r="V748" s="3000">
        <v>105</v>
      </c>
    </row>
    <row r="749" spans="4:22" ht="14.25" thickBot="1">
      <c r="D749" s="2915">
        <v>745</v>
      </c>
      <c r="E749" s="2915"/>
      <c r="F749" s="2914" t="s">
        <v>3856</v>
      </c>
      <c r="G749" s="2915">
        <v>60.69</v>
      </c>
      <c r="H749" s="2915">
        <f t="shared" si="12"/>
        <v>10.66</v>
      </c>
      <c r="Q749" s="3004">
        <v>745</v>
      </c>
      <c r="R749" s="2999" t="s">
        <v>3856</v>
      </c>
      <c r="S749" s="3000">
        <v>60.69</v>
      </c>
      <c r="T749" s="3000">
        <v>1</v>
      </c>
      <c r="U749" s="3000">
        <v>17260</v>
      </c>
      <c r="V749" s="3000">
        <v>105</v>
      </c>
    </row>
    <row r="750" spans="4:22" ht="14.25" thickBot="1">
      <c r="D750" s="2915">
        <v>746</v>
      </c>
      <c r="E750" s="2915"/>
      <c r="F750" s="2914" t="s">
        <v>3857</v>
      </c>
      <c r="G750" s="2915">
        <v>60.69</v>
      </c>
      <c r="H750" s="2915">
        <f t="shared" si="12"/>
        <v>10.66</v>
      </c>
      <c r="Q750" s="3004">
        <v>746</v>
      </c>
      <c r="R750" s="2999" t="s">
        <v>3857</v>
      </c>
      <c r="S750" s="3000">
        <v>60.69</v>
      </c>
      <c r="T750" s="3000">
        <v>1</v>
      </c>
      <c r="U750" s="3000">
        <v>17260</v>
      </c>
      <c r="V750" s="3000">
        <v>105</v>
      </c>
    </row>
    <row r="751" spans="4:22" ht="14.25" thickBot="1">
      <c r="D751" s="2915">
        <v>747</v>
      </c>
      <c r="E751" s="2915"/>
      <c r="F751" s="2914" t="s">
        <v>3858</v>
      </c>
      <c r="G751" s="2915">
        <v>60.69</v>
      </c>
      <c r="H751" s="2915">
        <f t="shared" si="12"/>
        <v>10.66</v>
      </c>
      <c r="Q751" s="3004">
        <v>747</v>
      </c>
      <c r="R751" s="2999" t="s">
        <v>3858</v>
      </c>
      <c r="S751" s="3000">
        <v>60.69</v>
      </c>
      <c r="T751" s="3000">
        <v>1</v>
      </c>
      <c r="U751" s="3000">
        <v>17260</v>
      </c>
      <c r="V751" s="3000">
        <v>105</v>
      </c>
    </row>
    <row r="752" spans="4:22" ht="14.25" thickBot="1">
      <c r="D752" s="2915">
        <v>748</v>
      </c>
      <c r="E752" s="2915"/>
      <c r="F752" s="2914" t="s">
        <v>3859</v>
      </c>
      <c r="G752" s="2915">
        <v>60.69</v>
      </c>
      <c r="H752" s="2915">
        <f t="shared" si="12"/>
        <v>10.66</v>
      </c>
      <c r="Q752" s="3004">
        <v>748</v>
      </c>
      <c r="R752" s="2999" t="s">
        <v>3859</v>
      </c>
      <c r="S752" s="3000">
        <v>60.69</v>
      </c>
      <c r="T752" s="3000">
        <v>1</v>
      </c>
      <c r="U752" s="3000">
        <v>17260</v>
      </c>
      <c r="V752" s="3000">
        <v>105</v>
      </c>
    </row>
    <row r="753" spans="4:22" ht="14.25" thickBot="1">
      <c r="D753" s="2915">
        <v>749</v>
      </c>
      <c r="E753" s="2915"/>
      <c r="F753" s="2914" t="s">
        <v>3860</v>
      </c>
      <c r="G753" s="2915">
        <v>54.3</v>
      </c>
      <c r="H753" s="2915">
        <f t="shared" si="12"/>
        <v>9.5299999999999994</v>
      </c>
      <c r="Q753" s="3004">
        <v>749</v>
      </c>
      <c r="R753" s="2999" t="s">
        <v>3860</v>
      </c>
      <c r="S753" s="3000">
        <v>54.3</v>
      </c>
      <c r="T753" s="3000">
        <v>1</v>
      </c>
      <c r="U753" s="3000">
        <v>17260</v>
      </c>
      <c r="V753" s="3000">
        <v>94</v>
      </c>
    </row>
    <row r="754" spans="4:22" ht="14.25" thickBot="1">
      <c r="D754" s="2915">
        <v>750</v>
      </c>
      <c r="E754" s="2915"/>
      <c r="F754" s="2914" t="s">
        <v>3861</v>
      </c>
      <c r="G754" s="2915">
        <v>60.68</v>
      </c>
      <c r="H754" s="2915">
        <f t="shared" si="12"/>
        <v>10.65</v>
      </c>
      <c r="Q754" s="3004">
        <v>750</v>
      </c>
      <c r="R754" s="2999" t="s">
        <v>3861</v>
      </c>
      <c r="S754" s="3000">
        <v>60.68</v>
      </c>
      <c r="T754" s="3000">
        <v>1</v>
      </c>
      <c r="U754" s="3000">
        <v>17260</v>
      </c>
      <c r="V754" s="3000">
        <v>105</v>
      </c>
    </row>
    <row r="755" spans="4:22" ht="14.25" thickBot="1">
      <c r="D755" s="2915">
        <v>751</v>
      </c>
      <c r="E755" s="2915"/>
      <c r="F755" s="2914" t="s">
        <v>3862</v>
      </c>
      <c r="G755" s="2915">
        <v>80.459999999999994</v>
      </c>
      <c r="H755" s="2915">
        <f t="shared" si="12"/>
        <v>14.13</v>
      </c>
      <c r="Q755" s="3004">
        <v>751</v>
      </c>
      <c r="R755" s="2999" t="s">
        <v>3862</v>
      </c>
      <c r="S755" s="3000">
        <v>80.459999999999994</v>
      </c>
      <c r="T755" s="3000">
        <v>1</v>
      </c>
      <c r="U755" s="3000">
        <v>17260</v>
      </c>
      <c r="V755" s="3000">
        <v>139</v>
      </c>
    </row>
    <row r="756" spans="4:22" ht="14.25" thickBot="1">
      <c r="D756" s="2915">
        <v>752</v>
      </c>
      <c r="E756" s="2915"/>
      <c r="F756" s="2914" t="s">
        <v>3863</v>
      </c>
      <c r="G756" s="2915">
        <v>80.45</v>
      </c>
      <c r="H756" s="2915">
        <f t="shared" si="12"/>
        <v>14.13</v>
      </c>
      <c r="Q756" s="3004">
        <v>752</v>
      </c>
      <c r="R756" s="2999" t="s">
        <v>3863</v>
      </c>
      <c r="S756" s="3000">
        <v>80.45</v>
      </c>
      <c r="T756" s="3000">
        <v>1</v>
      </c>
      <c r="U756" s="3000">
        <v>17260</v>
      </c>
      <c r="V756" s="3000">
        <v>139</v>
      </c>
    </row>
    <row r="757" spans="4:22" ht="14.25" thickBot="1">
      <c r="D757" s="2915">
        <v>753</v>
      </c>
      <c r="E757" s="2915"/>
      <c r="F757" s="2914" t="s">
        <v>3864</v>
      </c>
      <c r="G757" s="2915">
        <v>60.69</v>
      </c>
      <c r="H757" s="2915">
        <f t="shared" si="12"/>
        <v>10.66</v>
      </c>
      <c r="Q757" s="3004">
        <v>753</v>
      </c>
      <c r="R757" s="2999" t="s">
        <v>3864</v>
      </c>
      <c r="S757" s="3000">
        <v>60.69</v>
      </c>
      <c r="T757" s="3000">
        <v>1</v>
      </c>
      <c r="U757" s="3000">
        <v>17260</v>
      </c>
      <c r="V757" s="3000">
        <v>105</v>
      </c>
    </row>
    <row r="758" spans="4:22" ht="14.25" thickBot="1">
      <c r="D758" s="2915">
        <v>754</v>
      </c>
      <c r="E758" s="2915"/>
      <c r="F758" s="2914" t="s">
        <v>3865</v>
      </c>
      <c r="G758" s="2915">
        <v>60.69</v>
      </c>
      <c r="H758" s="2915">
        <f t="shared" si="12"/>
        <v>10.66</v>
      </c>
      <c r="Q758" s="3004">
        <v>754</v>
      </c>
      <c r="R758" s="2999" t="s">
        <v>3865</v>
      </c>
      <c r="S758" s="3000">
        <v>60.69</v>
      </c>
      <c r="T758" s="3000">
        <v>1</v>
      </c>
      <c r="U758" s="3000">
        <v>17260</v>
      </c>
      <c r="V758" s="3000">
        <v>105</v>
      </c>
    </row>
    <row r="759" spans="4:22" ht="14.25" thickBot="1">
      <c r="D759" s="2915">
        <v>755</v>
      </c>
      <c r="E759" s="2915"/>
      <c r="F759" s="2914" t="s">
        <v>3866</v>
      </c>
      <c r="G759" s="2915">
        <v>60.68</v>
      </c>
      <c r="H759" s="2915">
        <f t="shared" si="12"/>
        <v>10.65</v>
      </c>
      <c r="Q759" s="3004">
        <v>755</v>
      </c>
      <c r="R759" s="2999" t="s">
        <v>3866</v>
      </c>
      <c r="S759" s="3000">
        <v>60.68</v>
      </c>
      <c r="T759" s="3000">
        <v>1</v>
      </c>
      <c r="U759" s="3000">
        <v>17260</v>
      </c>
      <c r="V759" s="3000">
        <v>105</v>
      </c>
    </row>
    <row r="760" spans="4:22" ht="14.25" thickBot="1">
      <c r="D760" s="2915">
        <v>756</v>
      </c>
      <c r="E760" s="2915"/>
      <c r="F760" s="2914" t="s">
        <v>3867</v>
      </c>
      <c r="G760" s="2915">
        <v>60.69</v>
      </c>
      <c r="H760" s="2915">
        <f t="shared" si="12"/>
        <v>10.66</v>
      </c>
      <c r="Q760" s="3004">
        <v>756</v>
      </c>
      <c r="R760" s="2999" t="s">
        <v>3867</v>
      </c>
      <c r="S760" s="3000">
        <v>60.69</v>
      </c>
      <c r="T760" s="3000">
        <v>1</v>
      </c>
      <c r="U760" s="3000">
        <v>17260</v>
      </c>
      <c r="V760" s="3000">
        <v>105</v>
      </c>
    </row>
    <row r="761" spans="4:22" ht="14.25" thickBot="1">
      <c r="D761" s="2915">
        <v>757</v>
      </c>
      <c r="E761" s="2915"/>
      <c r="F761" s="2914" t="s">
        <v>3868</v>
      </c>
      <c r="G761" s="2915">
        <v>60.69</v>
      </c>
      <c r="H761" s="2915">
        <f t="shared" si="12"/>
        <v>10.66</v>
      </c>
      <c r="Q761" s="3004">
        <v>757</v>
      </c>
      <c r="R761" s="2999" t="s">
        <v>3868</v>
      </c>
      <c r="S761" s="3000">
        <v>60.69</v>
      </c>
      <c r="T761" s="3000">
        <v>1</v>
      </c>
      <c r="U761" s="3000">
        <v>17260</v>
      </c>
      <c r="V761" s="3000">
        <v>105</v>
      </c>
    </row>
    <row r="762" spans="4:22" ht="14.25" thickBot="1">
      <c r="D762" s="2915">
        <v>758</v>
      </c>
      <c r="E762" s="2915"/>
      <c r="F762" s="2914" t="s">
        <v>3869</v>
      </c>
      <c r="G762" s="2915">
        <v>60.69</v>
      </c>
      <c r="H762" s="2915">
        <f t="shared" si="12"/>
        <v>10.66</v>
      </c>
      <c r="Q762" s="3004">
        <v>758</v>
      </c>
      <c r="R762" s="2999" t="s">
        <v>3869</v>
      </c>
      <c r="S762" s="3000">
        <v>60.69</v>
      </c>
      <c r="T762" s="3000">
        <v>1</v>
      </c>
      <c r="U762" s="3000">
        <v>17260</v>
      </c>
      <c r="V762" s="3000">
        <v>105</v>
      </c>
    </row>
    <row r="763" spans="4:22" ht="14.25" thickBot="1">
      <c r="D763" s="2915">
        <v>759</v>
      </c>
      <c r="E763" s="2915"/>
      <c r="F763" s="2914" t="s">
        <v>3870</v>
      </c>
      <c r="G763" s="2915">
        <v>60.69</v>
      </c>
      <c r="H763" s="2915">
        <f t="shared" si="12"/>
        <v>10.66</v>
      </c>
      <c r="Q763" s="3004">
        <v>759</v>
      </c>
      <c r="R763" s="2999" t="s">
        <v>3870</v>
      </c>
      <c r="S763" s="3000">
        <v>60.69</v>
      </c>
      <c r="T763" s="3000">
        <v>1</v>
      </c>
      <c r="U763" s="3000">
        <v>17260</v>
      </c>
      <c r="V763" s="3000">
        <v>105</v>
      </c>
    </row>
    <row r="764" spans="4:22" ht="14.25" thickBot="1">
      <c r="D764" s="2915">
        <v>760</v>
      </c>
      <c r="E764" s="2915"/>
      <c r="F764" s="2914" t="s">
        <v>3871</v>
      </c>
      <c r="G764" s="2915">
        <v>60.69</v>
      </c>
      <c r="H764" s="2915">
        <f t="shared" si="12"/>
        <v>10.66</v>
      </c>
      <c r="Q764" s="3004">
        <v>760</v>
      </c>
      <c r="R764" s="2999" t="s">
        <v>3871</v>
      </c>
      <c r="S764" s="3000">
        <v>60.69</v>
      </c>
      <c r="T764" s="3000">
        <v>1</v>
      </c>
      <c r="U764" s="3000">
        <v>17260</v>
      </c>
      <c r="V764" s="3000">
        <v>105</v>
      </c>
    </row>
    <row r="765" spans="4:22" ht="14.25" thickBot="1">
      <c r="D765" s="2915">
        <v>761</v>
      </c>
      <c r="E765" s="2915"/>
      <c r="F765" s="2914" t="s">
        <v>3872</v>
      </c>
      <c r="G765" s="2915">
        <v>60.69</v>
      </c>
      <c r="H765" s="2915">
        <f t="shared" si="12"/>
        <v>10.66</v>
      </c>
      <c r="Q765" s="3004">
        <v>761</v>
      </c>
      <c r="R765" s="2999" t="s">
        <v>3872</v>
      </c>
      <c r="S765" s="3000">
        <v>60.69</v>
      </c>
      <c r="T765" s="3000">
        <v>1</v>
      </c>
      <c r="U765" s="3000">
        <v>17260</v>
      </c>
      <c r="V765" s="3000">
        <v>105</v>
      </c>
    </row>
    <row r="766" spans="4:22" ht="14.25" thickBot="1">
      <c r="D766" s="2915">
        <v>762</v>
      </c>
      <c r="E766" s="2915"/>
      <c r="F766" s="2914" t="s">
        <v>3873</v>
      </c>
      <c r="G766" s="2915">
        <v>60.69</v>
      </c>
      <c r="H766" s="2915">
        <f t="shared" si="12"/>
        <v>10.66</v>
      </c>
      <c r="Q766" s="3004">
        <v>762</v>
      </c>
      <c r="R766" s="2999" t="s">
        <v>3873</v>
      </c>
      <c r="S766" s="3000">
        <v>60.69</v>
      </c>
      <c r="T766" s="3000">
        <v>1</v>
      </c>
      <c r="U766" s="3000">
        <v>17260</v>
      </c>
      <c r="V766" s="3000">
        <v>105</v>
      </c>
    </row>
    <row r="767" spans="4:22" ht="14.25" thickBot="1">
      <c r="D767" s="2915">
        <v>763</v>
      </c>
      <c r="E767" s="2915"/>
      <c r="F767" s="2914" t="s">
        <v>3874</v>
      </c>
      <c r="G767" s="2915">
        <v>60.69</v>
      </c>
      <c r="H767" s="2915">
        <f t="shared" si="12"/>
        <v>10.66</v>
      </c>
      <c r="Q767" s="3004">
        <v>763</v>
      </c>
      <c r="R767" s="2999" t="s">
        <v>3874</v>
      </c>
      <c r="S767" s="3000">
        <v>60.69</v>
      </c>
      <c r="T767" s="3000">
        <v>1</v>
      </c>
      <c r="U767" s="3000">
        <v>17260</v>
      </c>
      <c r="V767" s="3000">
        <v>105</v>
      </c>
    </row>
    <row r="768" spans="4:22" ht="14.25" thickBot="1">
      <c r="D768" s="2915">
        <v>764</v>
      </c>
      <c r="E768" s="2915"/>
      <c r="F768" s="2914" t="s">
        <v>3875</v>
      </c>
      <c r="G768" s="2915">
        <v>104.53</v>
      </c>
      <c r="H768" s="2915">
        <f t="shared" si="12"/>
        <v>18.350000000000001</v>
      </c>
      <c r="Q768" s="3004">
        <v>764</v>
      </c>
      <c r="R768" s="2999" t="s">
        <v>3875</v>
      </c>
      <c r="S768" s="3000">
        <v>104.53</v>
      </c>
      <c r="T768" s="3000">
        <v>0.99</v>
      </c>
      <c r="U768" s="3000">
        <v>17087</v>
      </c>
      <c r="V768" s="3000">
        <v>179</v>
      </c>
    </row>
    <row r="769" spans="4:22" ht="14.25" thickBot="1">
      <c r="D769" s="2915">
        <v>765</v>
      </c>
      <c r="E769" s="2915"/>
      <c r="F769" s="2914" t="s">
        <v>3876</v>
      </c>
      <c r="G769" s="2915">
        <v>55.78</v>
      </c>
      <c r="H769" s="2915">
        <f t="shared" si="12"/>
        <v>9.7899999999999991</v>
      </c>
      <c r="Q769" s="3004">
        <v>765</v>
      </c>
      <c r="R769" s="2999" t="s">
        <v>3876</v>
      </c>
      <c r="S769" s="3000">
        <v>55.78</v>
      </c>
      <c r="T769" s="3000">
        <v>1</v>
      </c>
      <c r="U769" s="3000">
        <v>17260</v>
      </c>
      <c r="V769" s="3000">
        <v>96</v>
      </c>
    </row>
    <row r="770" spans="4:22" ht="14.25" thickBot="1">
      <c r="D770" s="2915">
        <v>766</v>
      </c>
      <c r="E770" s="2915"/>
      <c r="F770" s="2914" t="s">
        <v>3877</v>
      </c>
      <c r="G770" s="2915">
        <v>48.86</v>
      </c>
      <c r="H770" s="2915">
        <f t="shared" si="12"/>
        <v>8.58</v>
      </c>
      <c r="Q770" s="3004">
        <v>766</v>
      </c>
      <c r="R770" s="2999" t="s">
        <v>3877</v>
      </c>
      <c r="S770" s="3000">
        <v>48.86</v>
      </c>
      <c r="T770" s="3000">
        <v>1</v>
      </c>
      <c r="U770" s="3000">
        <v>17260</v>
      </c>
      <c r="V770" s="3000">
        <v>84</v>
      </c>
    </row>
    <row r="771" spans="4:22" ht="14.25" thickBot="1">
      <c r="D771" s="2915">
        <v>767</v>
      </c>
      <c r="E771" s="2915"/>
      <c r="F771" s="2914" t="s">
        <v>3878</v>
      </c>
      <c r="G771" s="2915">
        <v>48.86</v>
      </c>
      <c r="H771" s="2915">
        <f t="shared" si="12"/>
        <v>8.58</v>
      </c>
      <c r="Q771" s="3004">
        <v>767</v>
      </c>
      <c r="R771" s="2999" t="s">
        <v>3878</v>
      </c>
      <c r="S771" s="3000">
        <v>48.86</v>
      </c>
      <c r="T771" s="3000">
        <v>1</v>
      </c>
      <c r="U771" s="3000">
        <v>17260</v>
      </c>
      <c r="V771" s="3000">
        <v>84</v>
      </c>
    </row>
    <row r="772" spans="4:22" ht="14.25" thickBot="1">
      <c r="D772" s="2915">
        <v>768</v>
      </c>
      <c r="E772" s="2915"/>
      <c r="F772" s="2914" t="s">
        <v>3879</v>
      </c>
      <c r="G772" s="2915">
        <v>48.86</v>
      </c>
      <c r="H772" s="2915">
        <f t="shared" si="12"/>
        <v>8.58</v>
      </c>
      <c r="Q772" s="3004">
        <v>768</v>
      </c>
      <c r="R772" s="2999" t="s">
        <v>3879</v>
      </c>
      <c r="S772" s="3000">
        <v>48.86</v>
      </c>
      <c r="T772" s="3000">
        <v>1</v>
      </c>
      <c r="U772" s="3000">
        <v>17260</v>
      </c>
      <c r="V772" s="3000">
        <v>84</v>
      </c>
    </row>
    <row r="773" spans="4:22" ht="14.25" thickBot="1">
      <c r="D773" s="2915">
        <v>769</v>
      </c>
      <c r="E773" s="2915"/>
      <c r="F773" s="2914" t="s">
        <v>3880</v>
      </c>
      <c r="G773" s="2915">
        <v>54.5</v>
      </c>
      <c r="H773" s="2915">
        <f t="shared" si="12"/>
        <v>9.57</v>
      </c>
      <c r="Q773" s="3004">
        <v>769</v>
      </c>
      <c r="R773" s="2999" t="s">
        <v>3880</v>
      </c>
      <c r="S773" s="3000">
        <v>54.5</v>
      </c>
      <c r="T773" s="3000">
        <v>1</v>
      </c>
      <c r="U773" s="3000">
        <v>17260</v>
      </c>
      <c r="V773" s="3000">
        <v>94</v>
      </c>
    </row>
    <row r="774" spans="4:22" ht="14.25" thickBot="1">
      <c r="D774" s="2915">
        <v>770</v>
      </c>
      <c r="E774" s="2915"/>
      <c r="F774" s="2914" t="s">
        <v>3881</v>
      </c>
      <c r="G774" s="2915">
        <v>64.58</v>
      </c>
      <c r="H774" s="2915">
        <f t="shared" ref="H774:H837" si="13">ROUND(G774/$N$7*$M$7,2)</f>
        <v>11.34</v>
      </c>
      <c r="Q774" s="3004">
        <v>770</v>
      </c>
      <c r="R774" s="2999" t="s">
        <v>3881</v>
      </c>
      <c r="S774" s="3000">
        <v>64.58</v>
      </c>
      <c r="T774" s="3000">
        <v>1</v>
      </c>
      <c r="U774" s="3000">
        <v>17260</v>
      </c>
      <c r="V774" s="3000">
        <v>111</v>
      </c>
    </row>
    <row r="775" spans="4:22" ht="14.25" thickBot="1">
      <c r="D775" s="2915">
        <v>771</v>
      </c>
      <c r="E775" s="2915"/>
      <c r="F775" s="2914" t="s">
        <v>3882</v>
      </c>
      <c r="G775" s="2915">
        <v>45.32</v>
      </c>
      <c r="H775" s="2915">
        <f t="shared" si="13"/>
        <v>7.96</v>
      </c>
      <c r="Q775" s="3004">
        <v>771</v>
      </c>
      <c r="R775" s="2999" t="s">
        <v>3882</v>
      </c>
      <c r="S775" s="3000">
        <v>45.32</v>
      </c>
      <c r="T775" s="3000">
        <v>1</v>
      </c>
      <c r="U775" s="3000">
        <v>17260</v>
      </c>
      <c r="V775" s="3000">
        <v>78</v>
      </c>
    </row>
    <row r="776" spans="4:22" ht="14.25" thickBot="1">
      <c r="D776" s="2915">
        <v>772</v>
      </c>
      <c r="E776" s="2915"/>
      <c r="F776" s="2914" t="s">
        <v>3883</v>
      </c>
      <c r="G776" s="2915">
        <v>45.2</v>
      </c>
      <c r="H776" s="2915">
        <f t="shared" si="13"/>
        <v>7.94</v>
      </c>
      <c r="Q776" s="3004">
        <v>772</v>
      </c>
      <c r="R776" s="2999" t="s">
        <v>3883</v>
      </c>
      <c r="S776" s="3000">
        <v>45.2</v>
      </c>
      <c r="T776" s="3000">
        <v>1</v>
      </c>
      <c r="U776" s="3000">
        <v>17260</v>
      </c>
      <c r="V776" s="3000">
        <v>78</v>
      </c>
    </row>
    <row r="777" spans="4:22" ht="14.25" thickBot="1">
      <c r="D777" s="2915">
        <v>773</v>
      </c>
      <c r="E777" s="2915"/>
      <c r="F777" s="2914" t="s">
        <v>3884</v>
      </c>
      <c r="G777" s="2915">
        <v>45.32</v>
      </c>
      <c r="H777" s="2915">
        <f t="shared" si="13"/>
        <v>7.96</v>
      </c>
      <c r="Q777" s="3004">
        <v>773</v>
      </c>
      <c r="R777" s="2999" t="s">
        <v>3884</v>
      </c>
      <c r="S777" s="3000">
        <v>45.32</v>
      </c>
      <c r="T777" s="3000">
        <v>1</v>
      </c>
      <c r="U777" s="3000">
        <v>17260</v>
      </c>
      <c r="V777" s="3000">
        <v>78</v>
      </c>
    </row>
    <row r="778" spans="4:22" ht="14.25" thickBot="1">
      <c r="D778" s="2915">
        <v>774</v>
      </c>
      <c r="E778" s="2915"/>
      <c r="F778" s="2914" t="s">
        <v>3885</v>
      </c>
      <c r="G778" s="2915">
        <v>45.32</v>
      </c>
      <c r="H778" s="2915">
        <f t="shared" si="13"/>
        <v>7.96</v>
      </c>
      <c r="Q778" s="3004">
        <v>774</v>
      </c>
      <c r="R778" s="2999" t="s">
        <v>3885</v>
      </c>
      <c r="S778" s="3000">
        <v>45.32</v>
      </c>
      <c r="T778" s="3000">
        <v>1</v>
      </c>
      <c r="U778" s="3000">
        <v>17260</v>
      </c>
      <c r="V778" s="3000">
        <v>78</v>
      </c>
    </row>
    <row r="779" spans="4:22" ht="14.25" thickBot="1">
      <c r="D779" s="2915">
        <v>775</v>
      </c>
      <c r="E779" s="2915"/>
      <c r="F779" s="2914" t="s">
        <v>3886</v>
      </c>
      <c r="G779" s="2915">
        <v>48.86</v>
      </c>
      <c r="H779" s="2915">
        <f t="shared" si="13"/>
        <v>8.58</v>
      </c>
      <c r="Q779" s="3004">
        <v>775</v>
      </c>
      <c r="R779" s="2999" t="s">
        <v>3886</v>
      </c>
      <c r="S779" s="3000">
        <v>48.86</v>
      </c>
      <c r="T779" s="3000">
        <v>1</v>
      </c>
      <c r="U779" s="3000">
        <v>17260</v>
      </c>
      <c r="V779" s="3000">
        <v>84</v>
      </c>
    </row>
    <row r="780" spans="4:22" ht="14.25" thickBot="1">
      <c r="D780" s="2915">
        <v>776</v>
      </c>
      <c r="E780" s="2915"/>
      <c r="F780" s="2914" t="s">
        <v>3887</v>
      </c>
      <c r="G780" s="2915">
        <v>44.51</v>
      </c>
      <c r="H780" s="2915">
        <f t="shared" si="13"/>
        <v>7.82</v>
      </c>
      <c r="Q780" s="3004">
        <v>776</v>
      </c>
      <c r="R780" s="2999" t="s">
        <v>3887</v>
      </c>
      <c r="S780" s="3000">
        <v>44.51</v>
      </c>
      <c r="T780" s="3000">
        <v>1</v>
      </c>
      <c r="U780" s="3000">
        <v>17260</v>
      </c>
      <c r="V780" s="3000">
        <v>77</v>
      </c>
    </row>
    <row r="781" spans="4:22" ht="14.25" thickBot="1">
      <c r="D781" s="2915">
        <v>777</v>
      </c>
      <c r="E781" s="2915"/>
      <c r="F781" s="2914" t="s">
        <v>3888</v>
      </c>
      <c r="G781" s="2915">
        <v>54.67</v>
      </c>
      <c r="H781" s="2915">
        <f t="shared" si="13"/>
        <v>9.6</v>
      </c>
      <c r="Q781" s="3004">
        <v>777</v>
      </c>
      <c r="R781" s="2999" t="s">
        <v>3888</v>
      </c>
      <c r="S781" s="3000">
        <v>54.67</v>
      </c>
      <c r="T781" s="3000">
        <v>1</v>
      </c>
      <c r="U781" s="3000">
        <v>17260</v>
      </c>
      <c r="V781" s="3000">
        <v>94</v>
      </c>
    </row>
    <row r="782" spans="4:22" ht="14.25" thickBot="1">
      <c r="D782" s="2915">
        <v>778</v>
      </c>
      <c r="E782" s="2915"/>
      <c r="F782" s="2914" t="s">
        <v>3889</v>
      </c>
      <c r="G782" s="2915">
        <v>48.86</v>
      </c>
      <c r="H782" s="2915">
        <f t="shared" si="13"/>
        <v>8.58</v>
      </c>
      <c r="Q782" s="3004">
        <v>778</v>
      </c>
      <c r="R782" s="2999" t="s">
        <v>3889</v>
      </c>
      <c r="S782" s="3000">
        <v>48.86</v>
      </c>
      <c r="T782" s="3000">
        <v>1</v>
      </c>
      <c r="U782" s="3000">
        <v>17260</v>
      </c>
      <c r="V782" s="3000">
        <v>84</v>
      </c>
    </row>
    <row r="783" spans="4:22" ht="14.25" thickBot="1">
      <c r="D783" s="2915">
        <v>779</v>
      </c>
      <c r="E783" s="2915"/>
      <c r="F783" s="2914" t="s">
        <v>3890</v>
      </c>
      <c r="G783" s="2915">
        <v>48.86</v>
      </c>
      <c r="H783" s="2915">
        <f t="shared" si="13"/>
        <v>8.58</v>
      </c>
      <c r="Q783" s="3004">
        <v>779</v>
      </c>
      <c r="R783" s="2999" t="s">
        <v>3890</v>
      </c>
      <c r="S783" s="3000">
        <v>48.86</v>
      </c>
      <c r="T783" s="3000">
        <v>1</v>
      </c>
      <c r="U783" s="3000">
        <v>17260</v>
      </c>
      <c r="V783" s="3000">
        <v>84</v>
      </c>
    </row>
    <row r="784" spans="4:22" ht="14.25" thickBot="1">
      <c r="D784" s="2915">
        <v>780</v>
      </c>
      <c r="E784" s="2915"/>
      <c r="F784" s="2914" t="s">
        <v>3891</v>
      </c>
      <c r="G784" s="2915">
        <v>48.86</v>
      </c>
      <c r="H784" s="2915">
        <f t="shared" si="13"/>
        <v>8.58</v>
      </c>
      <c r="Q784" s="3004">
        <v>780</v>
      </c>
      <c r="R784" s="2999" t="s">
        <v>3891</v>
      </c>
      <c r="S784" s="3000">
        <v>48.86</v>
      </c>
      <c r="T784" s="3000">
        <v>1</v>
      </c>
      <c r="U784" s="3000">
        <v>17260</v>
      </c>
      <c r="V784" s="3000">
        <v>84</v>
      </c>
    </row>
    <row r="785" spans="4:22" ht="14.25" thickBot="1">
      <c r="D785" s="2915">
        <v>781</v>
      </c>
      <c r="E785" s="2915"/>
      <c r="F785" s="2914" t="s">
        <v>3892</v>
      </c>
      <c r="G785" s="2915">
        <v>54.87</v>
      </c>
      <c r="H785" s="2915">
        <f t="shared" si="13"/>
        <v>9.6300000000000008</v>
      </c>
      <c r="Q785" s="3004">
        <v>781</v>
      </c>
      <c r="R785" s="2999" t="s">
        <v>3892</v>
      </c>
      <c r="S785" s="3000">
        <v>54.87</v>
      </c>
      <c r="T785" s="3000">
        <v>1</v>
      </c>
      <c r="U785" s="3000">
        <v>17260</v>
      </c>
      <c r="V785" s="3000">
        <v>95</v>
      </c>
    </row>
    <row r="786" spans="4:22" ht="14.25" thickBot="1">
      <c r="D786" s="2915">
        <v>782</v>
      </c>
      <c r="E786" s="2915"/>
      <c r="F786" s="2914" t="s">
        <v>3893</v>
      </c>
      <c r="G786" s="2915">
        <v>88.13</v>
      </c>
      <c r="H786" s="2915">
        <f t="shared" si="13"/>
        <v>15.47</v>
      </c>
      <c r="Q786" s="3004">
        <v>782</v>
      </c>
      <c r="R786" s="2999" t="s">
        <v>3893</v>
      </c>
      <c r="S786" s="3000">
        <v>88.13</v>
      </c>
      <c r="T786" s="3000">
        <v>1</v>
      </c>
      <c r="U786" s="3000">
        <v>17260</v>
      </c>
      <c r="V786" s="3000">
        <v>152</v>
      </c>
    </row>
    <row r="787" spans="4:22" ht="14.25" thickBot="1">
      <c r="D787" s="2915">
        <v>783</v>
      </c>
      <c r="E787" s="2915"/>
      <c r="F787" s="2914" t="s">
        <v>3894</v>
      </c>
      <c r="G787" s="2915">
        <v>186.33</v>
      </c>
      <c r="H787" s="2915">
        <f t="shared" si="13"/>
        <v>32.72</v>
      </c>
      <c r="Q787" s="3004">
        <v>783</v>
      </c>
      <c r="R787" s="2999" t="s">
        <v>5386</v>
      </c>
      <c r="S787" s="3000">
        <v>186.33</v>
      </c>
      <c r="T787" s="3000">
        <v>0.99</v>
      </c>
      <c r="U787" s="3000">
        <v>17087</v>
      </c>
      <c r="V787" s="3000">
        <v>318</v>
      </c>
    </row>
    <row r="788" spans="4:22" ht="14.25" thickBot="1">
      <c r="D788" s="2915">
        <v>784</v>
      </c>
      <c r="E788" s="2915"/>
      <c r="F788" s="2914" t="s">
        <v>3895</v>
      </c>
      <c r="G788" s="2915">
        <v>188.39</v>
      </c>
      <c r="H788" s="2915">
        <f t="shared" si="13"/>
        <v>33.08</v>
      </c>
      <c r="Q788" s="3004">
        <v>784</v>
      </c>
      <c r="R788" s="2999" t="s">
        <v>5387</v>
      </c>
      <c r="S788" s="3000">
        <v>188.39</v>
      </c>
      <c r="T788" s="3000">
        <v>0.99</v>
      </c>
      <c r="U788" s="3000">
        <v>17087</v>
      </c>
      <c r="V788" s="3000">
        <v>322</v>
      </c>
    </row>
    <row r="789" spans="4:22" ht="14.25" thickBot="1">
      <c r="D789" s="2915">
        <v>785</v>
      </c>
      <c r="E789" s="2915"/>
      <c r="F789" s="2914" t="s">
        <v>3896</v>
      </c>
      <c r="G789" s="2915">
        <v>188.39</v>
      </c>
      <c r="H789" s="2915">
        <f t="shared" si="13"/>
        <v>33.08</v>
      </c>
      <c r="Q789" s="3004">
        <v>785</v>
      </c>
      <c r="R789" s="2999" t="s">
        <v>5388</v>
      </c>
      <c r="S789" s="3000">
        <v>188.39</v>
      </c>
      <c r="T789" s="3000">
        <v>0.99</v>
      </c>
      <c r="U789" s="3000">
        <v>17087</v>
      </c>
      <c r="V789" s="3000">
        <v>322</v>
      </c>
    </row>
    <row r="790" spans="4:22" ht="14.25" thickBot="1">
      <c r="D790" s="2915">
        <v>786</v>
      </c>
      <c r="E790" s="2915"/>
      <c r="F790" s="2914" t="s">
        <v>3897</v>
      </c>
      <c r="G790" s="2915">
        <v>188.39</v>
      </c>
      <c r="H790" s="2915">
        <f t="shared" si="13"/>
        <v>33.08</v>
      </c>
      <c r="Q790" s="3004">
        <v>786</v>
      </c>
      <c r="R790" s="2999" t="s">
        <v>5389</v>
      </c>
      <c r="S790" s="3000">
        <v>188.39</v>
      </c>
      <c r="T790" s="3000">
        <v>0.99</v>
      </c>
      <c r="U790" s="3000">
        <v>17087</v>
      </c>
      <c r="V790" s="3000">
        <v>322</v>
      </c>
    </row>
    <row r="791" spans="4:22" ht="14.25" thickBot="1">
      <c r="D791" s="2915">
        <v>787</v>
      </c>
      <c r="E791" s="2915"/>
      <c r="F791" s="2914" t="s">
        <v>3898</v>
      </c>
      <c r="G791" s="2915">
        <v>188.39</v>
      </c>
      <c r="H791" s="2915">
        <f t="shared" si="13"/>
        <v>33.08</v>
      </c>
      <c r="Q791" s="3004">
        <v>787</v>
      </c>
      <c r="R791" s="2999" t="s">
        <v>5390</v>
      </c>
      <c r="S791" s="3000">
        <v>188.39</v>
      </c>
      <c r="T791" s="3000">
        <v>0.99</v>
      </c>
      <c r="U791" s="3000">
        <v>17087</v>
      </c>
      <c r="V791" s="3000">
        <v>322</v>
      </c>
    </row>
    <row r="792" spans="4:22" ht="14.25" thickBot="1">
      <c r="D792" s="2915">
        <v>788</v>
      </c>
      <c r="E792" s="2915"/>
      <c r="F792" s="2914" t="s">
        <v>3899</v>
      </c>
      <c r="G792" s="2915">
        <v>188.39</v>
      </c>
      <c r="H792" s="2915">
        <f t="shared" si="13"/>
        <v>33.08</v>
      </c>
      <c r="Q792" s="3004">
        <v>788</v>
      </c>
      <c r="R792" s="2999" t="s">
        <v>5391</v>
      </c>
      <c r="S792" s="3000">
        <v>188.39</v>
      </c>
      <c r="T792" s="3000">
        <v>0.99</v>
      </c>
      <c r="U792" s="3000">
        <v>17087</v>
      </c>
      <c r="V792" s="3000">
        <v>322</v>
      </c>
    </row>
    <row r="793" spans="4:22" ht="14.25" thickBot="1">
      <c r="D793" s="2915">
        <v>789</v>
      </c>
      <c r="E793" s="2915"/>
      <c r="F793" s="2914" t="s">
        <v>3900</v>
      </c>
      <c r="G793" s="2915">
        <v>187.53</v>
      </c>
      <c r="H793" s="2915">
        <f t="shared" si="13"/>
        <v>32.93</v>
      </c>
      <c r="Q793" s="3004">
        <v>789</v>
      </c>
      <c r="R793" s="2999" t="s">
        <v>5392</v>
      </c>
      <c r="S793" s="3000">
        <v>187.53</v>
      </c>
      <c r="T793" s="3000">
        <v>0.99</v>
      </c>
      <c r="U793" s="3000">
        <v>17087</v>
      </c>
      <c r="V793" s="3000">
        <v>320</v>
      </c>
    </row>
    <row r="794" spans="4:22" ht="14.25" thickBot="1">
      <c r="D794" s="2915">
        <v>790</v>
      </c>
      <c r="E794" s="2915"/>
      <c r="F794" s="2914" t="s">
        <v>3901</v>
      </c>
      <c r="G794" s="2915">
        <v>210.19</v>
      </c>
      <c r="H794" s="2915">
        <f t="shared" si="13"/>
        <v>36.909999999999997</v>
      </c>
      <c r="Q794" s="3004">
        <v>790</v>
      </c>
      <c r="R794" s="2999" t="s">
        <v>5393</v>
      </c>
      <c r="S794" s="3000">
        <v>210.19</v>
      </c>
      <c r="T794" s="3000">
        <v>0.98</v>
      </c>
      <c r="U794" s="3000">
        <v>16915</v>
      </c>
      <c r="V794" s="3000">
        <v>356</v>
      </c>
    </row>
    <row r="795" spans="4:22" ht="14.25" thickBot="1">
      <c r="D795" s="2915">
        <v>791</v>
      </c>
      <c r="E795" s="2915"/>
      <c r="F795" s="2914" t="s">
        <v>3902</v>
      </c>
      <c r="G795" s="2915">
        <v>169.2</v>
      </c>
      <c r="H795" s="2915">
        <f t="shared" si="13"/>
        <v>29.71</v>
      </c>
      <c r="Q795" s="3004">
        <v>791</v>
      </c>
      <c r="R795" s="2999" t="s">
        <v>5394</v>
      </c>
      <c r="S795" s="3000">
        <v>169.2</v>
      </c>
      <c r="T795" s="3000">
        <v>0.99</v>
      </c>
      <c r="U795" s="3000">
        <v>17087</v>
      </c>
      <c r="V795" s="3000">
        <v>289</v>
      </c>
    </row>
    <row r="796" spans="4:22" ht="14.25" thickBot="1">
      <c r="D796" s="2915">
        <v>792</v>
      </c>
      <c r="E796" s="2915"/>
      <c r="F796" s="2914" t="s">
        <v>3903</v>
      </c>
      <c r="G796" s="2915">
        <v>178.35</v>
      </c>
      <c r="H796" s="2915">
        <f t="shared" si="13"/>
        <v>31.32</v>
      </c>
      <c r="Q796" s="3004">
        <v>792</v>
      </c>
      <c r="R796" s="2999" t="s">
        <v>5395</v>
      </c>
      <c r="S796" s="3000">
        <v>178.35</v>
      </c>
      <c r="T796" s="3000">
        <v>0.99</v>
      </c>
      <c r="U796" s="3000">
        <v>17087</v>
      </c>
      <c r="V796" s="3000">
        <v>305</v>
      </c>
    </row>
    <row r="797" spans="4:22" ht="14.25" thickBot="1">
      <c r="D797" s="2915">
        <v>793</v>
      </c>
      <c r="E797" s="2915"/>
      <c r="F797" s="2914" t="s">
        <v>3904</v>
      </c>
      <c r="G797" s="2915">
        <v>208.92</v>
      </c>
      <c r="H797" s="2915">
        <f t="shared" si="13"/>
        <v>36.68</v>
      </c>
      <c r="Q797" s="3004">
        <v>793</v>
      </c>
      <c r="R797" s="2999" t="s">
        <v>5396</v>
      </c>
      <c r="S797" s="3000">
        <v>208.92</v>
      </c>
      <c r="T797" s="3000">
        <v>0.98</v>
      </c>
      <c r="U797" s="3000">
        <v>16915</v>
      </c>
      <c r="V797" s="3000">
        <v>353</v>
      </c>
    </row>
    <row r="798" spans="4:22" ht="14.25" thickBot="1">
      <c r="D798" s="2915">
        <v>794</v>
      </c>
      <c r="E798" s="2915"/>
      <c r="F798" s="2914" t="s">
        <v>3905</v>
      </c>
      <c r="G798" s="2915">
        <v>188.35</v>
      </c>
      <c r="H798" s="2915">
        <f t="shared" si="13"/>
        <v>33.07</v>
      </c>
      <c r="Q798" s="3004">
        <v>794</v>
      </c>
      <c r="R798" s="2999" t="s">
        <v>5397</v>
      </c>
      <c r="S798" s="3000">
        <v>188.35</v>
      </c>
      <c r="T798" s="3000">
        <v>0.99</v>
      </c>
      <c r="U798" s="3000">
        <v>17087</v>
      </c>
      <c r="V798" s="3000">
        <v>322</v>
      </c>
    </row>
    <row r="799" spans="4:22" ht="14.25" thickBot="1">
      <c r="D799" s="2915">
        <v>795</v>
      </c>
      <c r="E799" s="2915"/>
      <c r="F799" s="2914" t="s">
        <v>3906</v>
      </c>
      <c r="G799" s="2915">
        <v>188.39</v>
      </c>
      <c r="H799" s="2915">
        <f t="shared" si="13"/>
        <v>33.08</v>
      </c>
      <c r="Q799" s="3004">
        <v>795</v>
      </c>
      <c r="R799" s="2999" t="s">
        <v>5398</v>
      </c>
      <c r="S799" s="3000">
        <v>188.39</v>
      </c>
      <c r="T799" s="3000">
        <v>0.99</v>
      </c>
      <c r="U799" s="3000">
        <v>17087</v>
      </c>
      <c r="V799" s="3000">
        <v>322</v>
      </c>
    </row>
    <row r="800" spans="4:22" ht="14.25" thickBot="1">
      <c r="D800" s="2915">
        <v>796</v>
      </c>
      <c r="E800" s="2915"/>
      <c r="F800" s="2914" t="s">
        <v>3907</v>
      </c>
      <c r="G800" s="2915">
        <v>188.39</v>
      </c>
      <c r="H800" s="2915">
        <f t="shared" si="13"/>
        <v>33.08</v>
      </c>
      <c r="Q800" s="3004">
        <v>796</v>
      </c>
      <c r="R800" s="2999" t="s">
        <v>5399</v>
      </c>
      <c r="S800" s="3000">
        <v>188.39</v>
      </c>
      <c r="T800" s="3000">
        <v>0.99</v>
      </c>
      <c r="U800" s="3000">
        <v>17087</v>
      </c>
      <c r="V800" s="3000">
        <v>322</v>
      </c>
    </row>
    <row r="801" spans="4:22" ht="14.25" thickBot="1">
      <c r="D801" s="2915">
        <v>797</v>
      </c>
      <c r="E801" s="2915"/>
      <c r="F801" s="2914" t="s">
        <v>3908</v>
      </c>
      <c r="G801" s="2915">
        <v>188.39</v>
      </c>
      <c r="H801" s="2915">
        <f t="shared" si="13"/>
        <v>33.08</v>
      </c>
      <c r="Q801" s="3004">
        <v>797</v>
      </c>
      <c r="R801" s="2999" t="s">
        <v>5400</v>
      </c>
      <c r="S801" s="3000">
        <v>188.39</v>
      </c>
      <c r="T801" s="3000">
        <v>0.99</v>
      </c>
      <c r="U801" s="3000">
        <v>17087</v>
      </c>
      <c r="V801" s="3000">
        <v>322</v>
      </c>
    </row>
    <row r="802" spans="4:22" ht="14.25" thickBot="1">
      <c r="D802" s="2915">
        <v>798</v>
      </c>
      <c r="E802" s="2915"/>
      <c r="F802" s="2914" t="s">
        <v>3909</v>
      </c>
      <c r="G802" s="2915">
        <v>188.39</v>
      </c>
      <c r="H802" s="2915">
        <f t="shared" si="13"/>
        <v>33.08</v>
      </c>
      <c r="Q802" s="3004">
        <v>798</v>
      </c>
      <c r="R802" s="2999" t="s">
        <v>5401</v>
      </c>
      <c r="S802" s="3000">
        <v>188.39</v>
      </c>
      <c r="T802" s="3000">
        <v>0.99</v>
      </c>
      <c r="U802" s="3000">
        <v>17087</v>
      </c>
      <c r="V802" s="3000">
        <v>322</v>
      </c>
    </row>
    <row r="803" spans="4:22" ht="14.25" thickBot="1">
      <c r="D803" s="2915">
        <v>799</v>
      </c>
      <c r="E803" s="2915"/>
      <c r="F803" s="2914" t="s">
        <v>3910</v>
      </c>
      <c r="G803" s="2915">
        <v>188.39</v>
      </c>
      <c r="H803" s="2915">
        <f t="shared" si="13"/>
        <v>33.08</v>
      </c>
      <c r="Q803" s="3004">
        <v>799</v>
      </c>
      <c r="R803" s="2999" t="s">
        <v>5402</v>
      </c>
      <c r="S803" s="3000">
        <v>188.39</v>
      </c>
      <c r="T803" s="3000">
        <v>0.99</v>
      </c>
      <c r="U803" s="3000">
        <v>17087</v>
      </c>
      <c r="V803" s="3000">
        <v>322</v>
      </c>
    </row>
    <row r="804" spans="4:22" ht="14.25" thickBot="1">
      <c r="D804" s="2915">
        <v>800</v>
      </c>
      <c r="E804" s="2915"/>
      <c r="F804" s="2914" t="s">
        <v>3911</v>
      </c>
      <c r="G804" s="2915">
        <v>279.91000000000003</v>
      </c>
      <c r="H804" s="2915">
        <f t="shared" si="13"/>
        <v>49.15</v>
      </c>
      <c r="Q804" s="3004">
        <v>800</v>
      </c>
      <c r="R804" s="2999" t="s">
        <v>5403</v>
      </c>
      <c r="S804" s="3000">
        <v>279.91000000000003</v>
      </c>
      <c r="T804" s="3000">
        <v>0.98</v>
      </c>
      <c r="U804" s="3000">
        <v>16915</v>
      </c>
      <c r="V804" s="3000">
        <v>473</v>
      </c>
    </row>
    <row r="805" spans="4:22" ht="14.25" thickBot="1">
      <c r="D805" s="2915">
        <v>801</v>
      </c>
      <c r="E805" s="2915"/>
      <c r="F805" s="2914" t="s">
        <v>3912</v>
      </c>
      <c r="G805" s="2915">
        <v>175.75</v>
      </c>
      <c r="H805" s="2915">
        <f t="shared" si="13"/>
        <v>30.86</v>
      </c>
      <c r="Q805" s="3004">
        <v>801</v>
      </c>
      <c r="R805" s="2999" t="s">
        <v>5404</v>
      </c>
      <c r="S805" s="3000">
        <v>175.75</v>
      </c>
      <c r="T805" s="3000">
        <v>0.99</v>
      </c>
      <c r="U805" s="3000">
        <v>17087</v>
      </c>
      <c r="V805" s="3000">
        <v>300</v>
      </c>
    </row>
    <row r="806" spans="4:22" ht="14.25" thickBot="1">
      <c r="D806" s="2915">
        <v>802</v>
      </c>
      <c r="E806" s="2915"/>
      <c r="F806" s="2914" t="s">
        <v>3913</v>
      </c>
      <c r="G806" s="2915">
        <v>188.32</v>
      </c>
      <c r="H806" s="2915">
        <f t="shared" si="13"/>
        <v>33.07</v>
      </c>
      <c r="Q806" s="3004">
        <v>802</v>
      </c>
      <c r="R806" s="2999" t="s">
        <v>5405</v>
      </c>
      <c r="S806" s="3000">
        <v>188.32</v>
      </c>
      <c r="T806" s="3000">
        <v>0.99</v>
      </c>
      <c r="U806" s="3000">
        <v>17087</v>
      </c>
      <c r="V806" s="3000">
        <v>322</v>
      </c>
    </row>
    <row r="807" spans="4:22" ht="14.25" thickBot="1">
      <c r="D807" s="2915">
        <v>803</v>
      </c>
      <c r="E807" s="2915"/>
      <c r="F807" s="2914" t="s">
        <v>3914</v>
      </c>
      <c r="G807" s="2915">
        <v>210.22</v>
      </c>
      <c r="H807" s="2915">
        <f t="shared" si="13"/>
        <v>36.909999999999997</v>
      </c>
      <c r="Q807" s="3004">
        <v>803</v>
      </c>
      <c r="R807" s="2999" t="s">
        <v>5406</v>
      </c>
      <c r="S807" s="3000">
        <v>210.22</v>
      </c>
      <c r="T807" s="3000">
        <v>0.98</v>
      </c>
      <c r="U807" s="3000">
        <v>16915</v>
      </c>
      <c r="V807" s="3000">
        <v>356</v>
      </c>
    </row>
    <row r="808" spans="4:22" ht="14.25" thickBot="1">
      <c r="D808" s="2915">
        <v>804</v>
      </c>
      <c r="E808" s="2915"/>
      <c r="F808" s="2914" t="s">
        <v>3915</v>
      </c>
      <c r="G808" s="2915">
        <v>187.56</v>
      </c>
      <c r="H808" s="2915">
        <f t="shared" si="13"/>
        <v>32.93</v>
      </c>
      <c r="Q808" s="3004">
        <v>804</v>
      </c>
      <c r="R808" s="2999" t="s">
        <v>5407</v>
      </c>
      <c r="S808" s="3000">
        <v>187.56</v>
      </c>
      <c r="T808" s="3000">
        <v>0.99</v>
      </c>
      <c r="U808" s="3000">
        <v>17087</v>
      </c>
      <c r="V808" s="3000">
        <v>320</v>
      </c>
    </row>
    <row r="809" spans="4:22" ht="14.25" thickBot="1">
      <c r="D809" s="2915">
        <v>805</v>
      </c>
      <c r="E809" s="2915"/>
      <c r="F809" s="2914" t="s">
        <v>3916</v>
      </c>
      <c r="G809" s="2915">
        <v>188.42</v>
      </c>
      <c r="H809" s="2915">
        <f t="shared" si="13"/>
        <v>33.08</v>
      </c>
      <c r="Q809" s="3004">
        <v>805</v>
      </c>
      <c r="R809" s="2999" t="s">
        <v>5408</v>
      </c>
      <c r="S809" s="3000">
        <v>188.42</v>
      </c>
      <c r="T809" s="3000">
        <v>0.99</v>
      </c>
      <c r="U809" s="3000">
        <v>17087</v>
      </c>
      <c r="V809" s="3000">
        <v>322</v>
      </c>
    </row>
    <row r="810" spans="4:22" ht="14.25" thickBot="1">
      <c r="D810" s="2915">
        <v>806</v>
      </c>
      <c r="E810" s="2915"/>
      <c r="F810" s="2914" t="s">
        <v>3917</v>
      </c>
      <c r="G810" s="2915">
        <v>188.42</v>
      </c>
      <c r="H810" s="2915">
        <f t="shared" si="13"/>
        <v>33.08</v>
      </c>
      <c r="Q810" s="3004">
        <v>806</v>
      </c>
      <c r="R810" s="2999" t="s">
        <v>5409</v>
      </c>
      <c r="S810" s="3000">
        <v>188.42</v>
      </c>
      <c r="T810" s="3000">
        <v>0.99</v>
      </c>
      <c r="U810" s="3000">
        <v>17087</v>
      </c>
      <c r="V810" s="3000">
        <v>322</v>
      </c>
    </row>
    <row r="811" spans="4:22" ht="14.25" thickBot="1">
      <c r="D811" s="2915">
        <v>807</v>
      </c>
      <c r="E811" s="2915"/>
      <c r="F811" s="2914" t="s">
        <v>3918</v>
      </c>
      <c r="G811" s="2915">
        <v>188.42</v>
      </c>
      <c r="H811" s="2915">
        <f t="shared" si="13"/>
        <v>33.08</v>
      </c>
      <c r="Q811" s="3004">
        <v>807</v>
      </c>
      <c r="R811" s="2999" t="s">
        <v>5410</v>
      </c>
      <c r="S811" s="3000">
        <v>188.42</v>
      </c>
      <c r="T811" s="3000">
        <v>0.99</v>
      </c>
      <c r="U811" s="3000">
        <v>17087</v>
      </c>
      <c r="V811" s="3000">
        <v>322</v>
      </c>
    </row>
    <row r="812" spans="4:22" ht="14.25" thickBot="1">
      <c r="D812" s="2915">
        <v>808</v>
      </c>
      <c r="E812" s="2915"/>
      <c r="F812" s="2914" t="s">
        <v>3919</v>
      </c>
      <c r="G812" s="2915">
        <v>188.42</v>
      </c>
      <c r="H812" s="2915">
        <f t="shared" si="13"/>
        <v>33.08</v>
      </c>
      <c r="Q812" s="3004">
        <v>808</v>
      </c>
      <c r="R812" s="2999" t="s">
        <v>5411</v>
      </c>
      <c r="S812" s="3000">
        <v>188.42</v>
      </c>
      <c r="T812" s="3000">
        <v>0.99</v>
      </c>
      <c r="U812" s="3000">
        <v>17087</v>
      </c>
      <c r="V812" s="3000">
        <v>322</v>
      </c>
    </row>
    <row r="813" spans="4:22" ht="14.25" thickBot="1">
      <c r="D813" s="2915">
        <v>809</v>
      </c>
      <c r="E813" s="2915"/>
      <c r="F813" s="2914" t="s">
        <v>3920</v>
      </c>
      <c r="G813" s="2915">
        <v>188.42</v>
      </c>
      <c r="H813" s="2915">
        <f t="shared" si="13"/>
        <v>33.08</v>
      </c>
      <c r="Q813" s="3004">
        <v>809</v>
      </c>
      <c r="R813" s="2999" t="s">
        <v>5412</v>
      </c>
      <c r="S813" s="3000">
        <v>188.42</v>
      </c>
      <c r="T813" s="3000">
        <v>0.99</v>
      </c>
      <c r="U813" s="3000">
        <v>17087</v>
      </c>
      <c r="V813" s="3000">
        <v>322</v>
      </c>
    </row>
    <row r="814" spans="4:22" ht="14.25" thickBot="1">
      <c r="D814" s="2915">
        <v>810</v>
      </c>
      <c r="E814" s="2915"/>
      <c r="F814" s="2914" t="s">
        <v>3921</v>
      </c>
      <c r="G814" s="2915">
        <v>186.36</v>
      </c>
      <c r="H814" s="2915">
        <f t="shared" si="13"/>
        <v>32.72</v>
      </c>
      <c r="Q814" s="3004">
        <v>810</v>
      </c>
      <c r="R814" s="2999" t="s">
        <v>5413</v>
      </c>
      <c r="S814" s="3000">
        <v>186.36</v>
      </c>
      <c r="T814" s="3000">
        <v>0.99</v>
      </c>
      <c r="U814" s="3000">
        <v>17087</v>
      </c>
      <c r="V814" s="3000">
        <v>318</v>
      </c>
    </row>
    <row r="815" spans="4:22" ht="14.25" thickBot="1">
      <c r="D815" s="2915">
        <v>811</v>
      </c>
      <c r="E815" s="2915"/>
      <c r="F815" s="2914" t="s">
        <v>3922</v>
      </c>
      <c r="G815" s="2915">
        <v>188.36</v>
      </c>
      <c r="H815" s="2915">
        <f t="shared" si="13"/>
        <v>33.07</v>
      </c>
      <c r="Q815" s="3004">
        <v>811</v>
      </c>
      <c r="R815" s="2999" t="s">
        <v>5414</v>
      </c>
      <c r="S815" s="3000">
        <v>188.36</v>
      </c>
      <c r="T815" s="3000">
        <v>0.99</v>
      </c>
      <c r="U815" s="3000">
        <v>17087</v>
      </c>
      <c r="V815" s="3000">
        <v>322</v>
      </c>
    </row>
    <row r="816" spans="4:22" ht="14.25" thickBot="1">
      <c r="D816" s="2915">
        <v>812</v>
      </c>
      <c r="E816" s="2915"/>
      <c r="F816" s="2914" t="s">
        <v>3923</v>
      </c>
      <c r="G816" s="2915">
        <v>175.78</v>
      </c>
      <c r="H816" s="2915">
        <f t="shared" si="13"/>
        <v>30.87</v>
      </c>
      <c r="Q816" s="3004">
        <v>812</v>
      </c>
      <c r="R816" s="2999" t="s">
        <v>5415</v>
      </c>
      <c r="S816" s="3000">
        <v>175.78</v>
      </c>
      <c r="T816" s="3000">
        <v>0.99</v>
      </c>
      <c r="U816" s="3000">
        <v>17087</v>
      </c>
      <c r="V816" s="3000">
        <v>300</v>
      </c>
    </row>
    <row r="817" spans="4:22" ht="14.25" thickBot="1">
      <c r="D817" s="2915">
        <v>813</v>
      </c>
      <c r="E817" s="2915"/>
      <c r="F817" s="2914" t="s">
        <v>3924</v>
      </c>
      <c r="G817" s="2915">
        <v>279.95999999999998</v>
      </c>
      <c r="H817" s="2915">
        <f t="shared" si="13"/>
        <v>49.16</v>
      </c>
      <c r="Q817" s="3004">
        <v>813</v>
      </c>
      <c r="R817" s="2999" t="s">
        <v>5416</v>
      </c>
      <c r="S817" s="3000">
        <v>279.95999999999998</v>
      </c>
      <c r="T817" s="3000">
        <v>0.98</v>
      </c>
      <c r="U817" s="3000">
        <v>16915</v>
      </c>
      <c r="V817" s="3000">
        <v>474</v>
      </c>
    </row>
    <row r="818" spans="4:22" ht="14.25" thickBot="1">
      <c r="D818" s="2915">
        <v>814</v>
      </c>
      <c r="E818" s="2915"/>
      <c r="F818" s="2914" t="s">
        <v>3925</v>
      </c>
      <c r="G818" s="2915">
        <v>188.43</v>
      </c>
      <c r="H818" s="2915">
        <f t="shared" si="13"/>
        <v>33.090000000000003</v>
      </c>
      <c r="Q818" s="3004">
        <v>814</v>
      </c>
      <c r="R818" s="2999" t="s">
        <v>5417</v>
      </c>
      <c r="S818" s="3000">
        <v>188.43</v>
      </c>
      <c r="T818" s="3000">
        <v>0.99</v>
      </c>
      <c r="U818" s="3000">
        <v>17087</v>
      </c>
      <c r="V818" s="3000">
        <v>322</v>
      </c>
    </row>
    <row r="819" spans="4:22" ht="14.25" thickBot="1">
      <c r="D819" s="2915">
        <v>815</v>
      </c>
      <c r="E819" s="2915"/>
      <c r="F819" s="2914" t="s">
        <v>3926</v>
      </c>
      <c r="G819" s="2915">
        <v>188.43</v>
      </c>
      <c r="H819" s="2915">
        <f t="shared" si="13"/>
        <v>33.090000000000003</v>
      </c>
      <c r="Q819" s="3004">
        <v>815</v>
      </c>
      <c r="R819" s="2999" t="s">
        <v>5418</v>
      </c>
      <c r="S819" s="3000">
        <v>188.43</v>
      </c>
      <c r="T819" s="3000">
        <v>0.99</v>
      </c>
      <c r="U819" s="3000">
        <v>17087</v>
      </c>
      <c r="V819" s="3000">
        <v>322</v>
      </c>
    </row>
    <row r="820" spans="4:22" ht="14.25" thickBot="1">
      <c r="D820" s="2915">
        <v>816</v>
      </c>
      <c r="E820" s="2915"/>
      <c r="F820" s="2914" t="s">
        <v>3927</v>
      </c>
      <c r="G820" s="2915">
        <v>188.43</v>
      </c>
      <c r="H820" s="2915">
        <f t="shared" si="13"/>
        <v>33.090000000000003</v>
      </c>
      <c r="Q820" s="3004">
        <v>816</v>
      </c>
      <c r="R820" s="2999" t="s">
        <v>5419</v>
      </c>
      <c r="S820" s="3000">
        <v>188.43</v>
      </c>
      <c r="T820" s="3000">
        <v>0.99</v>
      </c>
      <c r="U820" s="3000">
        <v>17087</v>
      </c>
      <c r="V820" s="3000">
        <v>322</v>
      </c>
    </row>
    <row r="821" spans="4:22" ht="14.25" thickBot="1">
      <c r="D821" s="2915">
        <v>817</v>
      </c>
      <c r="E821" s="2915"/>
      <c r="F821" s="2914" t="s">
        <v>3928</v>
      </c>
      <c r="G821" s="2915">
        <v>188.43</v>
      </c>
      <c r="H821" s="2915">
        <f t="shared" si="13"/>
        <v>33.090000000000003</v>
      </c>
      <c r="Q821" s="3004">
        <v>817</v>
      </c>
      <c r="R821" s="2999" t="s">
        <v>5420</v>
      </c>
      <c r="S821" s="3000">
        <v>188.43</v>
      </c>
      <c r="T821" s="3000">
        <v>0.99</v>
      </c>
      <c r="U821" s="3000">
        <v>17087</v>
      </c>
      <c r="V821" s="3000">
        <v>322</v>
      </c>
    </row>
    <row r="822" spans="4:22" ht="14.25" thickBot="1">
      <c r="D822" s="2915">
        <v>818</v>
      </c>
      <c r="E822" s="2915"/>
      <c r="F822" s="2914" t="s">
        <v>3929</v>
      </c>
      <c r="G822" s="2915">
        <v>188.43</v>
      </c>
      <c r="H822" s="2915">
        <f t="shared" si="13"/>
        <v>33.090000000000003</v>
      </c>
      <c r="Q822" s="3004">
        <v>818</v>
      </c>
      <c r="R822" s="2999" t="s">
        <v>5421</v>
      </c>
      <c r="S822" s="3000">
        <v>188.43</v>
      </c>
      <c r="T822" s="3000">
        <v>0.99</v>
      </c>
      <c r="U822" s="3000">
        <v>17087</v>
      </c>
      <c r="V822" s="3000">
        <v>322</v>
      </c>
    </row>
    <row r="823" spans="4:22" ht="14.25" thickBot="1">
      <c r="D823" s="2915">
        <v>819</v>
      </c>
      <c r="E823" s="2915"/>
      <c r="F823" s="2914" t="s">
        <v>3930</v>
      </c>
      <c r="G823" s="2915">
        <v>188.38</v>
      </c>
      <c r="H823" s="2915">
        <f t="shared" si="13"/>
        <v>33.08</v>
      </c>
      <c r="Q823" s="3004">
        <v>819</v>
      </c>
      <c r="R823" s="2999" t="s">
        <v>5422</v>
      </c>
      <c r="S823" s="3000">
        <v>188.38</v>
      </c>
      <c r="T823" s="3000">
        <v>0.99</v>
      </c>
      <c r="U823" s="3000">
        <v>17087</v>
      </c>
      <c r="V823" s="3000">
        <v>322</v>
      </c>
    </row>
    <row r="824" spans="4:22" ht="14.25" thickBot="1">
      <c r="D824" s="2915">
        <v>820</v>
      </c>
      <c r="E824" s="2915"/>
      <c r="F824" s="2914" t="s">
        <v>3931</v>
      </c>
      <c r="G824" s="2915">
        <v>208.95</v>
      </c>
      <c r="H824" s="2915">
        <f t="shared" si="13"/>
        <v>36.69</v>
      </c>
      <c r="Q824" s="3004">
        <v>820</v>
      </c>
      <c r="R824" s="2999" t="s">
        <v>5423</v>
      </c>
      <c r="S824" s="3000">
        <v>208.95</v>
      </c>
      <c r="T824" s="3000">
        <v>0.98</v>
      </c>
      <c r="U824" s="3000">
        <v>16915</v>
      </c>
      <c r="V824" s="3000">
        <v>353</v>
      </c>
    </row>
    <row r="825" spans="4:22" ht="14.25" thickBot="1">
      <c r="D825" s="2915">
        <v>821</v>
      </c>
      <c r="E825" s="2915"/>
      <c r="F825" s="2914" t="s">
        <v>3932</v>
      </c>
      <c r="G825" s="2915">
        <v>189.85</v>
      </c>
      <c r="H825" s="2915">
        <f t="shared" si="13"/>
        <v>33.340000000000003</v>
      </c>
      <c r="Q825" s="3004">
        <v>821</v>
      </c>
      <c r="R825" s="2999" t="s">
        <v>5424</v>
      </c>
      <c r="S825" s="3000">
        <v>189.85</v>
      </c>
      <c r="T825" s="3000">
        <v>0.99</v>
      </c>
      <c r="U825" s="3000">
        <v>17087</v>
      </c>
      <c r="V825" s="3000">
        <v>324</v>
      </c>
    </row>
    <row r="826" spans="4:22" ht="14.25" thickBot="1">
      <c r="D826" s="2915">
        <v>822</v>
      </c>
      <c r="E826" s="2915"/>
      <c r="F826" s="2914" t="s">
        <v>3933</v>
      </c>
      <c r="G826" s="2915">
        <v>169.23</v>
      </c>
      <c r="H826" s="2915">
        <f t="shared" si="13"/>
        <v>29.72</v>
      </c>
      <c r="Q826" s="3004">
        <v>822</v>
      </c>
      <c r="R826" s="2999" t="s">
        <v>5425</v>
      </c>
      <c r="S826" s="3000">
        <v>169.23</v>
      </c>
      <c r="T826" s="3000">
        <v>0.99</v>
      </c>
      <c r="U826" s="3000">
        <v>17087</v>
      </c>
      <c r="V826" s="3000">
        <v>289</v>
      </c>
    </row>
    <row r="827" spans="4:22" ht="14.25" thickBot="1">
      <c r="D827" s="2915">
        <v>823</v>
      </c>
      <c r="E827" s="2915"/>
      <c r="F827" s="2914" t="s">
        <v>3934</v>
      </c>
      <c r="G827" s="2915">
        <v>55.7</v>
      </c>
      <c r="H827" s="2915">
        <f t="shared" si="13"/>
        <v>9.7799999999999994</v>
      </c>
      <c r="Q827" s="3004">
        <v>823</v>
      </c>
      <c r="R827" s="2999" t="s">
        <v>5426</v>
      </c>
      <c r="S827" s="3000">
        <v>55.7</v>
      </c>
      <c r="T827" s="3000">
        <v>1</v>
      </c>
      <c r="U827" s="3000">
        <v>17260</v>
      </c>
      <c r="V827" s="3000">
        <v>96</v>
      </c>
    </row>
    <row r="828" spans="4:22" ht="14.25" thickBot="1">
      <c r="D828" s="2915">
        <v>824</v>
      </c>
      <c r="E828" s="2915"/>
      <c r="F828" s="2914" t="s">
        <v>3935</v>
      </c>
      <c r="G828" s="2915">
        <v>49.53</v>
      </c>
      <c r="H828" s="2915">
        <f t="shared" si="13"/>
        <v>8.6999999999999993</v>
      </c>
      <c r="Q828" s="3004">
        <v>824</v>
      </c>
      <c r="R828" s="2999" t="s">
        <v>5427</v>
      </c>
      <c r="S828" s="3000">
        <v>49.53</v>
      </c>
      <c r="T828" s="3000">
        <v>1</v>
      </c>
      <c r="U828" s="3000">
        <v>17260</v>
      </c>
      <c r="V828" s="3000">
        <v>85</v>
      </c>
    </row>
    <row r="829" spans="4:22" ht="14.25" thickBot="1">
      <c r="D829" s="2915">
        <v>825</v>
      </c>
      <c r="E829" s="2915"/>
      <c r="F829" s="2914" t="s">
        <v>3936</v>
      </c>
      <c r="G829" s="2915">
        <v>50.63</v>
      </c>
      <c r="H829" s="2915">
        <f t="shared" si="13"/>
        <v>8.89</v>
      </c>
      <c r="Q829" s="3004">
        <v>825</v>
      </c>
      <c r="R829" s="2999" t="s">
        <v>5428</v>
      </c>
      <c r="S829" s="3000">
        <v>50.63</v>
      </c>
      <c r="T829" s="3000">
        <v>1</v>
      </c>
      <c r="U829" s="3000">
        <v>17260</v>
      </c>
      <c r="V829" s="3000">
        <v>87</v>
      </c>
    </row>
    <row r="830" spans="4:22" ht="14.25" thickBot="1">
      <c r="D830" s="2915">
        <v>826</v>
      </c>
      <c r="E830" s="2915"/>
      <c r="F830" s="2914" t="s">
        <v>3937</v>
      </c>
      <c r="G830" s="2915">
        <v>50.63</v>
      </c>
      <c r="H830" s="2915">
        <f t="shared" si="13"/>
        <v>8.89</v>
      </c>
      <c r="Q830" s="3004">
        <v>826</v>
      </c>
      <c r="R830" s="2999" t="s">
        <v>5429</v>
      </c>
      <c r="S830" s="3000">
        <v>50.63</v>
      </c>
      <c r="T830" s="3000">
        <v>1</v>
      </c>
      <c r="U830" s="3000">
        <v>17260</v>
      </c>
      <c r="V830" s="3000">
        <v>87</v>
      </c>
    </row>
    <row r="831" spans="4:22" ht="14.25" thickBot="1">
      <c r="D831" s="2915">
        <v>827</v>
      </c>
      <c r="E831" s="2915"/>
      <c r="F831" s="2914" t="s">
        <v>3938</v>
      </c>
      <c r="G831" s="2915">
        <v>50.63</v>
      </c>
      <c r="H831" s="2915">
        <f t="shared" si="13"/>
        <v>8.89</v>
      </c>
      <c r="Q831" s="3004">
        <v>827</v>
      </c>
      <c r="R831" s="2999" t="s">
        <v>5430</v>
      </c>
      <c r="S831" s="3000">
        <v>50.63</v>
      </c>
      <c r="T831" s="3000">
        <v>1</v>
      </c>
      <c r="U831" s="3000">
        <v>17260</v>
      </c>
      <c r="V831" s="3000">
        <v>87</v>
      </c>
    </row>
    <row r="832" spans="4:22" ht="14.25" thickBot="1">
      <c r="D832" s="2915">
        <v>828</v>
      </c>
      <c r="E832" s="2915"/>
      <c r="F832" s="2914" t="s">
        <v>3939</v>
      </c>
      <c r="G832" s="2915">
        <v>50.63</v>
      </c>
      <c r="H832" s="2915">
        <f t="shared" si="13"/>
        <v>8.89</v>
      </c>
      <c r="Q832" s="3004">
        <v>828</v>
      </c>
      <c r="R832" s="2999" t="s">
        <v>5431</v>
      </c>
      <c r="S832" s="3000">
        <v>50.63</v>
      </c>
      <c r="T832" s="3000">
        <v>1</v>
      </c>
      <c r="U832" s="3000">
        <v>17260</v>
      </c>
      <c r="V832" s="3000">
        <v>87</v>
      </c>
    </row>
    <row r="833" spans="4:22" ht="14.25" thickBot="1">
      <c r="D833" s="2915">
        <v>829</v>
      </c>
      <c r="E833" s="2915"/>
      <c r="F833" s="2914" t="s">
        <v>3940</v>
      </c>
      <c r="G833" s="2915">
        <v>50.63</v>
      </c>
      <c r="H833" s="2915">
        <f t="shared" si="13"/>
        <v>8.89</v>
      </c>
      <c r="Q833" s="3004">
        <v>829</v>
      </c>
      <c r="R833" s="2999" t="s">
        <v>5432</v>
      </c>
      <c r="S833" s="3000">
        <v>50.63</v>
      </c>
      <c r="T833" s="3000">
        <v>1</v>
      </c>
      <c r="U833" s="3000">
        <v>17260</v>
      </c>
      <c r="V833" s="3000">
        <v>87</v>
      </c>
    </row>
    <row r="834" spans="4:22" ht="14.25" thickBot="1">
      <c r="D834" s="2915">
        <v>830</v>
      </c>
      <c r="E834" s="2915"/>
      <c r="F834" s="2914" t="s">
        <v>3941</v>
      </c>
      <c r="G834" s="2915">
        <v>50.63</v>
      </c>
      <c r="H834" s="2915">
        <f t="shared" si="13"/>
        <v>8.89</v>
      </c>
      <c r="Q834" s="3004">
        <v>830</v>
      </c>
      <c r="R834" s="2999" t="s">
        <v>5433</v>
      </c>
      <c r="S834" s="3000">
        <v>50.63</v>
      </c>
      <c r="T834" s="3000">
        <v>1</v>
      </c>
      <c r="U834" s="3000">
        <v>17260</v>
      </c>
      <c r="V834" s="3000">
        <v>87</v>
      </c>
    </row>
    <row r="835" spans="4:22" ht="14.25" thickBot="1">
      <c r="D835" s="2915">
        <v>831</v>
      </c>
      <c r="E835" s="2915"/>
      <c r="F835" s="2914" t="s">
        <v>3942</v>
      </c>
      <c r="G835" s="2915">
        <v>50.63</v>
      </c>
      <c r="H835" s="2915">
        <f t="shared" si="13"/>
        <v>8.89</v>
      </c>
      <c r="Q835" s="3004">
        <v>831</v>
      </c>
      <c r="R835" s="2999" t="s">
        <v>5434</v>
      </c>
      <c r="S835" s="3000">
        <v>50.63</v>
      </c>
      <c r="T835" s="3000">
        <v>1</v>
      </c>
      <c r="U835" s="3000">
        <v>17260</v>
      </c>
      <c r="V835" s="3000">
        <v>87</v>
      </c>
    </row>
    <row r="836" spans="4:22" ht="14.25" thickBot="1">
      <c r="D836" s="2915">
        <v>832</v>
      </c>
      <c r="E836" s="2915"/>
      <c r="F836" s="2914" t="s">
        <v>3943</v>
      </c>
      <c r="G836" s="2915">
        <v>50.63</v>
      </c>
      <c r="H836" s="2915">
        <f t="shared" si="13"/>
        <v>8.89</v>
      </c>
      <c r="Q836" s="3004">
        <v>832</v>
      </c>
      <c r="R836" s="2999" t="s">
        <v>5435</v>
      </c>
      <c r="S836" s="3000">
        <v>50.63</v>
      </c>
      <c r="T836" s="3000">
        <v>1</v>
      </c>
      <c r="U836" s="3000">
        <v>17260</v>
      </c>
      <c r="V836" s="3000">
        <v>87</v>
      </c>
    </row>
    <row r="837" spans="4:22" ht="14.25" thickBot="1">
      <c r="D837" s="2915">
        <v>833</v>
      </c>
      <c r="E837" s="2915"/>
      <c r="F837" s="2914" t="s">
        <v>3944</v>
      </c>
      <c r="G837" s="2915">
        <v>50.63</v>
      </c>
      <c r="H837" s="2915">
        <f t="shared" si="13"/>
        <v>8.89</v>
      </c>
      <c r="Q837" s="3004">
        <v>833</v>
      </c>
      <c r="R837" s="2999" t="s">
        <v>5436</v>
      </c>
      <c r="S837" s="3000">
        <v>50.63</v>
      </c>
      <c r="T837" s="3000">
        <v>1</v>
      </c>
      <c r="U837" s="3000">
        <v>17260</v>
      </c>
      <c r="V837" s="3000">
        <v>87</v>
      </c>
    </row>
    <row r="838" spans="4:22" ht="14.25" thickBot="1">
      <c r="D838" s="2915">
        <v>834</v>
      </c>
      <c r="E838" s="2915"/>
      <c r="F838" s="2914" t="s">
        <v>3945</v>
      </c>
      <c r="G838" s="2915">
        <v>50.63</v>
      </c>
      <c r="H838" s="2915">
        <f t="shared" ref="H838:H901" si="14">ROUND(G838/$N$7*$M$7,2)</f>
        <v>8.89</v>
      </c>
      <c r="Q838" s="3004">
        <v>834</v>
      </c>
      <c r="R838" s="2999" t="s">
        <v>5437</v>
      </c>
      <c r="S838" s="3000">
        <v>50.63</v>
      </c>
      <c r="T838" s="3000">
        <v>1</v>
      </c>
      <c r="U838" s="3000">
        <v>17260</v>
      </c>
      <c r="V838" s="3000">
        <v>87</v>
      </c>
    </row>
    <row r="839" spans="4:22" ht="14.25" thickBot="1">
      <c r="D839" s="2915">
        <v>835</v>
      </c>
      <c r="E839" s="2915"/>
      <c r="F839" s="2914" t="s">
        <v>3946</v>
      </c>
      <c r="G839" s="2915">
        <v>49.61</v>
      </c>
      <c r="H839" s="2915">
        <f t="shared" si="14"/>
        <v>8.7100000000000009</v>
      </c>
      <c r="Q839" s="3004">
        <v>835</v>
      </c>
      <c r="R839" s="2999" t="s">
        <v>5438</v>
      </c>
      <c r="S839" s="3000">
        <v>49.61</v>
      </c>
      <c r="T839" s="3000">
        <v>1</v>
      </c>
      <c r="U839" s="3000">
        <v>17260</v>
      </c>
      <c r="V839" s="3000">
        <v>86</v>
      </c>
    </row>
    <row r="840" spans="4:22" ht="14.25" thickBot="1">
      <c r="D840" s="2915">
        <v>836</v>
      </c>
      <c r="E840" s="2915"/>
      <c r="F840" s="2914" t="s">
        <v>3947</v>
      </c>
      <c r="G840" s="2915">
        <v>46.31</v>
      </c>
      <c r="H840" s="2915">
        <f t="shared" si="14"/>
        <v>8.1300000000000008</v>
      </c>
      <c r="Q840" s="3004">
        <v>836</v>
      </c>
      <c r="R840" s="2999" t="s">
        <v>5439</v>
      </c>
      <c r="S840" s="3000">
        <v>46.31</v>
      </c>
      <c r="T840" s="3000">
        <v>1</v>
      </c>
      <c r="U840" s="3000">
        <v>17260</v>
      </c>
      <c r="V840" s="3000">
        <v>80</v>
      </c>
    </row>
    <row r="841" spans="4:22" ht="14.25" thickBot="1">
      <c r="D841" s="2915">
        <v>837</v>
      </c>
      <c r="E841" s="2915"/>
      <c r="F841" s="2914" t="s">
        <v>3948</v>
      </c>
      <c r="G841" s="2915">
        <v>50.63</v>
      </c>
      <c r="H841" s="2915">
        <f t="shared" si="14"/>
        <v>8.89</v>
      </c>
      <c r="Q841" s="3004">
        <v>837</v>
      </c>
      <c r="R841" s="2999" t="s">
        <v>5440</v>
      </c>
      <c r="S841" s="3000">
        <v>50.63</v>
      </c>
      <c r="T841" s="3000">
        <v>1</v>
      </c>
      <c r="U841" s="3000">
        <v>17260</v>
      </c>
      <c r="V841" s="3000">
        <v>87</v>
      </c>
    </row>
    <row r="842" spans="4:22" ht="14.25" thickBot="1">
      <c r="D842" s="2915">
        <v>838</v>
      </c>
      <c r="E842" s="2915"/>
      <c r="F842" s="2914" t="s">
        <v>3949</v>
      </c>
      <c r="G842" s="2915">
        <v>50.63</v>
      </c>
      <c r="H842" s="2915">
        <f t="shared" si="14"/>
        <v>8.89</v>
      </c>
      <c r="Q842" s="3004">
        <v>838</v>
      </c>
      <c r="R842" s="2999" t="s">
        <v>5441</v>
      </c>
      <c r="S842" s="3000">
        <v>50.63</v>
      </c>
      <c r="T842" s="3000">
        <v>1</v>
      </c>
      <c r="U842" s="3000">
        <v>17260</v>
      </c>
      <c r="V842" s="3000">
        <v>87</v>
      </c>
    </row>
    <row r="843" spans="4:22" ht="14.25" thickBot="1">
      <c r="D843" s="2915">
        <v>839</v>
      </c>
      <c r="E843" s="2915"/>
      <c r="F843" s="2914" t="s">
        <v>3950</v>
      </c>
      <c r="G843" s="2915">
        <v>62.54</v>
      </c>
      <c r="H843" s="2915">
        <f t="shared" si="14"/>
        <v>10.98</v>
      </c>
      <c r="Q843" s="3004">
        <v>839</v>
      </c>
      <c r="R843" s="2999" t="s">
        <v>5442</v>
      </c>
      <c r="S843" s="3000">
        <v>62.54</v>
      </c>
      <c r="T843" s="3000">
        <v>1</v>
      </c>
      <c r="U843" s="3000">
        <v>17260</v>
      </c>
      <c r="V843" s="3000">
        <v>108</v>
      </c>
    </row>
    <row r="844" spans="4:22" ht="14.25" thickBot="1">
      <c r="D844" s="2915">
        <v>840</v>
      </c>
      <c r="E844" s="2915"/>
      <c r="F844" s="2914" t="s">
        <v>3951</v>
      </c>
      <c r="G844" s="2915">
        <v>62.56</v>
      </c>
      <c r="H844" s="2915">
        <f t="shared" si="14"/>
        <v>10.99</v>
      </c>
      <c r="Q844" s="3004">
        <v>840</v>
      </c>
      <c r="R844" s="2999" t="s">
        <v>5443</v>
      </c>
      <c r="S844" s="3000">
        <v>62.56</v>
      </c>
      <c r="T844" s="3000">
        <v>1</v>
      </c>
      <c r="U844" s="3000">
        <v>17260</v>
      </c>
      <c r="V844" s="3000">
        <v>108</v>
      </c>
    </row>
    <row r="845" spans="4:22" ht="14.25" thickBot="1">
      <c r="D845" s="2915">
        <v>841</v>
      </c>
      <c r="E845" s="2915"/>
      <c r="F845" s="2914" t="s">
        <v>3952</v>
      </c>
      <c r="G845" s="2915">
        <v>62.56</v>
      </c>
      <c r="H845" s="2915">
        <f t="shared" si="14"/>
        <v>10.99</v>
      </c>
      <c r="Q845" s="3004">
        <v>841</v>
      </c>
      <c r="R845" s="2999" t="s">
        <v>5444</v>
      </c>
      <c r="S845" s="3000">
        <v>62.56</v>
      </c>
      <c r="T845" s="3000">
        <v>1</v>
      </c>
      <c r="U845" s="3000">
        <v>17260</v>
      </c>
      <c r="V845" s="3000">
        <v>108</v>
      </c>
    </row>
    <row r="846" spans="4:22" ht="14.25" thickBot="1">
      <c r="D846" s="2915">
        <v>842</v>
      </c>
      <c r="E846" s="2915"/>
      <c r="F846" s="2914" t="s">
        <v>3953</v>
      </c>
      <c r="G846" s="2915">
        <v>62.54</v>
      </c>
      <c r="H846" s="2915">
        <f t="shared" si="14"/>
        <v>10.98</v>
      </c>
      <c r="Q846" s="3004">
        <v>842</v>
      </c>
      <c r="R846" s="2999" t="s">
        <v>5445</v>
      </c>
      <c r="S846" s="3000">
        <v>62.54</v>
      </c>
      <c r="T846" s="3000">
        <v>1</v>
      </c>
      <c r="U846" s="3000">
        <v>17260</v>
      </c>
      <c r="V846" s="3000">
        <v>108</v>
      </c>
    </row>
    <row r="847" spans="4:22" ht="14.25" thickBot="1">
      <c r="D847" s="2915">
        <v>843</v>
      </c>
      <c r="E847" s="2915"/>
      <c r="F847" s="2914" t="s">
        <v>3954</v>
      </c>
      <c r="G847" s="2915">
        <v>50.63</v>
      </c>
      <c r="H847" s="2915">
        <f t="shared" si="14"/>
        <v>8.89</v>
      </c>
      <c r="Q847" s="3004">
        <v>843</v>
      </c>
      <c r="R847" s="2999" t="s">
        <v>5446</v>
      </c>
      <c r="S847" s="3000">
        <v>50.63</v>
      </c>
      <c r="T847" s="3000">
        <v>1</v>
      </c>
      <c r="U847" s="3000">
        <v>17260</v>
      </c>
      <c r="V847" s="3000">
        <v>87</v>
      </c>
    </row>
    <row r="848" spans="4:22" ht="14.25" thickBot="1">
      <c r="D848" s="2915">
        <v>844</v>
      </c>
      <c r="E848" s="2915"/>
      <c r="F848" s="2914" t="s">
        <v>3955</v>
      </c>
      <c r="G848" s="2915">
        <v>50.63</v>
      </c>
      <c r="H848" s="2915">
        <f t="shared" si="14"/>
        <v>8.89</v>
      </c>
      <c r="Q848" s="3004">
        <v>844</v>
      </c>
      <c r="R848" s="2999" t="s">
        <v>5447</v>
      </c>
      <c r="S848" s="3000">
        <v>50.63</v>
      </c>
      <c r="T848" s="3000">
        <v>1</v>
      </c>
      <c r="U848" s="3000">
        <v>17260</v>
      </c>
      <c r="V848" s="3000">
        <v>87</v>
      </c>
    </row>
    <row r="849" spans="4:22" ht="14.25" thickBot="1">
      <c r="D849" s="2915">
        <v>845</v>
      </c>
      <c r="E849" s="2915"/>
      <c r="F849" s="2914" t="s">
        <v>3956</v>
      </c>
      <c r="G849" s="2915">
        <v>50.63</v>
      </c>
      <c r="H849" s="2915">
        <f t="shared" si="14"/>
        <v>8.89</v>
      </c>
      <c r="Q849" s="3004">
        <v>845</v>
      </c>
      <c r="R849" s="2999" t="s">
        <v>5448</v>
      </c>
      <c r="S849" s="3000">
        <v>50.63</v>
      </c>
      <c r="T849" s="3000">
        <v>1</v>
      </c>
      <c r="U849" s="3000">
        <v>17260</v>
      </c>
      <c r="V849" s="3000">
        <v>87</v>
      </c>
    </row>
    <row r="850" spans="4:22" ht="14.25" thickBot="1">
      <c r="D850" s="2915">
        <v>846</v>
      </c>
      <c r="E850" s="2915"/>
      <c r="F850" s="2914" t="s">
        <v>3957</v>
      </c>
      <c r="G850" s="2915">
        <v>50.63</v>
      </c>
      <c r="H850" s="2915">
        <f t="shared" si="14"/>
        <v>8.89</v>
      </c>
      <c r="Q850" s="3004">
        <v>846</v>
      </c>
      <c r="R850" s="2999" t="s">
        <v>5449</v>
      </c>
      <c r="S850" s="3000">
        <v>50.63</v>
      </c>
      <c r="T850" s="3000">
        <v>1</v>
      </c>
      <c r="U850" s="3000">
        <v>17260</v>
      </c>
      <c r="V850" s="3000">
        <v>87</v>
      </c>
    </row>
    <row r="851" spans="4:22" ht="14.25" thickBot="1">
      <c r="D851" s="2915">
        <v>847</v>
      </c>
      <c r="E851" s="2915"/>
      <c r="F851" s="2914" t="s">
        <v>3958</v>
      </c>
      <c r="G851" s="2915">
        <v>50.63</v>
      </c>
      <c r="H851" s="2915">
        <f t="shared" si="14"/>
        <v>8.89</v>
      </c>
      <c r="Q851" s="3004">
        <v>847</v>
      </c>
      <c r="R851" s="2999" t="s">
        <v>5450</v>
      </c>
      <c r="S851" s="3000">
        <v>50.63</v>
      </c>
      <c r="T851" s="3000">
        <v>1</v>
      </c>
      <c r="U851" s="3000">
        <v>17260</v>
      </c>
      <c r="V851" s="3000">
        <v>87</v>
      </c>
    </row>
    <row r="852" spans="4:22" ht="14.25" thickBot="1">
      <c r="D852" s="2915">
        <v>848</v>
      </c>
      <c r="E852" s="2915"/>
      <c r="F852" s="2914" t="s">
        <v>3959</v>
      </c>
      <c r="G852" s="2915">
        <v>50.63</v>
      </c>
      <c r="H852" s="2915">
        <f t="shared" si="14"/>
        <v>8.89</v>
      </c>
      <c r="Q852" s="3004">
        <v>848</v>
      </c>
      <c r="R852" s="2999" t="s">
        <v>5451</v>
      </c>
      <c r="S852" s="3000">
        <v>50.63</v>
      </c>
      <c r="T852" s="3000">
        <v>1</v>
      </c>
      <c r="U852" s="3000">
        <v>17260</v>
      </c>
      <c r="V852" s="3000">
        <v>87</v>
      </c>
    </row>
    <row r="853" spans="4:22" ht="14.25" thickBot="1">
      <c r="D853" s="2915">
        <v>849</v>
      </c>
      <c r="E853" s="2915"/>
      <c r="F853" s="2914" t="s">
        <v>3960</v>
      </c>
      <c r="G853" s="2915">
        <v>50.63</v>
      </c>
      <c r="H853" s="2915">
        <f t="shared" si="14"/>
        <v>8.89</v>
      </c>
      <c r="Q853" s="3004">
        <v>849</v>
      </c>
      <c r="R853" s="2999" t="s">
        <v>5452</v>
      </c>
      <c r="S853" s="3000">
        <v>50.63</v>
      </c>
      <c r="T853" s="3000">
        <v>1</v>
      </c>
      <c r="U853" s="3000">
        <v>17260</v>
      </c>
      <c r="V853" s="3000">
        <v>87</v>
      </c>
    </row>
    <row r="854" spans="4:22" ht="14.25" thickBot="1">
      <c r="D854" s="2915">
        <v>850</v>
      </c>
      <c r="E854" s="2915"/>
      <c r="F854" s="2914" t="s">
        <v>3961</v>
      </c>
      <c r="G854" s="2915">
        <v>50.63</v>
      </c>
      <c r="H854" s="2915">
        <f t="shared" si="14"/>
        <v>8.89</v>
      </c>
      <c r="Q854" s="3004">
        <v>850</v>
      </c>
      <c r="R854" s="2999" t="s">
        <v>5453</v>
      </c>
      <c r="S854" s="3000">
        <v>50.63</v>
      </c>
      <c r="T854" s="3000">
        <v>1</v>
      </c>
      <c r="U854" s="3000">
        <v>17260</v>
      </c>
      <c r="V854" s="3000">
        <v>87</v>
      </c>
    </row>
    <row r="855" spans="4:22" ht="14.25" thickBot="1">
      <c r="D855" s="2915">
        <v>851</v>
      </c>
      <c r="E855" s="2915"/>
      <c r="F855" s="2914" t="s">
        <v>3962</v>
      </c>
      <c r="G855" s="2915">
        <v>50.63</v>
      </c>
      <c r="H855" s="2915">
        <f t="shared" si="14"/>
        <v>8.89</v>
      </c>
      <c r="Q855" s="3004">
        <v>851</v>
      </c>
      <c r="R855" s="2999" t="s">
        <v>5454</v>
      </c>
      <c r="S855" s="3000">
        <v>50.63</v>
      </c>
      <c r="T855" s="3000">
        <v>1</v>
      </c>
      <c r="U855" s="3000">
        <v>17260</v>
      </c>
      <c r="V855" s="3000">
        <v>87</v>
      </c>
    </row>
    <row r="856" spans="4:22" ht="14.25" thickBot="1">
      <c r="D856" s="2915">
        <v>852</v>
      </c>
      <c r="E856" s="2915"/>
      <c r="F856" s="2914" t="s">
        <v>3963</v>
      </c>
      <c r="G856" s="2915">
        <v>50.63</v>
      </c>
      <c r="H856" s="2915">
        <f t="shared" si="14"/>
        <v>8.89</v>
      </c>
      <c r="Q856" s="3004">
        <v>852</v>
      </c>
      <c r="R856" s="2999" t="s">
        <v>5455</v>
      </c>
      <c r="S856" s="3000">
        <v>50.63</v>
      </c>
      <c r="T856" s="3000">
        <v>1</v>
      </c>
      <c r="U856" s="3000">
        <v>17260</v>
      </c>
      <c r="V856" s="3000">
        <v>87</v>
      </c>
    </row>
    <row r="857" spans="4:22" ht="14.25" thickBot="1">
      <c r="D857" s="2915">
        <v>853</v>
      </c>
      <c r="E857" s="2915"/>
      <c r="F857" s="2914" t="s">
        <v>3964</v>
      </c>
      <c r="G857" s="2915">
        <v>50.63</v>
      </c>
      <c r="H857" s="2915">
        <f t="shared" si="14"/>
        <v>8.89</v>
      </c>
      <c r="Q857" s="3004">
        <v>853</v>
      </c>
      <c r="R857" s="2999" t="s">
        <v>5456</v>
      </c>
      <c r="S857" s="3000">
        <v>50.63</v>
      </c>
      <c r="T857" s="3000">
        <v>1</v>
      </c>
      <c r="U857" s="3000">
        <v>17260</v>
      </c>
      <c r="V857" s="3000">
        <v>87</v>
      </c>
    </row>
    <row r="858" spans="4:22" ht="14.25" thickBot="1">
      <c r="D858" s="2915">
        <v>854</v>
      </c>
      <c r="E858" s="2915"/>
      <c r="F858" s="2914" t="s">
        <v>3965</v>
      </c>
      <c r="G858" s="2915">
        <v>50.63</v>
      </c>
      <c r="H858" s="2915">
        <f t="shared" si="14"/>
        <v>8.89</v>
      </c>
      <c r="Q858" s="3004">
        <v>854</v>
      </c>
      <c r="R858" s="2999" t="s">
        <v>5457</v>
      </c>
      <c r="S858" s="3000">
        <v>50.63</v>
      </c>
      <c r="T858" s="3000">
        <v>1</v>
      </c>
      <c r="U858" s="3000">
        <v>17260</v>
      </c>
      <c r="V858" s="3000">
        <v>87</v>
      </c>
    </row>
    <row r="859" spans="4:22" ht="14.25" thickBot="1">
      <c r="D859" s="2915">
        <v>855</v>
      </c>
      <c r="E859" s="2915"/>
      <c r="F859" s="2914" t="s">
        <v>3966</v>
      </c>
      <c r="G859" s="2915">
        <v>50.38</v>
      </c>
      <c r="H859" s="2915">
        <f t="shared" si="14"/>
        <v>8.85</v>
      </c>
      <c r="Q859" s="3004">
        <v>855</v>
      </c>
      <c r="R859" s="2999" t="s">
        <v>5458</v>
      </c>
      <c r="S859" s="3000">
        <v>50.38</v>
      </c>
      <c r="T859" s="3000">
        <v>1</v>
      </c>
      <c r="U859" s="3000">
        <v>17260</v>
      </c>
      <c r="V859" s="3000">
        <v>87</v>
      </c>
    </row>
    <row r="860" spans="4:22" ht="14.25" thickBot="1">
      <c r="D860" s="2915">
        <v>856</v>
      </c>
      <c r="E860" s="2915"/>
      <c r="F860" s="2914" t="s">
        <v>3967</v>
      </c>
      <c r="G860" s="2915">
        <v>51.12</v>
      </c>
      <c r="H860" s="2915">
        <f t="shared" si="14"/>
        <v>8.98</v>
      </c>
      <c r="Q860" s="3004">
        <v>856</v>
      </c>
      <c r="R860" s="2999" t="s">
        <v>5459</v>
      </c>
      <c r="S860" s="3000">
        <v>51.12</v>
      </c>
      <c r="T860" s="3000">
        <v>1</v>
      </c>
      <c r="U860" s="3000">
        <v>17260</v>
      </c>
      <c r="V860" s="3000">
        <v>88</v>
      </c>
    </row>
    <row r="861" spans="4:22" ht="14.25" thickBot="1">
      <c r="D861" s="2915">
        <v>857</v>
      </c>
      <c r="E861" s="2915"/>
      <c r="F861" s="2914" t="s">
        <v>3968</v>
      </c>
      <c r="G861" s="2915">
        <v>68.760000000000005</v>
      </c>
      <c r="H861" s="2915">
        <f t="shared" si="14"/>
        <v>12.07</v>
      </c>
      <c r="Q861" s="3004">
        <v>857</v>
      </c>
      <c r="R861" s="2999" t="s">
        <v>5460</v>
      </c>
      <c r="S861" s="3000">
        <v>68.760000000000005</v>
      </c>
      <c r="T861" s="3000">
        <v>1</v>
      </c>
      <c r="U861" s="3000">
        <v>17260</v>
      </c>
      <c r="V861" s="3000">
        <v>119</v>
      </c>
    </row>
    <row r="862" spans="4:22" ht="14.25" thickBot="1">
      <c r="D862" s="2915">
        <v>858</v>
      </c>
      <c r="E862" s="2915"/>
      <c r="F862" s="2914" t="s">
        <v>3969</v>
      </c>
      <c r="G862" s="2915">
        <v>69.319999999999993</v>
      </c>
      <c r="H862" s="2915">
        <f t="shared" si="14"/>
        <v>12.17</v>
      </c>
      <c r="Q862" s="3004">
        <v>858</v>
      </c>
      <c r="R862" s="2999" t="s">
        <v>5461</v>
      </c>
      <c r="S862" s="3000">
        <v>69.319999999999993</v>
      </c>
      <c r="T862" s="3000">
        <v>1</v>
      </c>
      <c r="U862" s="3000">
        <v>17260</v>
      </c>
      <c r="V862" s="3000">
        <v>120</v>
      </c>
    </row>
    <row r="863" spans="4:22" ht="14.25" thickBot="1">
      <c r="D863" s="2915">
        <v>859</v>
      </c>
      <c r="E863" s="2915"/>
      <c r="F863" s="2914" t="s">
        <v>3970</v>
      </c>
      <c r="G863" s="2915">
        <v>61.41</v>
      </c>
      <c r="H863" s="2915">
        <f t="shared" si="14"/>
        <v>10.78</v>
      </c>
      <c r="Q863" s="3004">
        <v>859</v>
      </c>
      <c r="R863" s="2999" t="s">
        <v>5462</v>
      </c>
      <c r="S863" s="3000">
        <v>61.41</v>
      </c>
      <c r="T863" s="3000">
        <v>1</v>
      </c>
      <c r="U863" s="3000">
        <v>17260</v>
      </c>
      <c r="V863" s="3000">
        <v>106</v>
      </c>
    </row>
    <row r="864" spans="4:22" ht="14.25" thickBot="1">
      <c r="D864" s="2915">
        <v>860</v>
      </c>
      <c r="E864" s="2915"/>
      <c r="F864" s="2914" t="s">
        <v>3971</v>
      </c>
      <c r="G864" s="2915">
        <v>61.41</v>
      </c>
      <c r="H864" s="2915">
        <f t="shared" si="14"/>
        <v>10.78</v>
      </c>
      <c r="Q864" s="3004">
        <v>860</v>
      </c>
      <c r="R864" s="2999" t="s">
        <v>5463</v>
      </c>
      <c r="S864" s="3000">
        <v>61.41</v>
      </c>
      <c r="T864" s="3000">
        <v>1</v>
      </c>
      <c r="U864" s="3000">
        <v>17260</v>
      </c>
      <c r="V864" s="3000">
        <v>106</v>
      </c>
    </row>
    <row r="865" spans="4:22" ht="14.25" thickBot="1">
      <c r="D865" s="2915">
        <v>861</v>
      </c>
      <c r="E865" s="2915"/>
      <c r="F865" s="2914" t="s">
        <v>3972</v>
      </c>
      <c r="G865" s="2915">
        <v>61.41</v>
      </c>
      <c r="H865" s="2915">
        <f t="shared" si="14"/>
        <v>10.78</v>
      </c>
      <c r="Q865" s="3004">
        <v>861</v>
      </c>
      <c r="R865" s="2999" t="s">
        <v>5464</v>
      </c>
      <c r="S865" s="3000">
        <v>61.41</v>
      </c>
      <c r="T865" s="3000">
        <v>1</v>
      </c>
      <c r="U865" s="3000">
        <v>17260</v>
      </c>
      <c r="V865" s="3000">
        <v>106</v>
      </c>
    </row>
    <row r="866" spans="4:22" ht="14.25" thickBot="1">
      <c r="D866" s="2915">
        <v>862</v>
      </c>
      <c r="E866" s="2915"/>
      <c r="F866" s="2914" t="s">
        <v>3973</v>
      </c>
      <c r="G866" s="2915">
        <v>61.41</v>
      </c>
      <c r="H866" s="2915">
        <f t="shared" si="14"/>
        <v>10.78</v>
      </c>
      <c r="Q866" s="3004">
        <v>862</v>
      </c>
      <c r="R866" s="2999" t="s">
        <v>5465</v>
      </c>
      <c r="S866" s="3000">
        <v>61.41</v>
      </c>
      <c r="T866" s="3000">
        <v>1</v>
      </c>
      <c r="U866" s="3000">
        <v>17260</v>
      </c>
      <c r="V866" s="3000">
        <v>106</v>
      </c>
    </row>
    <row r="867" spans="4:22" ht="14.25" thickBot="1">
      <c r="D867" s="2915">
        <v>863</v>
      </c>
      <c r="E867" s="2915"/>
      <c r="F867" s="2914" t="s">
        <v>3974</v>
      </c>
      <c r="G867" s="2915">
        <v>61.41</v>
      </c>
      <c r="H867" s="2915">
        <f t="shared" si="14"/>
        <v>10.78</v>
      </c>
      <c r="Q867" s="3004">
        <v>863</v>
      </c>
      <c r="R867" s="2999" t="s">
        <v>5466</v>
      </c>
      <c r="S867" s="3000">
        <v>61.41</v>
      </c>
      <c r="T867" s="3000">
        <v>1</v>
      </c>
      <c r="U867" s="3000">
        <v>17260</v>
      </c>
      <c r="V867" s="3000">
        <v>106</v>
      </c>
    </row>
    <row r="868" spans="4:22" ht="14.25" thickBot="1">
      <c r="D868" s="2915">
        <v>864</v>
      </c>
      <c r="E868" s="2915"/>
      <c r="F868" s="2914" t="s">
        <v>3975</v>
      </c>
      <c r="G868" s="2915">
        <v>72.87</v>
      </c>
      <c r="H868" s="2915">
        <f t="shared" si="14"/>
        <v>12.8</v>
      </c>
      <c r="Q868" s="3004">
        <v>864</v>
      </c>
      <c r="R868" s="2999" t="s">
        <v>5467</v>
      </c>
      <c r="S868" s="3000">
        <v>72.87</v>
      </c>
      <c r="T868" s="3000">
        <v>1</v>
      </c>
      <c r="U868" s="3000">
        <v>17260</v>
      </c>
      <c r="V868" s="3000">
        <v>126</v>
      </c>
    </row>
    <row r="869" spans="4:22" ht="14.25" thickBot="1">
      <c r="D869" s="2915">
        <v>865</v>
      </c>
      <c r="E869" s="2915"/>
      <c r="F869" s="2914" t="s">
        <v>3976</v>
      </c>
      <c r="G869" s="2915">
        <v>81.069999999999993</v>
      </c>
      <c r="H869" s="2915">
        <f t="shared" si="14"/>
        <v>14.24</v>
      </c>
      <c r="Q869" s="3004">
        <v>865</v>
      </c>
      <c r="R869" s="2999" t="s">
        <v>5468</v>
      </c>
      <c r="S869" s="3000">
        <v>81.069999999999993</v>
      </c>
      <c r="T869" s="3000">
        <v>1</v>
      </c>
      <c r="U869" s="3000">
        <v>17260</v>
      </c>
      <c r="V869" s="3000">
        <v>140</v>
      </c>
    </row>
    <row r="870" spans="4:22" ht="14.25" thickBot="1">
      <c r="D870" s="2915">
        <v>866</v>
      </c>
      <c r="E870" s="2915"/>
      <c r="F870" s="2914" t="s">
        <v>3977</v>
      </c>
      <c r="G870" s="2915">
        <v>61.41</v>
      </c>
      <c r="H870" s="2915">
        <f t="shared" si="14"/>
        <v>10.78</v>
      </c>
      <c r="Q870" s="3004">
        <v>866</v>
      </c>
      <c r="R870" s="2999" t="s">
        <v>5469</v>
      </c>
      <c r="S870" s="3000">
        <v>61.41</v>
      </c>
      <c r="T870" s="3000">
        <v>1</v>
      </c>
      <c r="U870" s="3000">
        <v>17260</v>
      </c>
      <c r="V870" s="3000">
        <v>106</v>
      </c>
    </row>
    <row r="871" spans="4:22" ht="14.25" thickBot="1">
      <c r="D871" s="2915">
        <v>867</v>
      </c>
      <c r="E871" s="2915"/>
      <c r="F871" s="2914" t="s">
        <v>3978</v>
      </c>
      <c r="G871" s="2915">
        <v>54.6</v>
      </c>
      <c r="H871" s="2915">
        <f t="shared" si="14"/>
        <v>9.59</v>
      </c>
      <c r="Q871" s="3004">
        <v>867</v>
      </c>
      <c r="R871" s="2999" t="s">
        <v>5470</v>
      </c>
      <c r="S871" s="3000">
        <v>54.6</v>
      </c>
      <c r="T871" s="3000">
        <v>1</v>
      </c>
      <c r="U871" s="3000">
        <v>17260</v>
      </c>
      <c r="V871" s="3000">
        <v>94</v>
      </c>
    </row>
    <row r="872" spans="4:22" ht="14.25" thickBot="1">
      <c r="D872" s="2915">
        <v>868</v>
      </c>
      <c r="E872" s="2915"/>
      <c r="F872" s="2914" t="s">
        <v>3979</v>
      </c>
      <c r="G872" s="2915">
        <v>71.23</v>
      </c>
      <c r="H872" s="2915">
        <f t="shared" si="14"/>
        <v>12.51</v>
      </c>
      <c r="Q872" s="3004">
        <v>868</v>
      </c>
      <c r="R872" s="2999" t="s">
        <v>5471</v>
      </c>
      <c r="S872" s="3000">
        <v>71.23</v>
      </c>
      <c r="T872" s="3000">
        <v>1</v>
      </c>
      <c r="U872" s="3000">
        <v>17260</v>
      </c>
      <c r="V872" s="3000">
        <v>123</v>
      </c>
    </row>
    <row r="873" spans="4:22" ht="14.25" thickBot="1">
      <c r="D873" s="2915">
        <v>869</v>
      </c>
      <c r="E873" s="2915"/>
      <c r="F873" s="2914" t="s">
        <v>3980</v>
      </c>
      <c r="G873" s="2915">
        <v>61.41</v>
      </c>
      <c r="H873" s="2915">
        <f t="shared" si="14"/>
        <v>10.78</v>
      </c>
      <c r="Q873" s="3004">
        <v>869</v>
      </c>
      <c r="R873" s="2999" t="s">
        <v>5472</v>
      </c>
      <c r="S873" s="3000">
        <v>61.41</v>
      </c>
      <c r="T873" s="3000">
        <v>1</v>
      </c>
      <c r="U873" s="3000">
        <v>17260</v>
      </c>
      <c r="V873" s="3000">
        <v>106</v>
      </c>
    </row>
    <row r="874" spans="4:22" ht="14.25" thickBot="1">
      <c r="D874" s="2915">
        <v>870</v>
      </c>
      <c r="E874" s="2915"/>
      <c r="F874" s="2914" t="s">
        <v>3981</v>
      </c>
      <c r="G874" s="2915">
        <v>61.41</v>
      </c>
      <c r="H874" s="2915">
        <f t="shared" si="14"/>
        <v>10.78</v>
      </c>
      <c r="Q874" s="3004">
        <v>870</v>
      </c>
      <c r="R874" s="2999" t="s">
        <v>5473</v>
      </c>
      <c r="S874" s="3000">
        <v>61.41</v>
      </c>
      <c r="T874" s="3000">
        <v>1</v>
      </c>
      <c r="U874" s="3000">
        <v>17260</v>
      </c>
      <c r="V874" s="3000">
        <v>106</v>
      </c>
    </row>
    <row r="875" spans="4:22" ht="14.25" thickBot="1">
      <c r="D875" s="2915">
        <v>871</v>
      </c>
      <c r="E875" s="2915"/>
      <c r="F875" s="2914" t="s">
        <v>3982</v>
      </c>
      <c r="G875" s="2915">
        <v>61.41</v>
      </c>
      <c r="H875" s="2915">
        <f t="shared" si="14"/>
        <v>10.78</v>
      </c>
      <c r="Q875" s="3004">
        <v>871</v>
      </c>
      <c r="R875" s="2999" t="s">
        <v>5474</v>
      </c>
      <c r="S875" s="3000">
        <v>61.41</v>
      </c>
      <c r="T875" s="3000">
        <v>1</v>
      </c>
      <c r="U875" s="3000">
        <v>17260</v>
      </c>
      <c r="V875" s="3000">
        <v>106</v>
      </c>
    </row>
    <row r="876" spans="4:22" ht="14.25" thickBot="1">
      <c r="D876" s="2915">
        <v>872</v>
      </c>
      <c r="E876" s="2915"/>
      <c r="F876" s="2914" t="s">
        <v>3983</v>
      </c>
      <c r="G876" s="2915">
        <v>61.88</v>
      </c>
      <c r="H876" s="2915">
        <f t="shared" si="14"/>
        <v>10.87</v>
      </c>
      <c r="Q876" s="3004">
        <v>872</v>
      </c>
      <c r="R876" s="2999" t="s">
        <v>5475</v>
      </c>
      <c r="S876" s="3000">
        <v>61.88</v>
      </c>
      <c r="T876" s="3000">
        <v>1</v>
      </c>
      <c r="U876" s="3000">
        <v>17260</v>
      </c>
      <c r="V876" s="3000">
        <v>107</v>
      </c>
    </row>
    <row r="877" spans="4:22" ht="14.25" thickBot="1">
      <c r="D877" s="2915">
        <v>873</v>
      </c>
      <c r="E877" s="2915"/>
      <c r="F877" s="2914" t="s">
        <v>3984</v>
      </c>
      <c r="G877" s="2915">
        <v>58.8</v>
      </c>
      <c r="H877" s="2915">
        <f t="shared" si="14"/>
        <v>10.32</v>
      </c>
      <c r="Q877" s="3004">
        <v>873</v>
      </c>
      <c r="R877" s="2999" t="s">
        <v>5476</v>
      </c>
      <c r="S877" s="3000">
        <v>58.8</v>
      </c>
      <c r="T877" s="3000">
        <v>1</v>
      </c>
      <c r="U877" s="3000">
        <v>17260</v>
      </c>
      <c r="V877" s="3000">
        <v>101</v>
      </c>
    </row>
    <row r="878" spans="4:22" ht="14.25" thickBot="1">
      <c r="D878" s="2915">
        <v>874</v>
      </c>
      <c r="E878" s="2915"/>
      <c r="F878" s="2914" t="s">
        <v>3985</v>
      </c>
      <c r="G878" s="2915">
        <v>60.21</v>
      </c>
      <c r="H878" s="2915">
        <f t="shared" si="14"/>
        <v>10.57</v>
      </c>
      <c r="Q878" s="3004">
        <v>874</v>
      </c>
      <c r="R878" s="2999" t="s">
        <v>5477</v>
      </c>
      <c r="S878" s="3000">
        <v>60.21</v>
      </c>
      <c r="T878" s="3000">
        <v>1</v>
      </c>
      <c r="U878" s="3000">
        <v>17260</v>
      </c>
      <c r="V878" s="3000">
        <v>104</v>
      </c>
    </row>
    <row r="879" spans="4:22" ht="14.25" thickBot="1">
      <c r="D879" s="2915">
        <v>875</v>
      </c>
      <c r="E879" s="2915"/>
      <c r="F879" s="2914" t="s">
        <v>3986</v>
      </c>
      <c r="G879" s="2915">
        <v>65.760000000000005</v>
      </c>
      <c r="H879" s="2915">
        <f t="shared" si="14"/>
        <v>11.55</v>
      </c>
      <c r="Q879" s="3004">
        <v>875</v>
      </c>
      <c r="R879" s="2999" t="s">
        <v>5478</v>
      </c>
      <c r="S879" s="3000">
        <v>65.760000000000005</v>
      </c>
      <c r="T879" s="3000">
        <v>1</v>
      </c>
      <c r="U879" s="3000">
        <v>17260</v>
      </c>
      <c r="V879" s="3000">
        <v>114</v>
      </c>
    </row>
    <row r="880" spans="4:22" ht="14.25" thickBot="1">
      <c r="D880" s="2915">
        <v>876</v>
      </c>
      <c r="E880" s="2915"/>
      <c r="F880" s="2914" t="s">
        <v>3987</v>
      </c>
      <c r="G880" s="2915">
        <v>59.41</v>
      </c>
      <c r="H880" s="2915">
        <f t="shared" si="14"/>
        <v>10.43</v>
      </c>
      <c r="Q880" s="3004">
        <v>876</v>
      </c>
      <c r="R880" s="2999" t="s">
        <v>5479</v>
      </c>
      <c r="S880" s="3000">
        <v>59.41</v>
      </c>
      <c r="T880" s="3000">
        <v>1</v>
      </c>
      <c r="U880" s="3000">
        <v>17260</v>
      </c>
      <c r="V880" s="3000">
        <v>103</v>
      </c>
    </row>
    <row r="881" spans="4:22" ht="14.25" thickBot="1">
      <c r="D881" s="2915">
        <v>877</v>
      </c>
      <c r="E881" s="2915"/>
      <c r="F881" s="2914" t="s">
        <v>3988</v>
      </c>
      <c r="G881" s="2915">
        <v>60.69</v>
      </c>
      <c r="H881" s="2915">
        <f t="shared" si="14"/>
        <v>10.66</v>
      </c>
      <c r="Q881" s="3004">
        <v>877</v>
      </c>
      <c r="R881" s="2999" t="s">
        <v>5480</v>
      </c>
      <c r="S881" s="3000">
        <v>60.69</v>
      </c>
      <c r="T881" s="3000">
        <v>1</v>
      </c>
      <c r="U881" s="3000">
        <v>17260</v>
      </c>
      <c r="V881" s="3000">
        <v>105</v>
      </c>
    </row>
    <row r="882" spans="4:22" ht="14.25" thickBot="1">
      <c r="D882" s="2915">
        <v>878</v>
      </c>
      <c r="E882" s="2915"/>
      <c r="F882" s="2914" t="s">
        <v>3989</v>
      </c>
      <c r="G882" s="2915">
        <v>60.69</v>
      </c>
      <c r="H882" s="2915">
        <f t="shared" si="14"/>
        <v>10.66</v>
      </c>
      <c r="Q882" s="3004">
        <v>878</v>
      </c>
      <c r="R882" s="2999" t="s">
        <v>5481</v>
      </c>
      <c r="S882" s="3000">
        <v>60.69</v>
      </c>
      <c r="T882" s="3000">
        <v>1</v>
      </c>
      <c r="U882" s="3000">
        <v>17260</v>
      </c>
      <c r="V882" s="3000">
        <v>105</v>
      </c>
    </row>
    <row r="883" spans="4:22" ht="14.25" thickBot="1">
      <c r="D883" s="2915">
        <v>879</v>
      </c>
      <c r="E883" s="2915"/>
      <c r="F883" s="2914" t="s">
        <v>3990</v>
      </c>
      <c r="G883" s="2915">
        <v>60.69</v>
      </c>
      <c r="H883" s="2915">
        <f t="shared" si="14"/>
        <v>10.66</v>
      </c>
      <c r="Q883" s="3004">
        <v>879</v>
      </c>
      <c r="R883" s="2999" t="s">
        <v>5482</v>
      </c>
      <c r="S883" s="3000">
        <v>60.69</v>
      </c>
      <c r="T883" s="3000">
        <v>1</v>
      </c>
      <c r="U883" s="3000">
        <v>17260</v>
      </c>
      <c r="V883" s="3000">
        <v>105</v>
      </c>
    </row>
    <row r="884" spans="4:22" ht="14.25" thickBot="1">
      <c r="D884" s="2915">
        <v>880</v>
      </c>
      <c r="E884" s="2915"/>
      <c r="F884" s="2914" t="s">
        <v>3991</v>
      </c>
      <c r="G884" s="2915">
        <v>60.69</v>
      </c>
      <c r="H884" s="2915">
        <f t="shared" si="14"/>
        <v>10.66</v>
      </c>
      <c r="Q884" s="3004">
        <v>880</v>
      </c>
      <c r="R884" s="2999" t="s">
        <v>5483</v>
      </c>
      <c r="S884" s="3000">
        <v>60.69</v>
      </c>
      <c r="T884" s="3000">
        <v>1</v>
      </c>
      <c r="U884" s="3000">
        <v>17260</v>
      </c>
      <c r="V884" s="3000">
        <v>105</v>
      </c>
    </row>
    <row r="885" spans="4:22" ht="14.25" thickBot="1">
      <c r="D885" s="2915">
        <v>881</v>
      </c>
      <c r="E885" s="2915"/>
      <c r="F885" s="2914" t="s">
        <v>3992</v>
      </c>
      <c r="G885" s="2915">
        <v>60.69</v>
      </c>
      <c r="H885" s="2915">
        <f t="shared" si="14"/>
        <v>10.66</v>
      </c>
      <c r="Q885" s="3004">
        <v>881</v>
      </c>
      <c r="R885" s="2999" t="s">
        <v>5484</v>
      </c>
      <c r="S885" s="3000">
        <v>60.69</v>
      </c>
      <c r="T885" s="3000">
        <v>1</v>
      </c>
      <c r="U885" s="3000">
        <v>17260</v>
      </c>
      <c r="V885" s="3000">
        <v>105</v>
      </c>
    </row>
    <row r="886" spans="4:22" ht="14.25" thickBot="1">
      <c r="D886" s="2915">
        <v>882</v>
      </c>
      <c r="E886" s="2915"/>
      <c r="F886" s="2914" t="s">
        <v>3993</v>
      </c>
      <c r="G886" s="2915">
        <v>60.69</v>
      </c>
      <c r="H886" s="2915">
        <f t="shared" si="14"/>
        <v>10.66</v>
      </c>
      <c r="Q886" s="3004">
        <v>882</v>
      </c>
      <c r="R886" s="2999" t="s">
        <v>5485</v>
      </c>
      <c r="S886" s="3000">
        <v>60.69</v>
      </c>
      <c r="T886" s="3000">
        <v>1</v>
      </c>
      <c r="U886" s="3000">
        <v>17260</v>
      </c>
      <c r="V886" s="3000">
        <v>105</v>
      </c>
    </row>
    <row r="887" spans="4:22" ht="14.25" thickBot="1">
      <c r="D887" s="2915">
        <v>883</v>
      </c>
      <c r="E887" s="2915"/>
      <c r="F887" s="2914" t="s">
        <v>3994</v>
      </c>
      <c r="G887" s="2915">
        <v>60.69</v>
      </c>
      <c r="H887" s="2915">
        <f t="shared" si="14"/>
        <v>10.66</v>
      </c>
      <c r="Q887" s="3004">
        <v>883</v>
      </c>
      <c r="R887" s="2999" t="s">
        <v>5486</v>
      </c>
      <c r="S887" s="3000">
        <v>60.69</v>
      </c>
      <c r="T887" s="3000">
        <v>1</v>
      </c>
      <c r="U887" s="3000">
        <v>17260</v>
      </c>
      <c r="V887" s="3000">
        <v>105</v>
      </c>
    </row>
    <row r="888" spans="4:22" ht="14.25" thickBot="1">
      <c r="D888" s="2915">
        <v>884</v>
      </c>
      <c r="E888" s="2915"/>
      <c r="F888" s="2914" t="s">
        <v>3995</v>
      </c>
      <c r="G888" s="2915">
        <v>60.69</v>
      </c>
      <c r="H888" s="2915">
        <f t="shared" si="14"/>
        <v>10.66</v>
      </c>
      <c r="Q888" s="3004">
        <v>884</v>
      </c>
      <c r="R888" s="2999" t="s">
        <v>5487</v>
      </c>
      <c r="S888" s="3000">
        <v>60.69</v>
      </c>
      <c r="T888" s="3000">
        <v>1</v>
      </c>
      <c r="U888" s="3000">
        <v>17260</v>
      </c>
      <c r="V888" s="3000">
        <v>105</v>
      </c>
    </row>
    <row r="889" spans="4:22" ht="14.25" thickBot="1">
      <c r="D889" s="2915">
        <v>885</v>
      </c>
      <c r="E889" s="2915"/>
      <c r="F889" s="2914" t="s">
        <v>3996</v>
      </c>
      <c r="G889" s="2915">
        <v>60.69</v>
      </c>
      <c r="H889" s="2915">
        <f t="shared" si="14"/>
        <v>10.66</v>
      </c>
      <c r="Q889" s="3004">
        <v>885</v>
      </c>
      <c r="R889" s="2999" t="s">
        <v>5488</v>
      </c>
      <c r="S889" s="3000">
        <v>60.69</v>
      </c>
      <c r="T889" s="3000">
        <v>1</v>
      </c>
      <c r="U889" s="3000">
        <v>17260</v>
      </c>
      <c r="V889" s="3000">
        <v>105</v>
      </c>
    </row>
    <row r="890" spans="4:22" ht="14.25" thickBot="1">
      <c r="D890" s="2915">
        <v>886</v>
      </c>
      <c r="E890" s="2915"/>
      <c r="F890" s="2914" t="s">
        <v>3997</v>
      </c>
      <c r="G890" s="2915">
        <v>54.3</v>
      </c>
      <c r="H890" s="2915">
        <f t="shared" si="14"/>
        <v>9.5299999999999994</v>
      </c>
      <c r="Q890" s="3004">
        <v>886</v>
      </c>
      <c r="R890" s="2999" t="s">
        <v>5489</v>
      </c>
      <c r="S890" s="3000">
        <v>54.3</v>
      </c>
      <c r="T890" s="3000">
        <v>1</v>
      </c>
      <c r="U890" s="3000">
        <v>17260</v>
      </c>
      <c r="V890" s="3000">
        <v>94</v>
      </c>
    </row>
    <row r="891" spans="4:22" ht="14.25" thickBot="1">
      <c r="D891" s="2915">
        <v>887</v>
      </c>
      <c r="E891" s="2915"/>
      <c r="F891" s="2914" t="s">
        <v>3998</v>
      </c>
      <c r="G891" s="2915">
        <v>60.68</v>
      </c>
      <c r="H891" s="2915">
        <f t="shared" si="14"/>
        <v>10.65</v>
      </c>
      <c r="Q891" s="3004">
        <v>887</v>
      </c>
      <c r="R891" s="2999" t="s">
        <v>5490</v>
      </c>
      <c r="S891" s="3000">
        <v>60.68</v>
      </c>
      <c r="T891" s="3000">
        <v>1</v>
      </c>
      <c r="U891" s="3000">
        <v>17260</v>
      </c>
      <c r="V891" s="3000">
        <v>105</v>
      </c>
    </row>
    <row r="892" spans="4:22" ht="14.25" thickBot="1">
      <c r="D892" s="2915">
        <v>888</v>
      </c>
      <c r="E892" s="2915"/>
      <c r="F892" s="2914" t="s">
        <v>3999</v>
      </c>
      <c r="G892" s="2915">
        <v>80.459999999999994</v>
      </c>
      <c r="H892" s="2915">
        <f t="shared" si="14"/>
        <v>14.13</v>
      </c>
      <c r="Q892" s="3004">
        <v>888</v>
      </c>
      <c r="R892" s="2999" t="s">
        <v>5491</v>
      </c>
      <c r="S892" s="3000">
        <v>80.459999999999994</v>
      </c>
      <c r="T892" s="3000">
        <v>1</v>
      </c>
      <c r="U892" s="3000">
        <v>17260</v>
      </c>
      <c r="V892" s="3000">
        <v>139</v>
      </c>
    </row>
    <row r="893" spans="4:22" ht="14.25" thickBot="1">
      <c r="D893" s="2915">
        <v>889</v>
      </c>
      <c r="E893" s="2915"/>
      <c r="F893" s="2914" t="s">
        <v>4000</v>
      </c>
      <c r="G893" s="2915">
        <v>80.45</v>
      </c>
      <c r="H893" s="2915">
        <f t="shared" si="14"/>
        <v>14.13</v>
      </c>
      <c r="Q893" s="3004">
        <v>889</v>
      </c>
      <c r="R893" s="2999" t="s">
        <v>5492</v>
      </c>
      <c r="S893" s="3000">
        <v>80.45</v>
      </c>
      <c r="T893" s="3000">
        <v>1</v>
      </c>
      <c r="U893" s="3000">
        <v>17260</v>
      </c>
      <c r="V893" s="3000">
        <v>139</v>
      </c>
    </row>
    <row r="894" spans="4:22" ht="14.25" thickBot="1">
      <c r="D894" s="2915">
        <v>890</v>
      </c>
      <c r="E894" s="2915"/>
      <c r="F894" s="2914" t="s">
        <v>4001</v>
      </c>
      <c r="G894" s="2915">
        <v>60.69</v>
      </c>
      <c r="H894" s="2915">
        <f t="shared" si="14"/>
        <v>10.66</v>
      </c>
      <c r="Q894" s="3004">
        <v>890</v>
      </c>
      <c r="R894" s="2999" t="s">
        <v>5493</v>
      </c>
      <c r="S894" s="3000">
        <v>60.69</v>
      </c>
      <c r="T894" s="3000">
        <v>1</v>
      </c>
      <c r="U894" s="3000">
        <v>17260</v>
      </c>
      <c r="V894" s="3000">
        <v>105</v>
      </c>
    </row>
    <row r="895" spans="4:22" ht="14.25" thickBot="1">
      <c r="D895" s="2915">
        <v>891</v>
      </c>
      <c r="E895" s="2915"/>
      <c r="F895" s="2914" t="s">
        <v>4002</v>
      </c>
      <c r="G895" s="2915">
        <v>60.69</v>
      </c>
      <c r="H895" s="2915">
        <f t="shared" si="14"/>
        <v>10.66</v>
      </c>
      <c r="Q895" s="3004">
        <v>891</v>
      </c>
      <c r="R895" s="2999" t="s">
        <v>5494</v>
      </c>
      <c r="S895" s="3000">
        <v>60.69</v>
      </c>
      <c r="T895" s="3000">
        <v>1</v>
      </c>
      <c r="U895" s="3000">
        <v>17260</v>
      </c>
      <c r="V895" s="3000">
        <v>105</v>
      </c>
    </row>
    <row r="896" spans="4:22" ht="14.25" thickBot="1">
      <c r="D896" s="2915">
        <v>892</v>
      </c>
      <c r="E896" s="2915"/>
      <c r="F896" s="2914" t="s">
        <v>4003</v>
      </c>
      <c r="G896" s="2915">
        <v>60.68</v>
      </c>
      <c r="H896" s="2915">
        <f t="shared" si="14"/>
        <v>10.65</v>
      </c>
      <c r="Q896" s="3004">
        <v>892</v>
      </c>
      <c r="R896" s="2999" t="s">
        <v>5495</v>
      </c>
      <c r="S896" s="3000">
        <v>60.68</v>
      </c>
      <c r="T896" s="3000">
        <v>1</v>
      </c>
      <c r="U896" s="3000">
        <v>17260</v>
      </c>
      <c r="V896" s="3000">
        <v>105</v>
      </c>
    </row>
    <row r="897" spans="4:22" ht="14.25" thickBot="1">
      <c r="D897" s="2915">
        <v>893</v>
      </c>
      <c r="E897" s="2915"/>
      <c r="F897" s="2914" t="s">
        <v>4004</v>
      </c>
      <c r="G897" s="2915">
        <v>60.69</v>
      </c>
      <c r="H897" s="2915">
        <f t="shared" si="14"/>
        <v>10.66</v>
      </c>
      <c r="Q897" s="3004">
        <v>893</v>
      </c>
      <c r="R897" s="2999" t="s">
        <v>5496</v>
      </c>
      <c r="S897" s="3000">
        <v>60.69</v>
      </c>
      <c r="T897" s="3000">
        <v>1</v>
      </c>
      <c r="U897" s="3000">
        <v>17260</v>
      </c>
      <c r="V897" s="3000">
        <v>105</v>
      </c>
    </row>
    <row r="898" spans="4:22" ht="14.25" thickBot="1">
      <c r="D898" s="2915">
        <v>894</v>
      </c>
      <c r="E898" s="2915"/>
      <c r="F898" s="2914" t="s">
        <v>4005</v>
      </c>
      <c r="G898" s="2915">
        <v>60.69</v>
      </c>
      <c r="H898" s="2915">
        <f t="shared" si="14"/>
        <v>10.66</v>
      </c>
      <c r="Q898" s="3004">
        <v>894</v>
      </c>
      <c r="R898" s="2999" t="s">
        <v>5497</v>
      </c>
      <c r="S898" s="3000">
        <v>60.69</v>
      </c>
      <c r="T898" s="3000">
        <v>1</v>
      </c>
      <c r="U898" s="3000">
        <v>17260</v>
      </c>
      <c r="V898" s="3000">
        <v>105</v>
      </c>
    </row>
    <row r="899" spans="4:22" ht="14.25" thickBot="1">
      <c r="D899" s="2915">
        <v>895</v>
      </c>
      <c r="E899" s="2915"/>
      <c r="F899" s="2914" t="s">
        <v>4006</v>
      </c>
      <c r="G899" s="2915">
        <v>60.69</v>
      </c>
      <c r="H899" s="2915">
        <f t="shared" si="14"/>
        <v>10.66</v>
      </c>
      <c r="Q899" s="3004">
        <v>895</v>
      </c>
      <c r="R899" s="2999" t="s">
        <v>5498</v>
      </c>
      <c r="S899" s="3000">
        <v>60.69</v>
      </c>
      <c r="T899" s="3000">
        <v>1</v>
      </c>
      <c r="U899" s="3000">
        <v>17260</v>
      </c>
      <c r="V899" s="3000">
        <v>105</v>
      </c>
    </row>
    <row r="900" spans="4:22" ht="14.25" thickBot="1">
      <c r="D900" s="2915">
        <v>896</v>
      </c>
      <c r="E900" s="2915"/>
      <c r="F900" s="2914" t="s">
        <v>4007</v>
      </c>
      <c r="G900" s="2915">
        <v>60.69</v>
      </c>
      <c r="H900" s="2915">
        <f t="shared" si="14"/>
        <v>10.66</v>
      </c>
      <c r="Q900" s="3004">
        <v>896</v>
      </c>
      <c r="R900" s="2999" t="s">
        <v>5499</v>
      </c>
      <c r="S900" s="3000">
        <v>60.69</v>
      </c>
      <c r="T900" s="3000">
        <v>1</v>
      </c>
      <c r="U900" s="3000">
        <v>17260</v>
      </c>
      <c r="V900" s="3000">
        <v>105</v>
      </c>
    </row>
    <row r="901" spans="4:22" ht="14.25" thickBot="1">
      <c r="D901" s="2915">
        <v>897</v>
      </c>
      <c r="E901" s="2915"/>
      <c r="F901" s="2914" t="s">
        <v>4008</v>
      </c>
      <c r="G901" s="2915">
        <v>60.69</v>
      </c>
      <c r="H901" s="2915">
        <f t="shared" si="14"/>
        <v>10.66</v>
      </c>
      <c r="Q901" s="3004">
        <v>897</v>
      </c>
      <c r="R901" s="2999" t="s">
        <v>5500</v>
      </c>
      <c r="S901" s="3000">
        <v>60.69</v>
      </c>
      <c r="T901" s="3000">
        <v>1</v>
      </c>
      <c r="U901" s="3000">
        <v>17260</v>
      </c>
      <c r="V901" s="3000">
        <v>105</v>
      </c>
    </row>
    <row r="902" spans="4:22" ht="14.25" thickBot="1">
      <c r="D902" s="2915">
        <v>898</v>
      </c>
      <c r="E902" s="2915"/>
      <c r="F902" s="2914" t="s">
        <v>4009</v>
      </c>
      <c r="G902" s="2915">
        <v>60.69</v>
      </c>
      <c r="H902" s="2915">
        <f t="shared" ref="H902:H965" si="15">ROUND(G902/$N$7*$M$7,2)</f>
        <v>10.66</v>
      </c>
      <c r="Q902" s="3004">
        <v>898</v>
      </c>
      <c r="R902" s="2999" t="s">
        <v>5501</v>
      </c>
      <c r="S902" s="3000">
        <v>60.69</v>
      </c>
      <c r="T902" s="3000">
        <v>1</v>
      </c>
      <c r="U902" s="3000">
        <v>17260</v>
      </c>
      <c r="V902" s="3000">
        <v>105</v>
      </c>
    </row>
    <row r="903" spans="4:22" ht="14.25" thickBot="1">
      <c r="D903" s="2915">
        <v>899</v>
      </c>
      <c r="E903" s="2915"/>
      <c r="F903" s="2914" t="s">
        <v>4010</v>
      </c>
      <c r="G903" s="2915">
        <v>60.69</v>
      </c>
      <c r="H903" s="2915">
        <f t="shared" si="15"/>
        <v>10.66</v>
      </c>
      <c r="Q903" s="3004">
        <v>899</v>
      </c>
      <c r="R903" s="2999" t="s">
        <v>5502</v>
      </c>
      <c r="S903" s="3000">
        <v>60.69</v>
      </c>
      <c r="T903" s="3000">
        <v>1</v>
      </c>
      <c r="U903" s="3000">
        <v>17260</v>
      </c>
      <c r="V903" s="3000">
        <v>105</v>
      </c>
    </row>
    <row r="904" spans="4:22" ht="14.25" thickBot="1">
      <c r="D904" s="2915">
        <v>900</v>
      </c>
      <c r="E904" s="2915"/>
      <c r="F904" s="2914" t="s">
        <v>4011</v>
      </c>
      <c r="G904" s="2915">
        <v>60.69</v>
      </c>
      <c r="H904" s="2915">
        <f t="shared" si="15"/>
        <v>10.66</v>
      </c>
      <c r="Q904" s="3004">
        <v>900</v>
      </c>
      <c r="R904" s="2999" t="s">
        <v>5503</v>
      </c>
      <c r="S904" s="3000">
        <v>60.69</v>
      </c>
      <c r="T904" s="3000">
        <v>1</v>
      </c>
      <c r="U904" s="3000">
        <v>17260</v>
      </c>
      <c r="V904" s="3000">
        <v>105</v>
      </c>
    </row>
    <row r="905" spans="4:22" ht="14.25" thickBot="1">
      <c r="D905" s="2915">
        <v>901</v>
      </c>
      <c r="E905" s="2915"/>
      <c r="F905" s="2914" t="s">
        <v>4012</v>
      </c>
      <c r="G905" s="2915">
        <v>104.53</v>
      </c>
      <c r="H905" s="2915">
        <f t="shared" si="15"/>
        <v>18.350000000000001</v>
      </c>
      <c r="Q905" s="3004">
        <v>901</v>
      </c>
      <c r="R905" s="2999" t="s">
        <v>5504</v>
      </c>
      <c r="S905" s="3000">
        <v>104.53</v>
      </c>
      <c r="T905" s="3000">
        <v>0.99</v>
      </c>
      <c r="U905" s="3000">
        <v>17087</v>
      </c>
      <c r="V905" s="3000">
        <v>179</v>
      </c>
    </row>
    <row r="906" spans="4:22" ht="14.25" thickBot="1">
      <c r="D906" s="2915">
        <v>902</v>
      </c>
      <c r="E906" s="2915"/>
      <c r="F906" s="2914" t="s">
        <v>4013</v>
      </c>
      <c r="G906" s="2915">
        <v>55.78</v>
      </c>
      <c r="H906" s="2915">
        <f t="shared" si="15"/>
        <v>9.7899999999999991</v>
      </c>
      <c r="Q906" s="3004">
        <v>902</v>
      </c>
      <c r="R906" s="2999" t="s">
        <v>5505</v>
      </c>
      <c r="S906" s="3000">
        <v>55.78</v>
      </c>
      <c r="T906" s="3000">
        <v>1</v>
      </c>
      <c r="U906" s="3000">
        <v>17260</v>
      </c>
      <c r="V906" s="3000">
        <v>96</v>
      </c>
    </row>
    <row r="907" spans="4:22" ht="14.25" thickBot="1">
      <c r="D907" s="2915">
        <v>903</v>
      </c>
      <c r="E907" s="2915"/>
      <c r="F907" s="2914" t="s">
        <v>4014</v>
      </c>
      <c r="G907" s="2915">
        <v>48.86</v>
      </c>
      <c r="H907" s="2915">
        <f t="shared" si="15"/>
        <v>8.58</v>
      </c>
      <c r="Q907" s="3004">
        <v>903</v>
      </c>
      <c r="R907" s="2999" t="s">
        <v>5506</v>
      </c>
      <c r="S907" s="3000">
        <v>48.86</v>
      </c>
      <c r="T907" s="3000">
        <v>1</v>
      </c>
      <c r="U907" s="3000">
        <v>17260</v>
      </c>
      <c r="V907" s="3000">
        <v>84</v>
      </c>
    </row>
    <row r="908" spans="4:22" ht="14.25" thickBot="1">
      <c r="D908" s="2915">
        <v>904</v>
      </c>
      <c r="E908" s="2915"/>
      <c r="F908" s="2914" t="s">
        <v>4015</v>
      </c>
      <c r="G908" s="2915">
        <v>48.86</v>
      </c>
      <c r="H908" s="2915">
        <f t="shared" si="15"/>
        <v>8.58</v>
      </c>
      <c r="Q908" s="3004">
        <v>904</v>
      </c>
      <c r="R908" s="2999" t="s">
        <v>5507</v>
      </c>
      <c r="S908" s="3000">
        <v>48.86</v>
      </c>
      <c r="T908" s="3000">
        <v>1</v>
      </c>
      <c r="U908" s="3000">
        <v>17260</v>
      </c>
      <c r="V908" s="3000">
        <v>84</v>
      </c>
    </row>
    <row r="909" spans="4:22" ht="14.25" thickBot="1">
      <c r="D909" s="2915">
        <v>905</v>
      </c>
      <c r="E909" s="2915"/>
      <c r="F909" s="2914" t="s">
        <v>4016</v>
      </c>
      <c r="G909" s="2915">
        <v>48.86</v>
      </c>
      <c r="H909" s="2915">
        <f t="shared" si="15"/>
        <v>8.58</v>
      </c>
      <c r="Q909" s="3004">
        <v>905</v>
      </c>
      <c r="R909" s="2999" t="s">
        <v>5508</v>
      </c>
      <c r="S909" s="3000">
        <v>48.86</v>
      </c>
      <c r="T909" s="3000">
        <v>1</v>
      </c>
      <c r="U909" s="3000">
        <v>17260</v>
      </c>
      <c r="V909" s="3000">
        <v>84</v>
      </c>
    </row>
    <row r="910" spans="4:22" ht="14.25" thickBot="1">
      <c r="D910" s="2915">
        <v>906</v>
      </c>
      <c r="E910" s="2915"/>
      <c r="F910" s="2914" t="s">
        <v>4017</v>
      </c>
      <c r="G910" s="2915">
        <v>54.5</v>
      </c>
      <c r="H910" s="2915">
        <f t="shared" si="15"/>
        <v>9.57</v>
      </c>
      <c r="Q910" s="3004">
        <v>906</v>
      </c>
      <c r="R910" s="2999" t="s">
        <v>5509</v>
      </c>
      <c r="S910" s="3000">
        <v>54.5</v>
      </c>
      <c r="T910" s="3000">
        <v>1</v>
      </c>
      <c r="U910" s="3000">
        <v>17260</v>
      </c>
      <c r="V910" s="3000">
        <v>94</v>
      </c>
    </row>
    <row r="911" spans="4:22" ht="14.25" thickBot="1">
      <c r="D911" s="2915">
        <v>907</v>
      </c>
      <c r="E911" s="2915"/>
      <c r="F911" s="2914" t="s">
        <v>4018</v>
      </c>
      <c r="G911" s="2915">
        <v>64.58</v>
      </c>
      <c r="H911" s="2915">
        <f t="shared" si="15"/>
        <v>11.34</v>
      </c>
      <c r="Q911" s="3004">
        <v>907</v>
      </c>
      <c r="R911" s="2999" t="s">
        <v>5510</v>
      </c>
      <c r="S911" s="3000">
        <v>64.58</v>
      </c>
      <c r="T911" s="3000">
        <v>1</v>
      </c>
      <c r="U911" s="3000">
        <v>17260</v>
      </c>
      <c r="V911" s="3000">
        <v>111</v>
      </c>
    </row>
    <row r="912" spans="4:22" ht="14.25" thickBot="1">
      <c r="D912" s="2915">
        <v>908</v>
      </c>
      <c r="E912" s="2915"/>
      <c r="F912" s="2914" t="s">
        <v>4019</v>
      </c>
      <c r="G912" s="2915">
        <v>45.32</v>
      </c>
      <c r="H912" s="2915">
        <f t="shared" si="15"/>
        <v>7.96</v>
      </c>
      <c r="Q912" s="3004">
        <v>908</v>
      </c>
      <c r="R912" s="2999" t="s">
        <v>5511</v>
      </c>
      <c r="S912" s="3000">
        <v>45.32</v>
      </c>
      <c r="T912" s="3000">
        <v>1</v>
      </c>
      <c r="U912" s="3000">
        <v>17260</v>
      </c>
      <c r="V912" s="3000">
        <v>78</v>
      </c>
    </row>
    <row r="913" spans="4:22" ht="14.25" thickBot="1">
      <c r="D913" s="2915">
        <v>909</v>
      </c>
      <c r="E913" s="2915"/>
      <c r="F913" s="2914" t="s">
        <v>4020</v>
      </c>
      <c r="G913" s="2915">
        <v>45.2</v>
      </c>
      <c r="H913" s="2915">
        <f t="shared" si="15"/>
        <v>7.94</v>
      </c>
      <c r="Q913" s="3004">
        <v>909</v>
      </c>
      <c r="R913" s="2999" t="s">
        <v>5512</v>
      </c>
      <c r="S913" s="3000">
        <v>45.2</v>
      </c>
      <c r="T913" s="3000">
        <v>1</v>
      </c>
      <c r="U913" s="3000">
        <v>17260</v>
      </c>
      <c r="V913" s="3000">
        <v>78</v>
      </c>
    </row>
    <row r="914" spans="4:22" ht="14.25" thickBot="1">
      <c r="D914" s="2915">
        <v>910</v>
      </c>
      <c r="E914" s="2915"/>
      <c r="F914" s="2914" t="s">
        <v>4021</v>
      </c>
      <c r="G914" s="2915">
        <v>45.32</v>
      </c>
      <c r="H914" s="2915">
        <f t="shared" si="15"/>
        <v>7.96</v>
      </c>
      <c r="Q914" s="3004">
        <v>910</v>
      </c>
      <c r="R914" s="2999" t="s">
        <v>5513</v>
      </c>
      <c r="S914" s="3000">
        <v>45.32</v>
      </c>
      <c r="T914" s="3000">
        <v>1</v>
      </c>
      <c r="U914" s="3000">
        <v>17260</v>
      </c>
      <c r="V914" s="3000">
        <v>78</v>
      </c>
    </row>
    <row r="915" spans="4:22" ht="14.25" thickBot="1">
      <c r="D915" s="2915">
        <v>911</v>
      </c>
      <c r="E915" s="2915"/>
      <c r="F915" s="2914" t="s">
        <v>4022</v>
      </c>
      <c r="G915" s="2915">
        <v>45.32</v>
      </c>
      <c r="H915" s="2915">
        <f t="shared" si="15"/>
        <v>7.96</v>
      </c>
      <c r="Q915" s="3004">
        <v>911</v>
      </c>
      <c r="R915" s="2999" t="s">
        <v>5514</v>
      </c>
      <c r="S915" s="3000">
        <v>45.32</v>
      </c>
      <c r="T915" s="3000">
        <v>1</v>
      </c>
      <c r="U915" s="3000">
        <v>17260</v>
      </c>
      <c r="V915" s="3000">
        <v>78</v>
      </c>
    </row>
    <row r="916" spans="4:22" ht="14.25" thickBot="1">
      <c r="D916" s="2915">
        <v>912</v>
      </c>
      <c r="E916" s="2915"/>
      <c r="F916" s="2914" t="s">
        <v>4023</v>
      </c>
      <c r="G916" s="2915">
        <v>48.86</v>
      </c>
      <c r="H916" s="2915">
        <f t="shared" si="15"/>
        <v>8.58</v>
      </c>
      <c r="Q916" s="3004">
        <v>912</v>
      </c>
      <c r="R916" s="2999" t="s">
        <v>5515</v>
      </c>
      <c r="S916" s="3000">
        <v>48.86</v>
      </c>
      <c r="T916" s="3000">
        <v>1</v>
      </c>
      <c r="U916" s="3000">
        <v>17260</v>
      </c>
      <c r="V916" s="3000">
        <v>84</v>
      </c>
    </row>
    <row r="917" spans="4:22" ht="14.25" thickBot="1">
      <c r="D917" s="2915">
        <v>913</v>
      </c>
      <c r="E917" s="2915"/>
      <c r="F917" s="2914" t="s">
        <v>4024</v>
      </c>
      <c r="G917" s="2915">
        <v>44.51</v>
      </c>
      <c r="H917" s="2915">
        <f t="shared" si="15"/>
        <v>7.82</v>
      </c>
      <c r="Q917" s="3004">
        <v>913</v>
      </c>
      <c r="R917" s="2999" t="s">
        <v>5516</v>
      </c>
      <c r="S917" s="3000">
        <v>44.51</v>
      </c>
      <c r="T917" s="3000">
        <v>1</v>
      </c>
      <c r="U917" s="3000">
        <v>17260</v>
      </c>
      <c r="V917" s="3000">
        <v>77</v>
      </c>
    </row>
    <row r="918" spans="4:22" ht="14.25" thickBot="1">
      <c r="D918" s="2915">
        <v>914</v>
      </c>
      <c r="E918" s="2915"/>
      <c r="F918" s="2914" t="s">
        <v>4025</v>
      </c>
      <c r="G918" s="2915">
        <v>54.67</v>
      </c>
      <c r="H918" s="2915">
        <f t="shared" si="15"/>
        <v>9.6</v>
      </c>
      <c r="Q918" s="3004">
        <v>914</v>
      </c>
      <c r="R918" s="2999" t="s">
        <v>5517</v>
      </c>
      <c r="S918" s="3000">
        <v>54.67</v>
      </c>
      <c r="T918" s="3000">
        <v>1</v>
      </c>
      <c r="U918" s="3000">
        <v>17260</v>
      </c>
      <c r="V918" s="3000">
        <v>94</v>
      </c>
    </row>
    <row r="919" spans="4:22" ht="14.25" thickBot="1">
      <c r="D919" s="2915">
        <v>915</v>
      </c>
      <c r="E919" s="2915"/>
      <c r="F919" s="2914" t="s">
        <v>4026</v>
      </c>
      <c r="G919" s="2915">
        <v>48.86</v>
      </c>
      <c r="H919" s="2915">
        <f t="shared" si="15"/>
        <v>8.58</v>
      </c>
      <c r="Q919" s="3004">
        <v>915</v>
      </c>
      <c r="R919" s="2999" t="s">
        <v>5518</v>
      </c>
      <c r="S919" s="3000">
        <v>48.86</v>
      </c>
      <c r="T919" s="3000">
        <v>1</v>
      </c>
      <c r="U919" s="3000">
        <v>17260</v>
      </c>
      <c r="V919" s="3000">
        <v>84</v>
      </c>
    </row>
    <row r="920" spans="4:22" ht="14.25" thickBot="1">
      <c r="D920" s="2915">
        <v>916</v>
      </c>
      <c r="E920" s="2915"/>
      <c r="F920" s="2914" t="s">
        <v>4027</v>
      </c>
      <c r="G920" s="2915">
        <v>48.86</v>
      </c>
      <c r="H920" s="2915">
        <f t="shared" si="15"/>
        <v>8.58</v>
      </c>
      <c r="Q920" s="3004">
        <v>916</v>
      </c>
      <c r="R920" s="2999" t="s">
        <v>5519</v>
      </c>
      <c r="S920" s="3000">
        <v>48.86</v>
      </c>
      <c r="T920" s="3000">
        <v>1</v>
      </c>
      <c r="U920" s="3000">
        <v>17260</v>
      </c>
      <c r="V920" s="3000">
        <v>84</v>
      </c>
    </row>
    <row r="921" spans="4:22" ht="14.25" thickBot="1">
      <c r="D921" s="2915">
        <v>917</v>
      </c>
      <c r="E921" s="2915"/>
      <c r="F921" s="2914" t="s">
        <v>4028</v>
      </c>
      <c r="G921" s="2915">
        <v>48.86</v>
      </c>
      <c r="H921" s="2915">
        <f t="shared" si="15"/>
        <v>8.58</v>
      </c>
      <c r="Q921" s="3004">
        <v>917</v>
      </c>
      <c r="R921" s="2999" t="s">
        <v>5520</v>
      </c>
      <c r="S921" s="3000">
        <v>48.86</v>
      </c>
      <c r="T921" s="3000">
        <v>1</v>
      </c>
      <c r="U921" s="3000">
        <v>17260</v>
      </c>
      <c r="V921" s="3000">
        <v>84</v>
      </c>
    </row>
    <row r="922" spans="4:22" ht="14.25" thickBot="1">
      <c r="D922" s="2915">
        <v>918</v>
      </c>
      <c r="E922" s="2915"/>
      <c r="F922" s="2914" t="s">
        <v>4029</v>
      </c>
      <c r="G922" s="2915">
        <v>54.87</v>
      </c>
      <c r="H922" s="2915">
        <f t="shared" si="15"/>
        <v>9.6300000000000008</v>
      </c>
      <c r="Q922" s="3004">
        <v>918</v>
      </c>
      <c r="R922" s="2999" t="s">
        <v>5521</v>
      </c>
      <c r="S922" s="3000">
        <v>54.87</v>
      </c>
      <c r="T922" s="3000">
        <v>1</v>
      </c>
      <c r="U922" s="3000">
        <v>17260</v>
      </c>
      <c r="V922" s="3000">
        <v>95</v>
      </c>
    </row>
    <row r="923" spans="4:22" ht="14.25" thickBot="1">
      <c r="D923" s="2915">
        <v>919</v>
      </c>
      <c r="E923" s="2915"/>
      <c r="F923" s="2914" t="s">
        <v>4030</v>
      </c>
      <c r="G923" s="2915">
        <v>88.13</v>
      </c>
      <c r="H923" s="2915">
        <f t="shared" si="15"/>
        <v>15.47</v>
      </c>
      <c r="Q923" s="3004">
        <v>919</v>
      </c>
      <c r="R923" s="2999" t="s">
        <v>5522</v>
      </c>
      <c r="S923" s="3000">
        <v>88.13</v>
      </c>
      <c r="T923" s="3000">
        <v>1</v>
      </c>
      <c r="U923" s="3000">
        <v>17260</v>
      </c>
      <c r="V923" s="3000">
        <v>152</v>
      </c>
    </row>
    <row r="924" spans="4:22" ht="14.25" thickBot="1">
      <c r="D924" s="2915">
        <v>920</v>
      </c>
      <c r="E924" s="2915"/>
      <c r="F924" s="2914" t="s">
        <v>4031</v>
      </c>
      <c r="G924" s="2915">
        <v>186.33</v>
      </c>
      <c r="H924" s="2915">
        <f t="shared" si="15"/>
        <v>32.72</v>
      </c>
      <c r="Q924" s="3004">
        <v>920</v>
      </c>
      <c r="R924" s="2999" t="s">
        <v>5523</v>
      </c>
      <c r="S924" s="3000">
        <v>186.33</v>
      </c>
      <c r="T924" s="3000">
        <v>0.99</v>
      </c>
      <c r="U924" s="3000">
        <v>17087</v>
      </c>
      <c r="V924" s="3000">
        <v>318</v>
      </c>
    </row>
    <row r="925" spans="4:22" ht="14.25" thickBot="1">
      <c r="D925" s="2915">
        <v>921</v>
      </c>
      <c r="E925" s="2915"/>
      <c r="F925" s="2914" t="s">
        <v>4032</v>
      </c>
      <c r="G925" s="2915">
        <v>188.39</v>
      </c>
      <c r="H925" s="2915">
        <f t="shared" si="15"/>
        <v>33.08</v>
      </c>
      <c r="Q925" s="3004">
        <v>921</v>
      </c>
      <c r="R925" s="2999" t="s">
        <v>5524</v>
      </c>
      <c r="S925" s="3000">
        <v>188.39</v>
      </c>
      <c r="T925" s="3000">
        <v>0.99</v>
      </c>
      <c r="U925" s="3000">
        <v>17087</v>
      </c>
      <c r="V925" s="3000">
        <v>322</v>
      </c>
    </row>
    <row r="926" spans="4:22" ht="14.25" thickBot="1">
      <c r="D926" s="2915">
        <v>922</v>
      </c>
      <c r="E926" s="2915"/>
      <c r="F926" s="2914" t="s">
        <v>4033</v>
      </c>
      <c r="G926" s="2915">
        <v>188.39</v>
      </c>
      <c r="H926" s="2915">
        <f t="shared" si="15"/>
        <v>33.08</v>
      </c>
      <c r="Q926" s="3004">
        <v>922</v>
      </c>
      <c r="R926" s="2999" t="s">
        <v>5525</v>
      </c>
      <c r="S926" s="3000">
        <v>188.39</v>
      </c>
      <c r="T926" s="3000">
        <v>0.99</v>
      </c>
      <c r="U926" s="3000">
        <v>17087</v>
      </c>
      <c r="V926" s="3000">
        <v>322</v>
      </c>
    </row>
    <row r="927" spans="4:22" ht="14.25" thickBot="1">
      <c r="D927" s="2915">
        <v>923</v>
      </c>
      <c r="E927" s="2915"/>
      <c r="F927" s="2914" t="s">
        <v>4034</v>
      </c>
      <c r="G927" s="2915">
        <v>188.39</v>
      </c>
      <c r="H927" s="2915">
        <f t="shared" si="15"/>
        <v>33.08</v>
      </c>
      <c r="Q927" s="3004">
        <v>923</v>
      </c>
      <c r="R927" s="2999" t="s">
        <v>5526</v>
      </c>
      <c r="S927" s="3000">
        <v>188.39</v>
      </c>
      <c r="T927" s="3000">
        <v>0.99</v>
      </c>
      <c r="U927" s="3000">
        <v>17087</v>
      </c>
      <c r="V927" s="3000">
        <v>322</v>
      </c>
    </row>
    <row r="928" spans="4:22" ht="14.25" thickBot="1">
      <c r="D928" s="2915">
        <v>924</v>
      </c>
      <c r="E928" s="2915"/>
      <c r="F928" s="2914" t="s">
        <v>4035</v>
      </c>
      <c r="G928" s="2915">
        <v>188.39</v>
      </c>
      <c r="H928" s="2915">
        <f t="shared" si="15"/>
        <v>33.08</v>
      </c>
      <c r="Q928" s="3004">
        <v>924</v>
      </c>
      <c r="R928" s="2999" t="s">
        <v>5527</v>
      </c>
      <c r="S928" s="3000">
        <v>188.39</v>
      </c>
      <c r="T928" s="3000">
        <v>0.99</v>
      </c>
      <c r="U928" s="3000">
        <v>17087</v>
      </c>
      <c r="V928" s="3000">
        <v>322</v>
      </c>
    </row>
    <row r="929" spans="4:22" ht="14.25" thickBot="1">
      <c r="D929" s="2915">
        <v>925</v>
      </c>
      <c r="E929" s="2915"/>
      <c r="F929" s="2914" t="s">
        <v>4036</v>
      </c>
      <c r="G929" s="2915">
        <v>188.39</v>
      </c>
      <c r="H929" s="2915">
        <f t="shared" si="15"/>
        <v>33.08</v>
      </c>
      <c r="Q929" s="3004">
        <v>925</v>
      </c>
      <c r="R929" s="2999" t="s">
        <v>5528</v>
      </c>
      <c r="S929" s="3000">
        <v>188.39</v>
      </c>
      <c r="T929" s="3000">
        <v>0.99</v>
      </c>
      <c r="U929" s="3000">
        <v>17087</v>
      </c>
      <c r="V929" s="3000">
        <v>322</v>
      </c>
    </row>
    <row r="930" spans="4:22" ht="14.25" thickBot="1">
      <c r="D930" s="2915">
        <v>926</v>
      </c>
      <c r="E930" s="2915"/>
      <c r="F930" s="2914" t="s">
        <v>4037</v>
      </c>
      <c r="G930" s="2915">
        <v>187.53</v>
      </c>
      <c r="H930" s="2915">
        <f t="shared" si="15"/>
        <v>32.93</v>
      </c>
      <c r="Q930" s="3004">
        <v>926</v>
      </c>
      <c r="R930" s="2999" t="s">
        <v>5529</v>
      </c>
      <c r="S930" s="3000">
        <v>187.53</v>
      </c>
      <c r="T930" s="3000">
        <v>0.99</v>
      </c>
      <c r="U930" s="3000">
        <v>17087</v>
      </c>
      <c r="V930" s="3000">
        <v>320</v>
      </c>
    </row>
    <row r="931" spans="4:22" ht="14.25" thickBot="1">
      <c r="D931" s="2915">
        <v>927</v>
      </c>
      <c r="E931" s="2915"/>
      <c r="F931" s="2914" t="s">
        <v>4038</v>
      </c>
      <c r="G931" s="2915">
        <v>210.19</v>
      </c>
      <c r="H931" s="2915">
        <f t="shared" si="15"/>
        <v>36.909999999999997</v>
      </c>
      <c r="Q931" s="3004">
        <v>927</v>
      </c>
      <c r="R931" s="2999" t="s">
        <v>5530</v>
      </c>
      <c r="S931" s="3000">
        <v>210.19</v>
      </c>
      <c r="T931" s="3000">
        <v>0.98</v>
      </c>
      <c r="U931" s="3000">
        <v>16915</v>
      </c>
      <c r="V931" s="3000">
        <v>356</v>
      </c>
    </row>
    <row r="932" spans="4:22" ht="14.25" thickBot="1">
      <c r="D932" s="2915">
        <v>928</v>
      </c>
      <c r="E932" s="2915"/>
      <c r="F932" s="2914" t="s">
        <v>4039</v>
      </c>
      <c r="G932" s="2915">
        <v>169.2</v>
      </c>
      <c r="H932" s="2915">
        <f t="shared" si="15"/>
        <v>29.71</v>
      </c>
      <c r="Q932" s="3004">
        <v>928</v>
      </c>
      <c r="R932" s="2999" t="s">
        <v>5531</v>
      </c>
      <c r="S932" s="3000">
        <v>169.2</v>
      </c>
      <c r="T932" s="3000">
        <v>0.99</v>
      </c>
      <c r="U932" s="3000">
        <v>17087</v>
      </c>
      <c r="V932" s="3000">
        <v>289</v>
      </c>
    </row>
    <row r="933" spans="4:22" ht="14.25" thickBot="1">
      <c r="D933" s="2915">
        <v>929</v>
      </c>
      <c r="E933" s="2915"/>
      <c r="F933" s="2914" t="s">
        <v>4040</v>
      </c>
      <c r="G933" s="2915">
        <v>178.35</v>
      </c>
      <c r="H933" s="2915">
        <f t="shared" si="15"/>
        <v>31.32</v>
      </c>
      <c r="Q933" s="3004">
        <v>929</v>
      </c>
      <c r="R933" s="2999" t="s">
        <v>5532</v>
      </c>
      <c r="S933" s="3000">
        <v>178.35</v>
      </c>
      <c r="T933" s="3000">
        <v>0.99</v>
      </c>
      <c r="U933" s="3000">
        <v>17087</v>
      </c>
      <c r="V933" s="3000">
        <v>305</v>
      </c>
    </row>
    <row r="934" spans="4:22" ht="14.25" thickBot="1">
      <c r="D934" s="2915">
        <v>930</v>
      </c>
      <c r="E934" s="2915"/>
      <c r="F934" s="2914" t="s">
        <v>4041</v>
      </c>
      <c r="G934" s="2915">
        <v>208.92</v>
      </c>
      <c r="H934" s="2915">
        <f t="shared" si="15"/>
        <v>36.68</v>
      </c>
      <c r="Q934" s="3004">
        <v>930</v>
      </c>
      <c r="R934" s="2999" t="s">
        <v>5533</v>
      </c>
      <c r="S934" s="3000">
        <v>208.92</v>
      </c>
      <c r="T934" s="3000">
        <v>0.98</v>
      </c>
      <c r="U934" s="3000">
        <v>16915</v>
      </c>
      <c r="V934" s="3000">
        <v>353</v>
      </c>
    </row>
    <row r="935" spans="4:22" ht="14.25" thickBot="1">
      <c r="D935" s="2915">
        <v>931</v>
      </c>
      <c r="E935" s="2915"/>
      <c r="F935" s="2914" t="s">
        <v>4042</v>
      </c>
      <c r="G935" s="2915">
        <v>188.35</v>
      </c>
      <c r="H935" s="2915">
        <f t="shared" si="15"/>
        <v>33.07</v>
      </c>
      <c r="Q935" s="3004">
        <v>931</v>
      </c>
      <c r="R935" s="2999" t="s">
        <v>5534</v>
      </c>
      <c r="S935" s="3000">
        <v>188.35</v>
      </c>
      <c r="T935" s="3000">
        <v>0.99</v>
      </c>
      <c r="U935" s="3000">
        <v>17087</v>
      </c>
      <c r="V935" s="3000">
        <v>322</v>
      </c>
    </row>
    <row r="936" spans="4:22" ht="14.25" thickBot="1">
      <c r="D936" s="2915">
        <v>932</v>
      </c>
      <c r="E936" s="2915"/>
      <c r="F936" s="2914" t="s">
        <v>4043</v>
      </c>
      <c r="G936" s="2915">
        <v>188.39</v>
      </c>
      <c r="H936" s="2915">
        <f t="shared" si="15"/>
        <v>33.08</v>
      </c>
      <c r="Q936" s="3004">
        <v>932</v>
      </c>
      <c r="R936" s="2999" t="s">
        <v>5535</v>
      </c>
      <c r="S936" s="3000">
        <v>188.39</v>
      </c>
      <c r="T936" s="3000">
        <v>0.99</v>
      </c>
      <c r="U936" s="3000">
        <v>17087</v>
      </c>
      <c r="V936" s="3000">
        <v>322</v>
      </c>
    </row>
    <row r="937" spans="4:22" ht="14.25" thickBot="1">
      <c r="D937" s="2915">
        <v>933</v>
      </c>
      <c r="E937" s="2915"/>
      <c r="F937" s="2914" t="s">
        <v>4044</v>
      </c>
      <c r="G937" s="2915">
        <v>188.39</v>
      </c>
      <c r="H937" s="2915">
        <f t="shared" si="15"/>
        <v>33.08</v>
      </c>
      <c r="Q937" s="3004">
        <v>933</v>
      </c>
      <c r="R937" s="2999" t="s">
        <v>5536</v>
      </c>
      <c r="S937" s="3000">
        <v>188.39</v>
      </c>
      <c r="T937" s="3000">
        <v>0.99</v>
      </c>
      <c r="U937" s="3000">
        <v>17087</v>
      </c>
      <c r="V937" s="3000">
        <v>322</v>
      </c>
    </row>
    <row r="938" spans="4:22" ht="14.25" thickBot="1">
      <c r="D938" s="2915">
        <v>934</v>
      </c>
      <c r="E938" s="2915"/>
      <c r="F938" s="2914" t="s">
        <v>4045</v>
      </c>
      <c r="G938" s="2915">
        <v>188.39</v>
      </c>
      <c r="H938" s="2915">
        <f t="shared" si="15"/>
        <v>33.08</v>
      </c>
      <c r="Q938" s="3004">
        <v>934</v>
      </c>
      <c r="R938" s="2999" t="s">
        <v>5537</v>
      </c>
      <c r="S938" s="3000">
        <v>188.39</v>
      </c>
      <c r="T938" s="3000">
        <v>0.99</v>
      </c>
      <c r="U938" s="3000">
        <v>17087</v>
      </c>
      <c r="V938" s="3000">
        <v>322</v>
      </c>
    </row>
    <row r="939" spans="4:22" ht="14.25" thickBot="1">
      <c r="D939" s="2915">
        <v>935</v>
      </c>
      <c r="E939" s="2915"/>
      <c r="F939" s="2914" t="s">
        <v>4046</v>
      </c>
      <c r="G939" s="2915">
        <v>188.39</v>
      </c>
      <c r="H939" s="2915">
        <f t="shared" si="15"/>
        <v>33.08</v>
      </c>
      <c r="Q939" s="3004">
        <v>935</v>
      </c>
      <c r="R939" s="2999" t="s">
        <v>5538</v>
      </c>
      <c r="S939" s="3000">
        <v>188.39</v>
      </c>
      <c r="T939" s="3000">
        <v>0.99</v>
      </c>
      <c r="U939" s="3000">
        <v>17087</v>
      </c>
      <c r="V939" s="3000">
        <v>322</v>
      </c>
    </row>
    <row r="940" spans="4:22" ht="14.25" thickBot="1">
      <c r="D940" s="2915">
        <v>936</v>
      </c>
      <c r="E940" s="2915"/>
      <c r="F940" s="2914" t="s">
        <v>4047</v>
      </c>
      <c r="G940" s="2915">
        <v>188.39</v>
      </c>
      <c r="H940" s="2915">
        <f t="shared" si="15"/>
        <v>33.08</v>
      </c>
      <c r="Q940" s="3004">
        <v>936</v>
      </c>
      <c r="R940" s="2999" t="s">
        <v>5539</v>
      </c>
      <c r="S940" s="3000">
        <v>188.39</v>
      </c>
      <c r="T940" s="3000">
        <v>0.99</v>
      </c>
      <c r="U940" s="3000">
        <v>17087</v>
      </c>
      <c r="V940" s="3000">
        <v>322</v>
      </c>
    </row>
    <row r="941" spans="4:22" ht="14.25" thickBot="1">
      <c r="D941" s="2915">
        <v>937</v>
      </c>
      <c r="E941" s="2915"/>
      <c r="F941" s="2914" t="s">
        <v>4048</v>
      </c>
      <c r="G941" s="2915">
        <v>279.91000000000003</v>
      </c>
      <c r="H941" s="2915">
        <f t="shared" si="15"/>
        <v>49.15</v>
      </c>
      <c r="Q941" s="3004">
        <v>937</v>
      </c>
      <c r="R941" s="2999" t="s">
        <v>5540</v>
      </c>
      <c r="S941" s="3000">
        <v>279.91000000000003</v>
      </c>
      <c r="T941" s="3000">
        <v>0.98</v>
      </c>
      <c r="U941" s="3000">
        <v>16915</v>
      </c>
      <c r="V941" s="3000">
        <v>473</v>
      </c>
    </row>
    <row r="942" spans="4:22" ht="14.25" thickBot="1">
      <c r="D942" s="2915">
        <v>938</v>
      </c>
      <c r="E942" s="2915"/>
      <c r="F942" s="2914" t="s">
        <v>4049</v>
      </c>
      <c r="G942" s="2915">
        <v>175.75</v>
      </c>
      <c r="H942" s="2915">
        <f t="shared" si="15"/>
        <v>30.86</v>
      </c>
      <c r="Q942" s="3004">
        <v>938</v>
      </c>
      <c r="R942" s="2999" t="s">
        <v>5541</v>
      </c>
      <c r="S942" s="3000">
        <v>175.75</v>
      </c>
      <c r="T942" s="3000">
        <v>0.99</v>
      </c>
      <c r="U942" s="3000">
        <v>17087</v>
      </c>
      <c r="V942" s="3000">
        <v>300</v>
      </c>
    </row>
    <row r="943" spans="4:22" ht="14.25" thickBot="1">
      <c r="D943" s="2915">
        <v>939</v>
      </c>
      <c r="E943" s="2915"/>
      <c r="F943" s="2914" t="s">
        <v>4050</v>
      </c>
      <c r="G943" s="2915">
        <v>188.32</v>
      </c>
      <c r="H943" s="2915">
        <f t="shared" si="15"/>
        <v>33.07</v>
      </c>
      <c r="Q943" s="3004">
        <v>939</v>
      </c>
      <c r="R943" s="2999" t="s">
        <v>5542</v>
      </c>
      <c r="S943" s="3000">
        <v>188.32</v>
      </c>
      <c r="T943" s="3000">
        <v>0.99</v>
      </c>
      <c r="U943" s="3000">
        <v>17087</v>
      </c>
      <c r="V943" s="3000">
        <v>322</v>
      </c>
    </row>
    <row r="944" spans="4:22" ht="14.25" thickBot="1">
      <c r="D944" s="2915">
        <v>940</v>
      </c>
      <c r="E944" s="2915"/>
      <c r="F944" s="2914" t="s">
        <v>4051</v>
      </c>
      <c r="G944" s="2915">
        <v>210.22</v>
      </c>
      <c r="H944" s="2915">
        <f t="shared" si="15"/>
        <v>36.909999999999997</v>
      </c>
      <c r="Q944" s="3004">
        <v>940</v>
      </c>
      <c r="R944" s="2999" t="s">
        <v>5543</v>
      </c>
      <c r="S944" s="3000">
        <v>210.22</v>
      </c>
      <c r="T944" s="3000">
        <v>0.98</v>
      </c>
      <c r="U944" s="3000">
        <v>16915</v>
      </c>
      <c r="V944" s="3000">
        <v>356</v>
      </c>
    </row>
    <row r="945" spans="4:22" ht="14.25" thickBot="1">
      <c r="D945" s="2915">
        <v>941</v>
      </c>
      <c r="E945" s="2915"/>
      <c r="F945" s="2914" t="s">
        <v>4052</v>
      </c>
      <c r="G945" s="2915">
        <v>187.56</v>
      </c>
      <c r="H945" s="2915">
        <f t="shared" si="15"/>
        <v>32.93</v>
      </c>
      <c r="Q945" s="3004">
        <v>941</v>
      </c>
      <c r="R945" s="2999" t="s">
        <v>5544</v>
      </c>
      <c r="S945" s="3000">
        <v>187.56</v>
      </c>
      <c r="T945" s="3000">
        <v>0.99</v>
      </c>
      <c r="U945" s="3000">
        <v>17087</v>
      </c>
      <c r="V945" s="3000">
        <v>320</v>
      </c>
    </row>
    <row r="946" spans="4:22" ht="14.25" thickBot="1">
      <c r="D946" s="2915">
        <v>942</v>
      </c>
      <c r="E946" s="2915"/>
      <c r="F946" s="2914" t="s">
        <v>4053</v>
      </c>
      <c r="G946" s="2915">
        <v>188.42</v>
      </c>
      <c r="H946" s="2915">
        <f t="shared" si="15"/>
        <v>33.08</v>
      </c>
      <c r="Q946" s="3004">
        <v>942</v>
      </c>
      <c r="R946" s="2999" t="s">
        <v>5545</v>
      </c>
      <c r="S946" s="3000">
        <v>188.42</v>
      </c>
      <c r="T946" s="3000">
        <v>0.99</v>
      </c>
      <c r="U946" s="3000">
        <v>17087</v>
      </c>
      <c r="V946" s="3000">
        <v>322</v>
      </c>
    </row>
    <row r="947" spans="4:22" ht="14.25" thickBot="1">
      <c r="D947" s="2915">
        <v>943</v>
      </c>
      <c r="E947" s="2915"/>
      <c r="F947" s="2914" t="s">
        <v>4054</v>
      </c>
      <c r="G947" s="2915">
        <v>188.42</v>
      </c>
      <c r="H947" s="2915">
        <f t="shared" si="15"/>
        <v>33.08</v>
      </c>
      <c r="Q947" s="3004">
        <v>943</v>
      </c>
      <c r="R947" s="2999" t="s">
        <v>5546</v>
      </c>
      <c r="S947" s="3000">
        <v>188.42</v>
      </c>
      <c r="T947" s="3000">
        <v>0.99</v>
      </c>
      <c r="U947" s="3000">
        <v>17087</v>
      </c>
      <c r="V947" s="3000">
        <v>322</v>
      </c>
    </row>
    <row r="948" spans="4:22" ht="14.25" thickBot="1">
      <c r="D948" s="2915">
        <v>944</v>
      </c>
      <c r="E948" s="2915"/>
      <c r="F948" s="2914" t="s">
        <v>4055</v>
      </c>
      <c r="G948" s="2915">
        <v>188.42</v>
      </c>
      <c r="H948" s="2915">
        <f t="shared" si="15"/>
        <v>33.08</v>
      </c>
      <c r="Q948" s="3004">
        <v>944</v>
      </c>
      <c r="R948" s="2999" t="s">
        <v>5547</v>
      </c>
      <c r="S948" s="3000">
        <v>188.42</v>
      </c>
      <c r="T948" s="3000">
        <v>0.99</v>
      </c>
      <c r="U948" s="3000">
        <v>17087</v>
      </c>
      <c r="V948" s="3000">
        <v>322</v>
      </c>
    </row>
    <row r="949" spans="4:22" ht="14.25" thickBot="1">
      <c r="D949" s="2915">
        <v>945</v>
      </c>
      <c r="E949" s="2915"/>
      <c r="F949" s="2914" t="s">
        <v>4056</v>
      </c>
      <c r="G949" s="2915">
        <v>188.42</v>
      </c>
      <c r="H949" s="2915">
        <f t="shared" si="15"/>
        <v>33.08</v>
      </c>
      <c r="Q949" s="3004">
        <v>945</v>
      </c>
      <c r="R949" s="2999" t="s">
        <v>5548</v>
      </c>
      <c r="S949" s="3000">
        <v>188.42</v>
      </c>
      <c r="T949" s="3000">
        <v>0.99</v>
      </c>
      <c r="U949" s="3000">
        <v>17087</v>
      </c>
      <c r="V949" s="3000">
        <v>322</v>
      </c>
    </row>
    <row r="950" spans="4:22" ht="14.25" thickBot="1">
      <c r="D950" s="2915">
        <v>946</v>
      </c>
      <c r="E950" s="2915"/>
      <c r="F950" s="2914" t="s">
        <v>4057</v>
      </c>
      <c r="G950" s="2915">
        <v>188.42</v>
      </c>
      <c r="H950" s="2915">
        <f t="shared" si="15"/>
        <v>33.08</v>
      </c>
      <c r="Q950" s="3004">
        <v>946</v>
      </c>
      <c r="R950" s="2999" t="s">
        <v>5549</v>
      </c>
      <c r="S950" s="3000">
        <v>188.42</v>
      </c>
      <c r="T950" s="3000">
        <v>0.99</v>
      </c>
      <c r="U950" s="3000">
        <v>17087</v>
      </c>
      <c r="V950" s="3000">
        <v>322</v>
      </c>
    </row>
    <row r="951" spans="4:22" ht="14.25" thickBot="1">
      <c r="D951" s="2915">
        <v>947</v>
      </c>
      <c r="E951" s="2915"/>
      <c r="F951" s="2914" t="s">
        <v>4058</v>
      </c>
      <c r="G951" s="2915">
        <v>186.36</v>
      </c>
      <c r="H951" s="2915">
        <f t="shared" si="15"/>
        <v>32.72</v>
      </c>
      <c r="Q951" s="3004">
        <v>947</v>
      </c>
      <c r="R951" s="2999" t="s">
        <v>5550</v>
      </c>
      <c r="S951" s="3000">
        <v>186.36</v>
      </c>
      <c r="T951" s="3000">
        <v>0.99</v>
      </c>
      <c r="U951" s="3000">
        <v>17087</v>
      </c>
      <c r="V951" s="3000">
        <v>318</v>
      </c>
    </row>
    <row r="952" spans="4:22" ht="14.25" thickBot="1">
      <c r="D952" s="2915">
        <v>948</v>
      </c>
      <c r="E952" s="2915"/>
      <c r="F952" s="2914" t="s">
        <v>4059</v>
      </c>
      <c r="G952" s="2915">
        <v>188.36</v>
      </c>
      <c r="H952" s="2915">
        <f t="shared" si="15"/>
        <v>33.07</v>
      </c>
      <c r="Q952" s="3004">
        <v>948</v>
      </c>
      <c r="R952" s="2999" t="s">
        <v>5551</v>
      </c>
      <c r="S952" s="3000">
        <v>188.36</v>
      </c>
      <c r="T952" s="3000">
        <v>0.99</v>
      </c>
      <c r="U952" s="3000">
        <v>17087</v>
      </c>
      <c r="V952" s="3000">
        <v>322</v>
      </c>
    </row>
    <row r="953" spans="4:22" ht="14.25" thickBot="1">
      <c r="D953" s="2915">
        <v>949</v>
      </c>
      <c r="E953" s="2915"/>
      <c r="F953" s="2914" t="s">
        <v>4060</v>
      </c>
      <c r="G953" s="2915">
        <v>175.78</v>
      </c>
      <c r="H953" s="2915">
        <f t="shared" si="15"/>
        <v>30.87</v>
      </c>
      <c r="Q953" s="3004">
        <v>949</v>
      </c>
      <c r="R953" s="2999" t="s">
        <v>5552</v>
      </c>
      <c r="S953" s="3000">
        <v>175.78</v>
      </c>
      <c r="T953" s="3000">
        <v>0.99</v>
      </c>
      <c r="U953" s="3000">
        <v>17087</v>
      </c>
      <c r="V953" s="3000">
        <v>300</v>
      </c>
    </row>
    <row r="954" spans="4:22" ht="14.25" thickBot="1">
      <c r="D954" s="2915">
        <v>950</v>
      </c>
      <c r="E954" s="2915"/>
      <c r="F954" s="2914" t="s">
        <v>4061</v>
      </c>
      <c r="G954" s="2915">
        <v>279.95999999999998</v>
      </c>
      <c r="H954" s="2915">
        <f t="shared" si="15"/>
        <v>49.16</v>
      </c>
      <c r="Q954" s="3004">
        <v>950</v>
      </c>
      <c r="R954" s="2999" t="s">
        <v>5553</v>
      </c>
      <c r="S954" s="3000">
        <v>279.95999999999998</v>
      </c>
      <c r="T954" s="3000">
        <v>0.98</v>
      </c>
      <c r="U954" s="3000">
        <v>16915</v>
      </c>
      <c r="V954" s="3000">
        <v>474</v>
      </c>
    </row>
    <row r="955" spans="4:22" ht="14.25" thickBot="1">
      <c r="D955" s="2915">
        <v>951</v>
      </c>
      <c r="E955" s="2915"/>
      <c r="F955" s="2914" t="s">
        <v>4062</v>
      </c>
      <c r="G955" s="2915">
        <v>188.43</v>
      </c>
      <c r="H955" s="2915">
        <f t="shared" si="15"/>
        <v>33.090000000000003</v>
      </c>
      <c r="Q955" s="3004">
        <v>951</v>
      </c>
      <c r="R955" s="2999" t="s">
        <v>5554</v>
      </c>
      <c r="S955" s="3000">
        <v>188.43</v>
      </c>
      <c r="T955" s="3000">
        <v>0.99</v>
      </c>
      <c r="U955" s="3000">
        <v>17087</v>
      </c>
      <c r="V955" s="3000">
        <v>322</v>
      </c>
    </row>
    <row r="956" spans="4:22" ht="14.25" thickBot="1">
      <c r="D956" s="2915">
        <v>952</v>
      </c>
      <c r="E956" s="2915"/>
      <c r="F956" s="2914" t="s">
        <v>4063</v>
      </c>
      <c r="G956" s="2915">
        <v>188.43</v>
      </c>
      <c r="H956" s="2915">
        <f t="shared" si="15"/>
        <v>33.090000000000003</v>
      </c>
      <c r="Q956" s="3004">
        <v>952</v>
      </c>
      <c r="R956" s="2999" t="s">
        <v>5555</v>
      </c>
      <c r="S956" s="3000">
        <v>188.43</v>
      </c>
      <c r="T956" s="3000">
        <v>0.99</v>
      </c>
      <c r="U956" s="3000">
        <v>17087</v>
      </c>
      <c r="V956" s="3000">
        <v>322</v>
      </c>
    </row>
    <row r="957" spans="4:22" ht="14.25" thickBot="1">
      <c r="D957" s="2915">
        <v>953</v>
      </c>
      <c r="E957" s="2915"/>
      <c r="F957" s="2914" t="s">
        <v>4064</v>
      </c>
      <c r="G957" s="2915">
        <v>188.43</v>
      </c>
      <c r="H957" s="2915">
        <f t="shared" si="15"/>
        <v>33.090000000000003</v>
      </c>
      <c r="Q957" s="3004">
        <v>953</v>
      </c>
      <c r="R957" s="2999" t="s">
        <v>5556</v>
      </c>
      <c r="S957" s="3000">
        <v>188.43</v>
      </c>
      <c r="T957" s="3000">
        <v>0.99</v>
      </c>
      <c r="U957" s="3000">
        <v>17087</v>
      </c>
      <c r="V957" s="3000">
        <v>322</v>
      </c>
    </row>
    <row r="958" spans="4:22" ht="14.25" thickBot="1">
      <c r="D958" s="2915">
        <v>954</v>
      </c>
      <c r="E958" s="2915"/>
      <c r="F958" s="2914" t="s">
        <v>4065</v>
      </c>
      <c r="G958" s="2915">
        <v>188.43</v>
      </c>
      <c r="H958" s="2915">
        <f t="shared" si="15"/>
        <v>33.090000000000003</v>
      </c>
      <c r="Q958" s="3004">
        <v>954</v>
      </c>
      <c r="R958" s="2999" t="s">
        <v>5557</v>
      </c>
      <c r="S958" s="3000">
        <v>188.43</v>
      </c>
      <c r="T958" s="3000">
        <v>0.99</v>
      </c>
      <c r="U958" s="3000">
        <v>17087</v>
      </c>
      <c r="V958" s="3000">
        <v>322</v>
      </c>
    </row>
    <row r="959" spans="4:22" ht="14.25" thickBot="1">
      <c r="D959" s="2915">
        <v>955</v>
      </c>
      <c r="E959" s="2915"/>
      <c r="F959" s="2914" t="s">
        <v>4066</v>
      </c>
      <c r="G959" s="2915">
        <v>188.43</v>
      </c>
      <c r="H959" s="2915">
        <f t="shared" si="15"/>
        <v>33.090000000000003</v>
      </c>
      <c r="Q959" s="3004">
        <v>955</v>
      </c>
      <c r="R959" s="2999" t="s">
        <v>5558</v>
      </c>
      <c r="S959" s="3000">
        <v>188.43</v>
      </c>
      <c r="T959" s="3000">
        <v>0.99</v>
      </c>
      <c r="U959" s="3000">
        <v>17087</v>
      </c>
      <c r="V959" s="3000">
        <v>322</v>
      </c>
    </row>
    <row r="960" spans="4:22" ht="14.25" thickBot="1">
      <c r="D960" s="2915">
        <v>956</v>
      </c>
      <c r="E960" s="2915"/>
      <c r="F960" s="2914" t="s">
        <v>4067</v>
      </c>
      <c r="G960" s="2915">
        <v>188.38</v>
      </c>
      <c r="H960" s="2915">
        <f t="shared" si="15"/>
        <v>33.08</v>
      </c>
      <c r="Q960" s="3004">
        <v>956</v>
      </c>
      <c r="R960" s="2999" t="s">
        <v>5559</v>
      </c>
      <c r="S960" s="3000">
        <v>188.38</v>
      </c>
      <c r="T960" s="3000">
        <v>0.99</v>
      </c>
      <c r="U960" s="3000">
        <v>17087</v>
      </c>
      <c r="V960" s="3000">
        <v>322</v>
      </c>
    </row>
    <row r="961" spans="4:22" ht="14.25" thickBot="1">
      <c r="D961" s="2915">
        <v>957</v>
      </c>
      <c r="E961" s="2915"/>
      <c r="F961" s="2914" t="s">
        <v>4068</v>
      </c>
      <c r="G961" s="2915">
        <v>208.95</v>
      </c>
      <c r="H961" s="2915">
        <f t="shared" si="15"/>
        <v>36.69</v>
      </c>
      <c r="Q961" s="3004">
        <v>957</v>
      </c>
      <c r="R961" s="2999" t="s">
        <v>5560</v>
      </c>
      <c r="S961" s="3000">
        <v>208.95</v>
      </c>
      <c r="T961" s="3000">
        <v>0.98</v>
      </c>
      <c r="U961" s="3000">
        <v>16915</v>
      </c>
      <c r="V961" s="3000">
        <v>353</v>
      </c>
    </row>
    <row r="962" spans="4:22" ht="14.25" thickBot="1">
      <c r="D962" s="2915">
        <v>958</v>
      </c>
      <c r="E962" s="2915"/>
      <c r="F962" s="2914" t="s">
        <v>4069</v>
      </c>
      <c r="G962" s="2915">
        <v>189.85</v>
      </c>
      <c r="H962" s="2915">
        <f t="shared" si="15"/>
        <v>33.340000000000003</v>
      </c>
      <c r="Q962" s="3004">
        <v>958</v>
      </c>
      <c r="R962" s="2999" t="s">
        <v>5561</v>
      </c>
      <c r="S962" s="3000">
        <v>189.85</v>
      </c>
      <c r="T962" s="3000">
        <v>0.99</v>
      </c>
      <c r="U962" s="3000">
        <v>17087</v>
      </c>
      <c r="V962" s="3000">
        <v>324</v>
      </c>
    </row>
    <row r="963" spans="4:22" ht="14.25" thickBot="1">
      <c r="D963" s="2915">
        <v>959</v>
      </c>
      <c r="E963" s="2915"/>
      <c r="F963" s="2914" t="s">
        <v>4070</v>
      </c>
      <c r="G963" s="2915">
        <v>169.23</v>
      </c>
      <c r="H963" s="2915">
        <f t="shared" si="15"/>
        <v>29.72</v>
      </c>
      <c r="Q963" s="3004">
        <v>959</v>
      </c>
      <c r="R963" s="2999" t="s">
        <v>5562</v>
      </c>
      <c r="S963" s="3000">
        <v>169.23</v>
      </c>
      <c r="T963" s="3000">
        <v>0.99</v>
      </c>
      <c r="U963" s="3000">
        <v>17087</v>
      </c>
      <c r="V963" s="3000">
        <v>289</v>
      </c>
    </row>
    <row r="964" spans="4:22" ht="14.25" thickBot="1">
      <c r="D964" s="2915">
        <v>960</v>
      </c>
      <c r="E964" s="2915"/>
      <c r="F964" s="2914" t="s">
        <v>4071</v>
      </c>
      <c r="G964" s="2915">
        <v>55.7</v>
      </c>
      <c r="H964" s="2915">
        <f t="shared" si="15"/>
        <v>9.7799999999999994</v>
      </c>
      <c r="Q964" s="3004">
        <v>960</v>
      </c>
      <c r="R964" s="2999" t="s">
        <v>5563</v>
      </c>
      <c r="S964" s="3000">
        <v>55.7</v>
      </c>
      <c r="T964" s="3000">
        <v>1</v>
      </c>
      <c r="U964" s="3000">
        <v>17260</v>
      </c>
      <c r="V964" s="3000">
        <v>96</v>
      </c>
    </row>
    <row r="965" spans="4:22" ht="14.25" thickBot="1">
      <c r="D965" s="2915">
        <v>961</v>
      </c>
      <c r="E965" s="2915"/>
      <c r="F965" s="2914" t="s">
        <v>4072</v>
      </c>
      <c r="G965" s="2915">
        <v>49.53</v>
      </c>
      <c r="H965" s="2915">
        <f t="shared" si="15"/>
        <v>8.6999999999999993</v>
      </c>
      <c r="Q965" s="3004">
        <v>961</v>
      </c>
      <c r="R965" s="2999" t="s">
        <v>5564</v>
      </c>
      <c r="S965" s="3000">
        <v>49.53</v>
      </c>
      <c r="T965" s="3000">
        <v>1</v>
      </c>
      <c r="U965" s="3000">
        <v>17260</v>
      </c>
      <c r="V965" s="3000">
        <v>85</v>
      </c>
    </row>
    <row r="966" spans="4:22" ht="14.25" thickBot="1">
      <c r="D966" s="2915">
        <v>962</v>
      </c>
      <c r="E966" s="2915"/>
      <c r="F966" s="2914" t="s">
        <v>4073</v>
      </c>
      <c r="G966" s="2915">
        <v>50.63</v>
      </c>
      <c r="H966" s="2915">
        <f t="shared" ref="H966:H1029" si="16">ROUND(G966/$N$7*$M$7,2)</f>
        <v>8.89</v>
      </c>
      <c r="Q966" s="3004">
        <v>962</v>
      </c>
      <c r="R966" s="2999" t="s">
        <v>5565</v>
      </c>
      <c r="S966" s="3000">
        <v>50.63</v>
      </c>
      <c r="T966" s="3000">
        <v>1</v>
      </c>
      <c r="U966" s="3000">
        <v>17260</v>
      </c>
      <c r="V966" s="3000">
        <v>87</v>
      </c>
    </row>
    <row r="967" spans="4:22" ht="14.25" thickBot="1">
      <c r="D967" s="2915">
        <v>963</v>
      </c>
      <c r="E967" s="2915"/>
      <c r="F967" s="2914" t="s">
        <v>4074</v>
      </c>
      <c r="G967" s="2915">
        <v>50.63</v>
      </c>
      <c r="H967" s="2915">
        <f t="shared" si="16"/>
        <v>8.89</v>
      </c>
      <c r="Q967" s="3004">
        <v>963</v>
      </c>
      <c r="R967" s="2999" t="s">
        <v>5566</v>
      </c>
      <c r="S967" s="3000">
        <v>50.63</v>
      </c>
      <c r="T967" s="3000">
        <v>1</v>
      </c>
      <c r="U967" s="3000">
        <v>17260</v>
      </c>
      <c r="V967" s="3000">
        <v>87</v>
      </c>
    </row>
    <row r="968" spans="4:22" ht="14.25" thickBot="1">
      <c r="D968" s="2915">
        <v>964</v>
      </c>
      <c r="E968" s="2915"/>
      <c r="F968" s="2914" t="s">
        <v>4075</v>
      </c>
      <c r="G968" s="2915">
        <v>50.63</v>
      </c>
      <c r="H968" s="2915">
        <f t="shared" si="16"/>
        <v>8.89</v>
      </c>
      <c r="Q968" s="3004">
        <v>964</v>
      </c>
      <c r="R968" s="2999" t="s">
        <v>5567</v>
      </c>
      <c r="S968" s="3000">
        <v>50.63</v>
      </c>
      <c r="T968" s="3000">
        <v>1</v>
      </c>
      <c r="U968" s="3000">
        <v>17260</v>
      </c>
      <c r="V968" s="3000">
        <v>87</v>
      </c>
    </row>
    <row r="969" spans="4:22" ht="14.25" thickBot="1">
      <c r="D969" s="2915">
        <v>965</v>
      </c>
      <c r="E969" s="2915"/>
      <c r="F969" s="2914" t="s">
        <v>4076</v>
      </c>
      <c r="G969" s="2915">
        <v>50.63</v>
      </c>
      <c r="H969" s="2915">
        <f t="shared" si="16"/>
        <v>8.89</v>
      </c>
      <c r="Q969" s="3004">
        <v>965</v>
      </c>
      <c r="R969" s="2999" t="s">
        <v>5568</v>
      </c>
      <c r="S969" s="3000">
        <v>50.63</v>
      </c>
      <c r="T969" s="3000">
        <v>1</v>
      </c>
      <c r="U969" s="3000">
        <v>17260</v>
      </c>
      <c r="V969" s="3000">
        <v>87</v>
      </c>
    </row>
    <row r="970" spans="4:22" ht="14.25" thickBot="1">
      <c r="D970" s="2915">
        <v>966</v>
      </c>
      <c r="E970" s="2915"/>
      <c r="F970" s="2914" t="s">
        <v>4077</v>
      </c>
      <c r="G970" s="2915">
        <v>50.63</v>
      </c>
      <c r="H970" s="2915">
        <f t="shared" si="16"/>
        <v>8.89</v>
      </c>
      <c r="Q970" s="3004">
        <v>966</v>
      </c>
      <c r="R970" s="2999" t="s">
        <v>5569</v>
      </c>
      <c r="S970" s="3000">
        <v>50.63</v>
      </c>
      <c r="T970" s="3000">
        <v>1</v>
      </c>
      <c r="U970" s="3000">
        <v>17260</v>
      </c>
      <c r="V970" s="3000">
        <v>87</v>
      </c>
    </row>
    <row r="971" spans="4:22" ht="14.25" thickBot="1">
      <c r="D971" s="2915">
        <v>967</v>
      </c>
      <c r="E971" s="2915"/>
      <c r="F971" s="2914" t="s">
        <v>4078</v>
      </c>
      <c r="G971" s="2915">
        <v>50.63</v>
      </c>
      <c r="H971" s="2915">
        <f t="shared" si="16"/>
        <v>8.89</v>
      </c>
      <c r="Q971" s="3004">
        <v>967</v>
      </c>
      <c r="R971" s="2999" t="s">
        <v>5570</v>
      </c>
      <c r="S971" s="3000">
        <v>50.63</v>
      </c>
      <c r="T971" s="3000">
        <v>1</v>
      </c>
      <c r="U971" s="3000">
        <v>17260</v>
      </c>
      <c r="V971" s="3000">
        <v>87</v>
      </c>
    </row>
    <row r="972" spans="4:22" ht="14.25" thickBot="1">
      <c r="D972" s="2915">
        <v>968</v>
      </c>
      <c r="E972" s="2915"/>
      <c r="F972" s="2914" t="s">
        <v>4079</v>
      </c>
      <c r="G972" s="2915">
        <v>50.63</v>
      </c>
      <c r="H972" s="2915">
        <f t="shared" si="16"/>
        <v>8.89</v>
      </c>
      <c r="Q972" s="3004">
        <v>968</v>
      </c>
      <c r="R972" s="2999" t="s">
        <v>5571</v>
      </c>
      <c r="S972" s="3000">
        <v>50.63</v>
      </c>
      <c r="T972" s="3000">
        <v>1</v>
      </c>
      <c r="U972" s="3000">
        <v>17260</v>
      </c>
      <c r="V972" s="3000">
        <v>87</v>
      </c>
    </row>
    <row r="973" spans="4:22" ht="14.25" thickBot="1">
      <c r="D973" s="2915">
        <v>969</v>
      </c>
      <c r="E973" s="2915"/>
      <c r="F973" s="2914" t="s">
        <v>4080</v>
      </c>
      <c r="G973" s="2915">
        <v>50.63</v>
      </c>
      <c r="H973" s="2915">
        <f t="shared" si="16"/>
        <v>8.89</v>
      </c>
      <c r="Q973" s="3004">
        <v>969</v>
      </c>
      <c r="R973" s="2999" t="s">
        <v>5572</v>
      </c>
      <c r="S973" s="3000">
        <v>50.63</v>
      </c>
      <c r="T973" s="3000">
        <v>1</v>
      </c>
      <c r="U973" s="3000">
        <v>17260</v>
      </c>
      <c r="V973" s="3000">
        <v>87</v>
      </c>
    </row>
    <row r="974" spans="4:22" ht="14.25" thickBot="1">
      <c r="D974" s="2915">
        <v>970</v>
      </c>
      <c r="E974" s="2915"/>
      <c r="F974" s="2914" t="s">
        <v>4081</v>
      </c>
      <c r="G974" s="2915">
        <v>50.63</v>
      </c>
      <c r="H974" s="2915">
        <f t="shared" si="16"/>
        <v>8.89</v>
      </c>
      <c r="Q974" s="3004">
        <v>970</v>
      </c>
      <c r="R974" s="2999" t="s">
        <v>5573</v>
      </c>
      <c r="S974" s="3000">
        <v>50.63</v>
      </c>
      <c r="T974" s="3000">
        <v>1</v>
      </c>
      <c r="U974" s="3000">
        <v>17260</v>
      </c>
      <c r="V974" s="3000">
        <v>87</v>
      </c>
    </row>
    <row r="975" spans="4:22" ht="14.25" thickBot="1">
      <c r="D975" s="2915">
        <v>971</v>
      </c>
      <c r="E975" s="2915"/>
      <c r="F975" s="2914" t="s">
        <v>4082</v>
      </c>
      <c r="G975" s="2915">
        <v>50.63</v>
      </c>
      <c r="H975" s="2915">
        <f t="shared" si="16"/>
        <v>8.89</v>
      </c>
      <c r="Q975" s="3004">
        <v>971</v>
      </c>
      <c r="R975" s="2999" t="s">
        <v>5574</v>
      </c>
      <c r="S975" s="3000">
        <v>50.63</v>
      </c>
      <c r="T975" s="3000">
        <v>1</v>
      </c>
      <c r="U975" s="3000">
        <v>17260</v>
      </c>
      <c r="V975" s="3000">
        <v>87</v>
      </c>
    </row>
    <row r="976" spans="4:22" ht="14.25" thickBot="1">
      <c r="D976" s="2915">
        <v>972</v>
      </c>
      <c r="E976" s="2915"/>
      <c r="F976" s="2914" t="s">
        <v>4083</v>
      </c>
      <c r="G976" s="2915">
        <v>49.61</v>
      </c>
      <c r="H976" s="2915">
        <f t="shared" si="16"/>
        <v>8.7100000000000009</v>
      </c>
      <c r="Q976" s="3004">
        <v>972</v>
      </c>
      <c r="R976" s="2999" t="s">
        <v>5575</v>
      </c>
      <c r="S976" s="3000">
        <v>49.61</v>
      </c>
      <c r="T976" s="3000">
        <v>1</v>
      </c>
      <c r="U976" s="3000">
        <v>17260</v>
      </c>
      <c r="V976" s="3000">
        <v>86</v>
      </c>
    </row>
    <row r="977" spans="4:22" ht="14.25" thickBot="1">
      <c r="D977" s="2915">
        <v>973</v>
      </c>
      <c r="E977" s="2915"/>
      <c r="F977" s="2914" t="s">
        <v>4084</v>
      </c>
      <c r="G977" s="2915">
        <v>46.31</v>
      </c>
      <c r="H977" s="2915">
        <f t="shared" si="16"/>
        <v>8.1300000000000008</v>
      </c>
      <c r="Q977" s="3004">
        <v>973</v>
      </c>
      <c r="R977" s="2999" t="s">
        <v>5576</v>
      </c>
      <c r="S977" s="3000">
        <v>46.31</v>
      </c>
      <c r="T977" s="3000">
        <v>1</v>
      </c>
      <c r="U977" s="3000">
        <v>17260</v>
      </c>
      <c r="V977" s="3000">
        <v>80</v>
      </c>
    </row>
    <row r="978" spans="4:22" ht="14.25" thickBot="1">
      <c r="D978" s="2915">
        <v>974</v>
      </c>
      <c r="E978" s="2915"/>
      <c r="F978" s="2914" t="s">
        <v>4085</v>
      </c>
      <c r="G978" s="2915">
        <v>50.63</v>
      </c>
      <c r="H978" s="2915">
        <f t="shared" si="16"/>
        <v>8.89</v>
      </c>
      <c r="Q978" s="3004">
        <v>974</v>
      </c>
      <c r="R978" s="2999" t="s">
        <v>5577</v>
      </c>
      <c r="S978" s="3000">
        <v>50.63</v>
      </c>
      <c r="T978" s="3000">
        <v>1</v>
      </c>
      <c r="U978" s="3000">
        <v>17260</v>
      </c>
      <c r="V978" s="3000">
        <v>87</v>
      </c>
    </row>
    <row r="979" spans="4:22" ht="14.25" thickBot="1">
      <c r="D979" s="2915">
        <v>975</v>
      </c>
      <c r="E979" s="2915"/>
      <c r="F979" s="2914" t="s">
        <v>4086</v>
      </c>
      <c r="G979" s="2915">
        <v>50.63</v>
      </c>
      <c r="H979" s="2915">
        <f t="shared" si="16"/>
        <v>8.89</v>
      </c>
      <c r="Q979" s="3004">
        <v>975</v>
      </c>
      <c r="R979" s="2999" t="s">
        <v>5578</v>
      </c>
      <c r="S979" s="3000">
        <v>50.63</v>
      </c>
      <c r="T979" s="3000">
        <v>1</v>
      </c>
      <c r="U979" s="3000">
        <v>17260</v>
      </c>
      <c r="V979" s="3000">
        <v>87</v>
      </c>
    </row>
    <row r="980" spans="4:22" ht="14.25" thickBot="1">
      <c r="D980" s="2915">
        <v>976</v>
      </c>
      <c r="E980" s="2915"/>
      <c r="F980" s="2914" t="s">
        <v>4087</v>
      </c>
      <c r="G980" s="2915">
        <v>62.54</v>
      </c>
      <c r="H980" s="2915">
        <f t="shared" si="16"/>
        <v>10.98</v>
      </c>
      <c r="Q980" s="3004">
        <v>976</v>
      </c>
      <c r="R980" s="2999" t="s">
        <v>5579</v>
      </c>
      <c r="S980" s="3000">
        <v>62.54</v>
      </c>
      <c r="T980" s="3000">
        <v>1</v>
      </c>
      <c r="U980" s="3000">
        <v>17260</v>
      </c>
      <c r="V980" s="3000">
        <v>108</v>
      </c>
    </row>
    <row r="981" spans="4:22" ht="14.25" thickBot="1">
      <c r="D981" s="2915">
        <v>977</v>
      </c>
      <c r="E981" s="2915"/>
      <c r="F981" s="2914" t="s">
        <v>4088</v>
      </c>
      <c r="G981" s="2915">
        <v>62.56</v>
      </c>
      <c r="H981" s="2915">
        <f t="shared" si="16"/>
        <v>10.99</v>
      </c>
      <c r="Q981" s="3004">
        <v>977</v>
      </c>
      <c r="R981" s="2999" t="s">
        <v>5580</v>
      </c>
      <c r="S981" s="3000">
        <v>62.56</v>
      </c>
      <c r="T981" s="3000">
        <v>1</v>
      </c>
      <c r="U981" s="3000">
        <v>17260</v>
      </c>
      <c r="V981" s="3000">
        <v>108</v>
      </c>
    </row>
    <row r="982" spans="4:22" ht="14.25" thickBot="1">
      <c r="D982" s="2915">
        <v>978</v>
      </c>
      <c r="E982" s="2915"/>
      <c r="F982" s="2914" t="s">
        <v>4089</v>
      </c>
      <c r="G982" s="2915">
        <v>62.56</v>
      </c>
      <c r="H982" s="2915">
        <f t="shared" si="16"/>
        <v>10.99</v>
      </c>
      <c r="Q982" s="3004">
        <v>978</v>
      </c>
      <c r="R982" s="2999" t="s">
        <v>5581</v>
      </c>
      <c r="S982" s="3000">
        <v>62.56</v>
      </c>
      <c r="T982" s="3000">
        <v>1</v>
      </c>
      <c r="U982" s="3000">
        <v>17260</v>
      </c>
      <c r="V982" s="3000">
        <v>108</v>
      </c>
    </row>
    <row r="983" spans="4:22" ht="14.25" thickBot="1">
      <c r="D983" s="2915">
        <v>979</v>
      </c>
      <c r="E983" s="2915"/>
      <c r="F983" s="2914" t="s">
        <v>4090</v>
      </c>
      <c r="G983" s="2915">
        <v>62.54</v>
      </c>
      <c r="H983" s="2915">
        <f t="shared" si="16"/>
        <v>10.98</v>
      </c>
      <c r="Q983" s="3004">
        <v>979</v>
      </c>
      <c r="R983" s="2999" t="s">
        <v>5582</v>
      </c>
      <c r="S983" s="3000">
        <v>62.54</v>
      </c>
      <c r="T983" s="3000">
        <v>1</v>
      </c>
      <c r="U983" s="3000">
        <v>17260</v>
      </c>
      <c r="V983" s="3000">
        <v>108</v>
      </c>
    </row>
    <row r="984" spans="4:22" ht="14.25" thickBot="1">
      <c r="D984" s="2915">
        <v>980</v>
      </c>
      <c r="E984" s="2915"/>
      <c r="F984" s="2914" t="s">
        <v>4091</v>
      </c>
      <c r="G984" s="2915">
        <v>50.63</v>
      </c>
      <c r="H984" s="2915">
        <f t="shared" si="16"/>
        <v>8.89</v>
      </c>
      <c r="Q984" s="3004">
        <v>980</v>
      </c>
      <c r="R984" s="2999" t="s">
        <v>5583</v>
      </c>
      <c r="S984" s="3000">
        <v>50.63</v>
      </c>
      <c r="T984" s="3000">
        <v>1</v>
      </c>
      <c r="U984" s="3000">
        <v>17260</v>
      </c>
      <c r="V984" s="3000">
        <v>87</v>
      </c>
    </row>
    <row r="985" spans="4:22" ht="14.25" thickBot="1">
      <c r="D985" s="2915">
        <v>981</v>
      </c>
      <c r="E985" s="2915"/>
      <c r="F985" s="2914" t="s">
        <v>4092</v>
      </c>
      <c r="G985" s="2915">
        <v>50.63</v>
      </c>
      <c r="H985" s="2915">
        <f t="shared" si="16"/>
        <v>8.89</v>
      </c>
      <c r="Q985" s="3004">
        <v>981</v>
      </c>
      <c r="R985" s="2999" t="s">
        <v>5584</v>
      </c>
      <c r="S985" s="3000">
        <v>50.63</v>
      </c>
      <c r="T985" s="3000">
        <v>1</v>
      </c>
      <c r="U985" s="3000">
        <v>17260</v>
      </c>
      <c r="V985" s="3000">
        <v>87</v>
      </c>
    </row>
    <row r="986" spans="4:22" ht="14.25" thickBot="1">
      <c r="D986" s="2915">
        <v>982</v>
      </c>
      <c r="E986" s="2915"/>
      <c r="F986" s="2914" t="s">
        <v>4093</v>
      </c>
      <c r="G986" s="2915">
        <v>50.63</v>
      </c>
      <c r="H986" s="2915">
        <f t="shared" si="16"/>
        <v>8.89</v>
      </c>
      <c r="Q986" s="3004">
        <v>982</v>
      </c>
      <c r="R986" s="2999" t="s">
        <v>5585</v>
      </c>
      <c r="S986" s="3000">
        <v>50.63</v>
      </c>
      <c r="T986" s="3000">
        <v>1</v>
      </c>
      <c r="U986" s="3000">
        <v>17260</v>
      </c>
      <c r="V986" s="3000">
        <v>87</v>
      </c>
    </row>
    <row r="987" spans="4:22" ht="14.25" thickBot="1">
      <c r="D987" s="2915">
        <v>983</v>
      </c>
      <c r="E987" s="2915"/>
      <c r="F987" s="2914" t="s">
        <v>4094</v>
      </c>
      <c r="G987" s="2915">
        <v>50.63</v>
      </c>
      <c r="H987" s="2915">
        <f t="shared" si="16"/>
        <v>8.89</v>
      </c>
      <c r="Q987" s="3004">
        <v>983</v>
      </c>
      <c r="R987" s="2999" t="s">
        <v>5586</v>
      </c>
      <c r="S987" s="3000">
        <v>50.63</v>
      </c>
      <c r="T987" s="3000">
        <v>1</v>
      </c>
      <c r="U987" s="3000">
        <v>17260</v>
      </c>
      <c r="V987" s="3000">
        <v>87</v>
      </c>
    </row>
    <row r="988" spans="4:22" ht="14.25" thickBot="1">
      <c r="D988" s="2915">
        <v>984</v>
      </c>
      <c r="E988" s="2915"/>
      <c r="F988" s="2914" t="s">
        <v>4095</v>
      </c>
      <c r="G988" s="2915">
        <v>50.63</v>
      </c>
      <c r="H988" s="2915">
        <f t="shared" si="16"/>
        <v>8.89</v>
      </c>
      <c r="Q988" s="3004">
        <v>984</v>
      </c>
      <c r="R988" s="2999" t="s">
        <v>5587</v>
      </c>
      <c r="S988" s="3000">
        <v>50.63</v>
      </c>
      <c r="T988" s="3000">
        <v>1</v>
      </c>
      <c r="U988" s="3000">
        <v>17260</v>
      </c>
      <c r="V988" s="3000">
        <v>87</v>
      </c>
    </row>
    <row r="989" spans="4:22" ht="14.25" thickBot="1">
      <c r="D989" s="2915">
        <v>985</v>
      </c>
      <c r="E989" s="2915"/>
      <c r="F989" s="2914" t="s">
        <v>4096</v>
      </c>
      <c r="G989" s="2915">
        <v>50.63</v>
      </c>
      <c r="H989" s="2915">
        <f t="shared" si="16"/>
        <v>8.89</v>
      </c>
      <c r="Q989" s="3004">
        <v>985</v>
      </c>
      <c r="R989" s="2999" t="s">
        <v>5588</v>
      </c>
      <c r="S989" s="3000">
        <v>50.63</v>
      </c>
      <c r="T989" s="3000">
        <v>1</v>
      </c>
      <c r="U989" s="3000">
        <v>17260</v>
      </c>
      <c r="V989" s="3000">
        <v>87</v>
      </c>
    </row>
    <row r="990" spans="4:22" ht="14.25" thickBot="1">
      <c r="D990" s="2915">
        <v>986</v>
      </c>
      <c r="E990" s="2915"/>
      <c r="F990" s="2914" t="s">
        <v>4097</v>
      </c>
      <c r="G990" s="2915">
        <v>50.63</v>
      </c>
      <c r="H990" s="2915">
        <f t="shared" si="16"/>
        <v>8.89</v>
      </c>
      <c r="Q990" s="3004">
        <v>986</v>
      </c>
      <c r="R990" s="2999" t="s">
        <v>5589</v>
      </c>
      <c r="S990" s="3000">
        <v>50.63</v>
      </c>
      <c r="T990" s="3000">
        <v>1</v>
      </c>
      <c r="U990" s="3000">
        <v>17260</v>
      </c>
      <c r="V990" s="3000">
        <v>87</v>
      </c>
    </row>
    <row r="991" spans="4:22" ht="14.25" thickBot="1">
      <c r="D991" s="2915">
        <v>987</v>
      </c>
      <c r="E991" s="2915"/>
      <c r="F991" s="2914" t="s">
        <v>4098</v>
      </c>
      <c r="G991" s="2915">
        <v>50.63</v>
      </c>
      <c r="H991" s="2915">
        <f t="shared" si="16"/>
        <v>8.89</v>
      </c>
      <c r="Q991" s="3004">
        <v>987</v>
      </c>
      <c r="R991" s="2999" t="s">
        <v>5590</v>
      </c>
      <c r="S991" s="3000">
        <v>50.63</v>
      </c>
      <c r="T991" s="3000">
        <v>1</v>
      </c>
      <c r="U991" s="3000">
        <v>17260</v>
      </c>
      <c r="V991" s="3000">
        <v>87</v>
      </c>
    </row>
    <row r="992" spans="4:22" ht="14.25" thickBot="1">
      <c r="D992" s="2915">
        <v>988</v>
      </c>
      <c r="E992" s="2915"/>
      <c r="F992" s="2914" t="s">
        <v>4099</v>
      </c>
      <c r="G992" s="2915">
        <v>50.63</v>
      </c>
      <c r="H992" s="2915">
        <f t="shared" si="16"/>
        <v>8.89</v>
      </c>
      <c r="Q992" s="3004">
        <v>988</v>
      </c>
      <c r="R992" s="2999" t="s">
        <v>5591</v>
      </c>
      <c r="S992" s="3000">
        <v>50.63</v>
      </c>
      <c r="T992" s="3000">
        <v>1</v>
      </c>
      <c r="U992" s="3000">
        <v>17260</v>
      </c>
      <c r="V992" s="3000">
        <v>87</v>
      </c>
    </row>
    <row r="993" spans="4:22" ht="14.25" thickBot="1">
      <c r="D993" s="2915">
        <v>989</v>
      </c>
      <c r="E993" s="2915"/>
      <c r="F993" s="2914" t="s">
        <v>4100</v>
      </c>
      <c r="G993" s="2915">
        <v>50.63</v>
      </c>
      <c r="H993" s="2915">
        <f t="shared" si="16"/>
        <v>8.89</v>
      </c>
      <c r="Q993" s="3004">
        <v>989</v>
      </c>
      <c r="R993" s="2999" t="s">
        <v>5592</v>
      </c>
      <c r="S993" s="3000">
        <v>50.63</v>
      </c>
      <c r="T993" s="3000">
        <v>1</v>
      </c>
      <c r="U993" s="3000">
        <v>17260</v>
      </c>
      <c r="V993" s="3000">
        <v>87</v>
      </c>
    </row>
    <row r="994" spans="4:22" ht="14.25" thickBot="1">
      <c r="D994" s="2915">
        <v>990</v>
      </c>
      <c r="E994" s="2915"/>
      <c r="F994" s="2914" t="s">
        <v>4101</v>
      </c>
      <c r="G994" s="2915">
        <v>50.63</v>
      </c>
      <c r="H994" s="2915">
        <f t="shared" si="16"/>
        <v>8.89</v>
      </c>
      <c r="Q994" s="3004">
        <v>990</v>
      </c>
      <c r="R994" s="2999" t="s">
        <v>5593</v>
      </c>
      <c r="S994" s="3000">
        <v>50.63</v>
      </c>
      <c r="T994" s="3000">
        <v>1</v>
      </c>
      <c r="U994" s="3000">
        <v>17260</v>
      </c>
      <c r="V994" s="3000">
        <v>87</v>
      </c>
    </row>
    <row r="995" spans="4:22" ht="14.25" thickBot="1">
      <c r="D995" s="2915">
        <v>991</v>
      </c>
      <c r="E995" s="2915"/>
      <c r="F995" s="2914" t="s">
        <v>4102</v>
      </c>
      <c r="G995" s="2915">
        <v>50.63</v>
      </c>
      <c r="H995" s="2915">
        <f t="shared" si="16"/>
        <v>8.89</v>
      </c>
      <c r="Q995" s="3004">
        <v>991</v>
      </c>
      <c r="R995" s="2999" t="s">
        <v>5594</v>
      </c>
      <c r="S995" s="3000">
        <v>50.63</v>
      </c>
      <c r="T995" s="3000">
        <v>1</v>
      </c>
      <c r="U995" s="3000">
        <v>17260</v>
      </c>
      <c r="V995" s="3000">
        <v>87</v>
      </c>
    </row>
    <row r="996" spans="4:22" ht="14.25" thickBot="1">
      <c r="D996" s="2915">
        <v>992</v>
      </c>
      <c r="E996" s="2915"/>
      <c r="F996" s="2914" t="s">
        <v>4103</v>
      </c>
      <c r="G996" s="2915">
        <v>50.38</v>
      </c>
      <c r="H996" s="2915">
        <f t="shared" si="16"/>
        <v>8.85</v>
      </c>
      <c r="Q996" s="3004">
        <v>992</v>
      </c>
      <c r="R996" s="2999" t="s">
        <v>5595</v>
      </c>
      <c r="S996" s="3000">
        <v>50.38</v>
      </c>
      <c r="T996" s="3000">
        <v>1</v>
      </c>
      <c r="U996" s="3000">
        <v>17260</v>
      </c>
      <c r="V996" s="3000">
        <v>87</v>
      </c>
    </row>
    <row r="997" spans="4:22" ht="14.25" thickBot="1">
      <c r="D997" s="2915">
        <v>993</v>
      </c>
      <c r="E997" s="2915"/>
      <c r="F997" s="2914" t="s">
        <v>4104</v>
      </c>
      <c r="G997" s="2915">
        <v>51.12</v>
      </c>
      <c r="H997" s="2915">
        <f t="shared" si="16"/>
        <v>8.98</v>
      </c>
      <c r="Q997" s="3004">
        <v>993</v>
      </c>
      <c r="R997" s="2999" t="s">
        <v>5596</v>
      </c>
      <c r="S997" s="3000">
        <v>51.12</v>
      </c>
      <c r="T997" s="3000">
        <v>1</v>
      </c>
      <c r="U997" s="3000">
        <v>17260</v>
      </c>
      <c r="V997" s="3000">
        <v>88</v>
      </c>
    </row>
    <row r="998" spans="4:22" ht="14.25" thickBot="1">
      <c r="D998" s="2915">
        <v>994</v>
      </c>
      <c r="E998" s="2915"/>
      <c r="F998" s="2914" t="s">
        <v>4105</v>
      </c>
      <c r="G998" s="2915">
        <v>68.760000000000005</v>
      </c>
      <c r="H998" s="2915">
        <f t="shared" si="16"/>
        <v>12.07</v>
      </c>
      <c r="Q998" s="3004">
        <v>994</v>
      </c>
      <c r="R998" s="2999" t="s">
        <v>5597</v>
      </c>
      <c r="S998" s="3000">
        <v>68.760000000000005</v>
      </c>
      <c r="T998" s="3000">
        <v>1</v>
      </c>
      <c r="U998" s="3000">
        <v>17260</v>
      </c>
      <c r="V998" s="3000">
        <v>119</v>
      </c>
    </row>
    <row r="999" spans="4:22" ht="14.25" thickBot="1">
      <c r="D999" s="2915">
        <v>995</v>
      </c>
      <c r="E999" s="2915"/>
      <c r="F999" s="2914" t="s">
        <v>4106</v>
      </c>
      <c r="G999" s="2915">
        <v>69.319999999999993</v>
      </c>
      <c r="H999" s="2915">
        <f t="shared" si="16"/>
        <v>12.17</v>
      </c>
      <c r="Q999" s="3004">
        <v>995</v>
      </c>
      <c r="R999" s="2999" t="s">
        <v>5598</v>
      </c>
      <c r="S999" s="3000">
        <v>69.319999999999993</v>
      </c>
      <c r="T999" s="3000">
        <v>1</v>
      </c>
      <c r="U999" s="3000">
        <v>17260</v>
      </c>
      <c r="V999" s="3000">
        <v>120</v>
      </c>
    </row>
    <row r="1000" spans="4:22" ht="14.25" thickBot="1">
      <c r="D1000" s="2915">
        <v>996</v>
      </c>
      <c r="E1000" s="2915"/>
      <c r="F1000" s="2914" t="s">
        <v>4107</v>
      </c>
      <c r="G1000" s="2915">
        <v>61.41</v>
      </c>
      <c r="H1000" s="2915">
        <f t="shared" si="16"/>
        <v>10.78</v>
      </c>
      <c r="Q1000" s="3004">
        <v>996</v>
      </c>
      <c r="R1000" s="2999" t="s">
        <v>5599</v>
      </c>
      <c r="S1000" s="3000">
        <v>61.41</v>
      </c>
      <c r="T1000" s="3000">
        <v>1</v>
      </c>
      <c r="U1000" s="3000">
        <v>17260</v>
      </c>
      <c r="V1000" s="3000">
        <v>106</v>
      </c>
    </row>
    <row r="1001" spans="4:22" ht="14.25" thickBot="1">
      <c r="D1001" s="2915">
        <v>997</v>
      </c>
      <c r="E1001" s="2915"/>
      <c r="F1001" s="2914" t="s">
        <v>4108</v>
      </c>
      <c r="G1001" s="2915">
        <v>61.41</v>
      </c>
      <c r="H1001" s="2915">
        <f t="shared" si="16"/>
        <v>10.78</v>
      </c>
      <c r="Q1001" s="3004">
        <v>997</v>
      </c>
      <c r="R1001" s="2999" t="s">
        <v>5600</v>
      </c>
      <c r="S1001" s="3000">
        <v>61.41</v>
      </c>
      <c r="T1001" s="3000">
        <v>1</v>
      </c>
      <c r="U1001" s="3000">
        <v>17260</v>
      </c>
      <c r="V1001" s="3000">
        <v>106</v>
      </c>
    </row>
    <row r="1002" spans="4:22" ht="14.25" thickBot="1">
      <c r="D1002" s="2915">
        <v>998</v>
      </c>
      <c r="E1002" s="2915"/>
      <c r="F1002" s="2914" t="s">
        <v>4109</v>
      </c>
      <c r="G1002" s="2915">
        <v>61.41</v>
      </c>
      <c r="H1002" s="2915">
        <f t="shared" si="16"/>
        <v>10.78</v>
      </c>
      <c r="Q1002" s="3004">
        <v>998</v>
      </c>
      <c r="R1002" s="2999" t="s">
        <v>5601</v>
      </c>
      <c r="S1002" s="3000">
        <v>61.41</v>
      </c>
      <c r="T1002" s="3000">
        <v>1</v>
      </c>
      <c r="U1002" s="3000">
        <v>17260</v>
      </c>
      <c r="V1002" s="3000">
        <v>106</v>
      </c>
    </row>
    <row r="1003" spans="4:22" ht="14.25" thickBot="1">
      <c r="D1003" s="2915">
        <v>999</v>
      </c>
      <c r="E1003" s="2915"/>
      <c r="F1003" s="2914" t="s">
        <v>4110</v>
      </c>
      <c r="G1003" s="2915">
        <v>61.41</v>
      </c>
      <c r="H1003" s="2915">
        <f t="shared" si="16"/>
        <v>10.78</v>
      </c>
      <c r="Q1003" s="3004">
        <v>999</v>
      </c>
      <c r="R1003" s="2999" t="s">
        <v>5602</v>
      </c>
      <c r="S1003" s="3000">
        <v>61.41</v>
      </c>
      <c r="T1003" s="3000">
        <v>1</v>
      </c>
      <c r="U1003" s="3000">
        <v>17260</v>
      </c>
      <c r="V1003" s="3000">
        <v>106</v>
      </c>
    </row>
    <row r="1004" spans="4:22" ht="14.25" thickBot="1">
      <c r="D1004" s="2915">
        <v>1000</v>
      </c>
      <c r="E1004" s="2915"/>
      <c r="F1004" s="2914" t="s">
        <v>4111</v>
      </c>
      <c r="G1004" s="2915">
        <v>61.41</v>
      </c>
      <c r="H1004" s="2915">
        <f t="shared" si="16"/>
        <v>10.78</v>
      </c>
      <c r="Q1004" s="3004">
        <v>1000</v>
      </c>
      <c r="R1004" s="2999" t="s">
        <v>5603</v>
      </c>
      <c r="S1004" s="3000">
        <v>61.41</v>
      </c>
      <c r="T1004" s="3000">
        <v>1</v>
      </c>
      <c r="U1004" s="3000">
        <v>17260</v>
      </c>
      <c r="V1004" s="3000">
        <v>106</v>
      </c>
    </row>
    <row r="1005" spans="4:22" ht="14.25" thickBot="1">
      <c r="D1005" s="2915">
        <v>1001</v>
      </c>
      <c r="E1005" s="2915"/>
      <c r="F1005" s="2914" t="s">
        <v>4112</v>
      </c>
      <c r="G1005" s="2915">
        <v>72.87</v>
      </c>
      <c r="H1005" s="2915">
        <f t="shared" si="16"/>
        <v>12.8</v>
      </c>
      <c r="Q1005" s="3004">
        <v>1001</v>
      </c>
      <c r="R1005" s="2999" t="s">
        <v>5604</v>
      </c>
      <c r="S1005" s="3000">
        <v>72.87</v>
      </c>
      <c r="T1005" s="3000">
        <v>1</v>
      </c>
      <c r="U1005" s="3000">
        <v>17260</v>
      </c>
      <c r="V1005" s="3000">
        <v>126</v>
      </c>
    </row>
    <row r="1006" spans="4:22" ht="14.25" thickBot="1">
      <c r="D1006" s="2915">
        <v>1002</v>
      </c>
      <c r="E1006" s="2915"/>
      <c r="F1006" s="2914" t="s">
        <v>4113</v>
      </c>
      <c r="G1006" s="2915">
        <v>81.069999999999993</v>
      </c>
      <c r="H1006" s="2915">
        <f t="shared" si="16"/>
        <v>14.24</v>
      </c>
      <c r="Q1006" s="3004">
        <v>1002</v>
      </c>
      <c r="R1006" s="2999" t="s">
        <v>5605</v>
      </c>
      <c r="S1006" s="3000">
        <v>81.069999999999993</v>
      </c>
      <c r="T1006" s="3000">
        <v>1</v>
      </c>
      <c r="U1006" s="3000">
        <v>17260</v>
      </c>
      <c r="V1006" s="3000">
        <v>140</v>
      </c>
    </row>
    <row r="1007" spans="4:22" ht="14.25" thickBot="1">
      <c r="D1007" s="2915">
        <v>1003</v>
      </c>
      <c r="E1007" s="2915"/>
      <c r="F1007" s="2914" t="s">
        <v>4114</v>
      </c>
      <c r="G1007" s="2915">
        <v>61.41</v>
      </c>
      <c r="H1007" s="2915">
        <f t="shared" si="16"/>
        <v>10.78</v>
      </c>
      <c r="Q1007" s="3004">
        <v>1003</v>
      </c>
      <c r="R1007" s="2999" t="s">
        <v>5606</v>
      </c>
      <c r="S1007" s="3000">
        <v>61.41</v>
      </c>
      <c r="T1007" s="3000">
        <v>1</v>
      </c>
      <c r="U1007" s="3000">
        <v>17260</v>
      </c>
      <c r="V1007" s="3000">
        <v>106</v>
      </c>
    </row>
    <row r="1008" spans="4:22" ht="14.25" thickBot="1">
      <c r="D1008" s="2915">
        <v>1004</v>
      </c>
      <c r="E1008" s="2915"/>
      <c r="F1008" s="2914" t="s">
        <v>4115</v>
      </c>
      <c r="G1008" s="2915">
        <v>54.6</v>
      </c>
      <c r="H1008" s="2915">
        <f t="shared" si="16"/>
        <v>9.59</v>
      </c>
      <c r="Q1008" s="3004">
        <v>1004</v>
      </c>
      <c r="R1008" s="2999" t="s">
        <v>5607</v>
      </c>
      <c r="S1008" s="3000">
        <v>54.6</v>
      </c>
      <c r="T1008" s="3000">
        <v>1</v>
      </c>
      <c r="U1008" s="3000">
        <v>17260</v>
      </c>
      <c r="V1008" s="3000">
        <v>94</v>
      </c>
    </row>
    <row r="1009" spans="4:22" ht="14.25" thickBot="1">
      <c r="D1009" s="2915">
        <v>1005</v>
      </c>
      <c r="E1009" s="2915"/>
      <c r="F1009" s="2914" t="s">
        <v>4116</v>
      </c>
      <c r="G1009" s="2915">
        <v>71.23</v>
      </c>
      <c r="H1009" s="2915">
        <f t="shared" si="16"/>
        <v>12.51</v>
      </c>
      <c r="Q1009" s="3004">
        <v>1005</v>
      </c>
      <c r="R1009" s="2999" t="s">
        <v>5608</v>
      </c>
      <c r="S1009" s="3000">
        <v>71.23</v>
      </c>
      <c r="T1009" s="3000">
        <v>1</v>
      </c>
      <c r="U1009" s="3000">
        <v>17260</v>
      </c>
      <c r="V1009" s="3000">
        <v>123</v>
      </c>
    </row>
    <row r="1010" spans="4:22" ht="14.25" thickBot="1">
      <c r="D1010" s="2915">
        <v>1006</v>
      </c>
      <c r="E1010" s="2915"/>
      <c r="F1010" s="2914" t="s">
        <v>4117</v>
      </c>
      <c r="G1010" s="2915">
        <v>61.41</v>
      </c>
      <c r="H1010" s="2915">
        <f t="shared" si="16"/>
        <v>10.78</v>
      </c>
      <c r="Q1010" s="3004">
        <v>1006</v>
      </c>
      <c r="R1010" s="2999" t="s">
        <v>5609</v>
      </c>
      <c r="S1010" s="3000">
        <v>61.41</v>
      </c>
      <c r="T1010" s="3000">
        <v>1</v>
      </c>
      <c r="U1010" s="3000">
        <v>17260</v>
      </c>
      <c r="V1010" s="3000">
        <v>106</v>
      </c>
    </row>
    <row r="1011" spans="4:22" ht="14.25" thickBot="1">
      <c r="D1011" s="2915">
        <v>1007</v>
      </c>
      <c r="E1011" s="2915"/>
      <c r="F1011" s="2914" t="s">
        <v>4118</v>
      </c>
      <c r="G1011" s="2915">
        <v>61.41</v>
      </c>
      <c r="H1011" s="2915">
        <f t="shared" si="16"/>
        <v>10.78</v>
      </c>
      <c r="Q1011" s="3004">
        <v>1007</v>
      </c>
      <c r="R1011" s="2999" t="s">
        <v>5610</v>
      </c>
      <c r="S1011" s="3000">
        <v>61.41</v>
      </c>
      <c r="T1011" s="3000">
        <v>1</v>
      </c>
      <c r="U1011" s="3000">
        <v>17260</v>
      </c>
      <c r="V1011" s="3000">
        <v>106</v>
      </c>
    </row>
    <row r="1012" spans="4:22" ht="14.25" thickBot="1">
      <c r="D1012" s="2915">
        <v>1008</v>
      </c>
      <c r="E1012" s="2915"/>
      <c r="F1012" s="2914" t="s">
        <v>4119</v>
      </c>
      <c r="G1012" s="2915">
        <v>61.41</v>
      </c>
      <c r="H1012" s="2915">
        <f t="shared" si="16"/>
        <v>10.78</v>
      </c>
      <c r="Q1012" s="3004">
        <v>1008</v>
      </c>
      <c r="R1012" s="2999" t="s">
        <v>5611</v>
      </c>
      <c r="S1012" s="3000">
        <v>61.41</v>
      </c>
      <c r="T1012" s="3000">
        <v>1</v>
      </c>
      <c r="U1012" s="3000">
        <v>17260</v>
      </c>
      <c r="V1012" s="3000">
        <v>106</v>
      </c>
    </row>
    <row r="1013" spans="4:22" ht="14.25" thickBot="1">
      <c r="D1013" s="2915">
        <v>1009</v>
      </c>
      <c r="E1013" s="2915"/>
      <c r="F1013" s="2914" t="s">
        <v>4120</v>
      </c>
      <c r="G1013" s="2915">
        <v>61.88</v>
      </c>
      <c r="H1013" s="2915">
        <f t="shared" si="16"/>
        <v>10.87</v>
      </c>
      <c r="Q1013" s="3004">
        <v>1009</v>
      </c>
      <c r="R1013" s="2999" t="s">
        <v>5612</v>
      </c>
      <c r="S1013" s="3000">
        <v>61.88</v>
      </c>
      <c r="T1013" s="3000">
        <v>1</v>
      </c>
      <c r="U1013" s="3000">
        <v>17260</v>
      </c>
      <c r="V1013" s="3000">
        <v>107</v>
      </c>
    </row>
    <row r="1014" spans="4:22" ht="14.25" thickBot="1">
      <c r="D1014" s="2915">
        <v>1010</v>
      </c>
      <c r="E1014" s="2915"/>
      <c r="F1014" s="2914" t="s">
        <v>4121</v>
      </c>
      <c r="G1014" s="2915">
        <v>58.8</v>
      </c>
      <c r="H1014" s="2915">
        <f t="shared" si="16"/>
        <v>10.32</v>
      </c>
      <c r="Q1014" s="3004">
        <v>1010</v>
      </c>
      <c r="R1014" s="2999" t="s">
        <v>5613</v>
      </c>
      <c r="S1014" s="3000">
        <v>58.8</v>
      </c>
      <c r="T1014" s="3000">
        <v>1</v>
      </c>
      <c r="U1014" s="3000">
        <v>17260</v>
      </c>
      <c r="V1014" s="3000">
        <v>101</v>
      </c>
    </row>
    <row r="1015" spans="4:22" ht="14.25" thickBot="1">
      <c r="D1015" s="2915">
        <v>1011</v>
      </c>
      <c r="E1015" s="2915"/>
      <c r="F1015" s="2914" t="s">
        <v>4122</v>
      </c>
      <c r="G1015" s="2915">
        <v>60.21</v>
      </c>
      <c r="H1015" s="2915">
        <f t="shared" si="16"/>
        <v>10.57</v>
      </c>
      <c r="Q1015" s="3004">
        <v>1011</v>
      </c>
      <c r="R1015" s="2999" t="s">
        <v>5614</v>
      </c>
      <c r="S1015" s="3000">
        <v>60.21</v>
      </c>
      <c r="T1015" s="3000">
        <v>1</v>
      </c>
      <c r="U1015" s="3000">
        <v>17260</v>
      </c>
      <c r="V1015" s="3000">
        <v>104</v>
      </c>
    </row>
    <row r="1016" spans="4:22" ht="14.25" thickBot="1">
      <c r="D1016" s="2915">
        <v>1012</v>
      </c>
      <c r="E1016" s="2915"/>
      <c r="F1016" s="2914" t="s">
        <v>4123</v>
      </c>
      <c r="G1016" s="2915">
        <v>65.760000000000005</v>
      </c>
      <c r="H1016" s="2915">
        <f t="shared" si="16"/>
        <v>11.55</v>
      </c>
      <c r="Q1016" s="3004">
        <v>1012</v>
      </c>
      <c r="R1016" s="2999" t="s">
        <v>5615</v>
      </c>
      <c r="S1016" s="3000">
        <v>65.760000000000005</v>
      </c>
      <c r="T1016" s="3000">
        <v>1</v>
      </c>
      <c r="U1016" s="3000">
        <v>17260</v>
      </c>
      <c r="V1016" s="3000">
        <v>114</v>
      </c>
    </row>
    <row r="1017" spans="4:22" ht="14.25" thickBot="1">
      <c r="D1017" s="2915">
        <v>1013</v>
      </c>
      <c r="E1017" s="2915"/>
      <c r="F1017" s="2914" t="s">
        <v>4124</v>
      </c>
      <c r="G1017" s="2915">
        <v>59.41</v>
      </c>
      <c r="H1017" s="2915">
        <f t="shared" si="16"/>
        <v>10.43</v>
      </c>
      <c r="Q1017" s="3004">
        <v>1013</v>
      </c>
      <c r="R1017" s="2999" t="s">
        <v>5616</v>
      </c>
      <c r="S1017" s="3000">
        <v>59.41</v>
      </c>
      <c r="T1017" s="3000">
        <v>1</v>
      </c>
      <c r="U1017" s="3000">
        <v>17260</v>
      </c>
      <c r="V1017" s="3000">
        <v>103</v>
      </c>
    </row>
    <row r="1018" spans="4:22" ht="14.25" thickBot="1">
      <c r="D1018" s="2915">
        <v>1014</v>
      </c>
      <c r="E1018" s="2915"/>
      <c r="F1018" s="2914" t="s">
        <v>4125</v>
      </c>
      <c r="G1018" s="2915">
        <v>60.69</v>
      </c>
      <c r="H1018" s="2915">
        <f t="shared" si="16"/>
        <v>10.66</v>
      </c>
      <c r="Q1018" s="3004">
        <v>1014</v>
      </c>
      <c r="R1018" s="2999" t="s">
        <v>5617</v>
      </c>
      <c r="S1018" s="3000">
        <v>60.69</v>
      </c>
      <c r="T1018" s="3000">
        <v>1</v>
      </c>
      <c r="U1018" s="3000">
        <v>17260</v>
      </c>
      <c r="V1018" s="3000">
        <v>105</v>
      </c>
    </row>
    <row r="1019" spans="4:22" ht="14.25" thickBot="1">
      <c r="D1019" s="2915">
        <v>1015</v>
      </c>
      <c r="E1019" s="2915"/>
      <c r="F1019" s="2914" t="s">
        <v>4126</v>
      </c>
      <c r="G1019" s="2915">
        <v>60.69</v>
      </c>
      <c r="H1019" s="2915">
        <f t="shared" si="16"/>
        <v>10.66</v>
      </c>
      <c r="Q1019" s="3004">
        <v>1015</v>
      </c>
      <c r="R1019" s="2999" t="s">
        <v>5618</v>
      </c>
      <c r="S1019" s="3000">
        <v>60.69</v>
      </c>
      <c r="T1019" s="3000">
        <v>1</v>
      </c>
      <c r="U1019" s="3000">
        <v>17260</v>
      </c>
      <c r="V1019" s="3000">
        <v>105</v>
      </c>
    </row>
    <row r="1020" spans="4:22" ht="14.25" thickBot="1">
      <c r="D1020" s="2915">
        <v>1016</v>
      </c>
      <c r="E1020" s="2915"/>
      <c r="F1020" s="2914" t="s">
        <v>4127</v>
      </c>
      <c r="G1020" s="2915">
        <v>60.69</v>
      </c>
      <c r="H1020" s="2915">
        <f t="shared" si="16"/>
        <v>10.66</v>
      </c>
      <c r="Q1020" s="3004">
        <v>1016</v>
      </c>
      <c r="R1020" s="2999" t="s">
        <v>5619</v>
      </c>
      <c r="S1020" s="3000">
        <v>60.69</v>
      </c>
      <c r="T1020" s="3000">
        <v>1</v>
      </c>
      <c r="U1020" s="3000">
        <v>17260</v>
      </c>
      <c r="V1020" s="3000">
        <v>105</v>
      </c>
    </row>
    <row r="1021" spans="4:22" ht="14.25" thickBot="1">
      <c r="D1021" s="2915">
        <v>1017</v>
      </c>
      <c r="E1021" s="2915"/>
      <c r="F1021" s="2914" t="s">
        <v>4128</v>
      </c>
      <c r="G1021" s="2915">
        <v>60.69</v>
      </c>
      <c r="H1021" s="2915">
        <f t="shared" si="16"/>
        <v>10.66</v>
      </c>
      <c r="Q1021" s="3004">
        <v>1017</v>
      </c>
      <c r="R1021" s="2999" t="s">
        <v>5620</v>
      </c>
      <c r="S1021" s="3000">
        <v>60.69</v>
      </c>
      <c r="T1021" s="3000">
        <v>1</v>
      </c>
      <c r="U1021" s="3000">
        <v>17260</v>
      </c>
      <c r="V1021" s="3000">
        <v>105</v>
      </c>
    </row>
    <row r="1022" spans="4:22" ht="14.25" thickBot="1">
      <c r="D1022" s="2915">
        <v>1018</v>
      </c>
      <c r="E1022" s="2915"/>
      <c r="F1022" s="2914" t="s">
        <v>4129</v>
      </c>
      <c r="G1022" s="2915">
        <v>60.69</v>
      </c>
      <c r="H1022" s="2915">
        <f t="shared" si="16"/>
        <v>10.66</v>
      </c>
      <c r="Q1022" s="3004">
        <v>1018</v>
      </c>
      <c r="R1022" s="2999" t="s">
        <v>5621</v>
      </c>
      <c r="S1022" s="3000">
        <v>60.69</v>
      </c>
      <c r="T1022" s="3000">
        <v>1</v>
      </c>
      <c r="U1022" s="3000">
        <v>17260</v>
      </c>
      <c r="V1022" s="3000">
        <v>105</v>
      </c>
    </row>
    <row r="1023" spans="4:22" ht="14.25" thickBot="1">
      <c r="D1023" s="2915">
        <v>1019</v>
      </c>
      <c r="E1023" s="2915"/>
      <c r="F1023" s="2914" t="s">
        <v>4130</v>
      </c>
      <c r="G1023" s="2915">
        <v>60.69</v>
      </c>
      <c r="H1023" s="2915">
        <f t="shared" si="16"/>
        <v>10.66</v>
      </c>
      <c r="Q1023" s="3004">
        <v>1019</v>
      </c>
      <c r="R1023" s="2999" t="s">
        <v>5622</v>
      </c>
      <c r="S1023" s="3000">
        <v>60.69</v>
      </c>
      <c r="T1023" s="3000">
        <v>1</v>
      </c>
      <c r="U1023" s="3000">
        <v>17260</v>
      </c>
      <c r="V1023" s="3000">
        <v>105</v>
      </c>
    </row>
    <row r="1024" spans="4:22" ht="14.25" thickBot="1">
      <c r="D1024" s="2915">
        <v>1020</v>
      </c>
      <c r="E1024" s="2915"/>
      <c r="F1024" s="2914" t="s">
        <v>4131</v>
      </c>
      <c r="G1024" s="2915">
        <v>60.69</v>
      </c>
      <c r="H1024" s="2915">
        <f t="shared" si="16"/>
        <v>10.66</v>
      </c>
      <c r="Q1024" s="3004">
        <v>1020</v>
      </c>
      <c r="R1024" s="2999" t="s">
        <v>5623</v>
      </c>
      <c r="S1024" s="3000">
        <v>60.69</v>
      </c>
      <c r="T1024" s="3000">
        <v>1</v>
      </c>
      <c r="U1024" s="3000">
        <v>17260</v>
      </c>
      <c r="V1024" s="3000">
        <v>105</v>
      </c>
    </row>
    <row r="1025" spans="4:22" ht="14.25" thickBot="1">
      <c r="D1025" s="2915">
        <v>1021</v>
      </c>
      <c r="E1025" s="2915"/>
      <c r="F1025" s="2914" t="s">
        <v>4132</v>
      </c>
      <c r="G1025" s="2915">
        <v>60.69</v>
      </c>
      <c r="H1025" s="2915">
        <f t="shared" si="16"/>
        <v>10.66</v>
      </c>
      <c r="Q1025" s="3004">
        <v>1021</v>
      </c>
      <c r="R1025" s="2999" t="s">
        <v>5624</v>
      </c>
      <c r="S1025" s="3000">
        <v>60.69</v>
      </c>
      <c r="T1025" s="3000">
        <v>1</v>
      </c>
      <c r="U1025" s="3000">
        <v>17260</v>
      </c>
      <c r="V1025" s="3000">
        <v>105</v>
      </c>
    </row>
    <row r="1026" spans="4:22" ht="14.25" thickBot="1">
      <c r="D1026" s="2915">
        <v>1022</v>
      </c>
      <c r="E1026" s="2915"/>
      <c r="F1026" s="2914" t="s">
        <v>4133</v>
      </c>
      <c r="G1026" s="2915">
        <v>60.69</v>
      </c>
      <c r="H1026" s="2915">
        <f t="shared" si="16"/>
        <v>10.66</v>
      </c>
      <c r="Q1026" s="3004">
        <v>1022</v>
      </c>
      <c r="R1026" s="2999" t="s">
        <v>5625</v>
      </c>
      <c r="S1026" s="3000">
        <v>60.69</v>
      </c>
      <c r="T1026" s="3000">
        <v>1</v>
      </c>
      <c r="U1026" s="3000">
        <v>17260</v>
      </c>
      <c r="V1026" s="3000">
        <v>105</v>
      </c>
    </row>
    <row r="1027" spans="4:22" ht="14.25" thickBot="1">
      <c r="D1027" s="2915">
        <v>1023</v>
      </c>
      <c r="E1027" s="2915"/>
      <c r="F1027" s="2914" t="s">
        <v>4134</v>
      </c>
      <c r="G1027" s="2915">
        <v>54.3</v>
      </c>
      <c r="H1027" s="2915">
        <f t="shared" si="16"/>
        <v>9.5299999999999994</v>
      </c>
      <c r="Q1027" s="3004">
        <v>1023</v>
      </c>
      <c r="R1027" s="2999" t="s">
        <v>5626</v>
      </c>
      <c r="S1027" s="3000">
        <v>54.3</v>
      </c>
      <c r="T1027" s="3000">
        <v>1</v>
      </c>
      <c r="U1027" s="3000">
        <v>17260</v>
      </c>
      <c r="V1027" s="3000">
        <v>94</v>
      </c>
    </row>
    <row r="1028" spans="4:22" ht="14.25" thickBot="1">
      <c r="D1028" s="2915">
        <v>1024</v>
      </c>
      <c r="E1028" s="2915"/>
      <c r="F1028" s="2914" t="s">
        <v>4135</v>
      </c>
      <c r="G1028" s="2915">
        <v>60.68</v>
      </c>
      <c r="H1028" s="2915">
        <f t="shared" si="16"/>
        <v>10.65</v>
      </c>
      <c r="Q1028" s="3004">
        <v>1024</v>
      </c>
      <c r="R1028" s="2999" t="s">
        <v>5627</v>
      </c>
      <c r="S1028" s="3000">
        <v>60.68</v>
      </c>
      <c r="T1028" s="3000">
        <v>1</v>
      </c>
      <c r="U1028" s="3000">
        <v>17260</v>
      </c>
      <c r="V1028" s="3000">
        <v>105</v>
      </c>
    </row>
    <row r="1029" spans="4:22" ht="14.25" thickBot="1">
      <c r="D1029" s="2915">
        <v>1025</v>
      </c>
      <c r="E1029" s="2915"/>
      <c r="F1029" s="2914" t="s">
        <v>4136</v>
      </c>
      <c r="G1029" s="2915">
        <v>80.459999999999994</v>
      </c>
      <c r="H1029" s="2915">
        <f t="shared" si="16"/>
        <v>14.13</v>
      </c>
      <c r="Q1029" s="3004">
        <v>1025</v>
      </c>
      <c r="R1029" s="2999" t="s">
        <v>5628</v>
      </c>
      <c r="S1029" s="3000">
        <v>80.459999999999994</v>
      </c>
      <c r="T1029" s="3000">
        <v>1</v>
      </c>
      <c r="U1029" s="3000">
        <v>17260</v>
      </c>
      <c r="V1029" s="3000">
        <v>139</v>
      </c>
    </row>
    <row r="1030" spans="4:22" ht="14.25" thickBot="1">
      <c r="D1030" s="2915">
        <v>1026</v>
      </c>
      <c r="E1030" s="2915"/>
      <c r="F1030" s="2914" t="s">
        <v>4137</v>
      </c>
      <c r="G1030" s="2915">
        <v>80.45</v>
      </c>
      <c r="H1030" s="2915">
        <f t="shared" ref="H1030:H1093" si="17">ROUND(G1030/$N$7*$M$7,2)</f>
        <v>14.13</v>
      </c>
      <c r="Q1030" s="3004">
        <v>1026</v>
      </c>
      <c r="R1030" s="2999" t="s">
        <v>5629</v>
      </c>
      <c r="S1030" s="3000">
        <v>80.45</v>
      </c>
      <c r="T1030" s="3000">
        <v>1</v>
      </c>
      <c r="U1030" s="3000">
        <v>17260</v>
      </c>
      <c r="V1030" s="3000">
        <v>139</v>
      </c>
    </row>
    <row r="1031" spans="4:22" ht="14.25" thickBot="1">
      <c r="D1031" s="2915">
        <v>1027</v>
      </c>
      <c r="E1031" s="2915"/>
      <c r="F1031" s="2914" t="s">
        <v>4138</v>
      </c>
      <c r="G1031" s="2915">
        <v>60.69</v>
      </c>
      <c r="H1031" s="2915">
        <f t="shared" si="17"/>
        <v>10.66</v>
      </c>
      <c r="Q1031" s="3004">
        <v>1027</v>
      </c>
      <c r="R1031" s="2999" t="s">
        <v>5630</v>
      </c>
      <c r="S1031" s="3000">
        <v>60.69</v>
      </c>
      <c r="T1031" s="3000">
        <v>1</v>
      </c>
      <c r="U1031" s="3000">
        <v>17260</v>
      </c>
      <c r="V1031" s="3000">
        <v>105</v>
      </c>
    </row>
    <row r="1032" spans="4:22" ht="14.25" thickBot="1">
      <c r="D1032" s="2915">
        <v>1028</v>
      </c>
      <c r="E1032" s="2915"/>
      <c r="F1032" s="2914" t="s">
        <v>4139</v>
      </c>
      <c r="G1032" s="2915">
        <v>60.69</v>
      </c>
      <c r="H1032" s="2915">
        <f t="shared" si="17"/>
        <v>10.66</v>
      </c>
      <c r="Q1032" s="3004">
        <v>1028</v>
      </c>
      <c r="R1032" s="2999" t="s">
        <v>5631</v>
      </c>
      <c r="S1032" s="3000">
        <v>60.69</v>
      </c>
      <c r="T1032" s="3000">
        <v>1</v>
      </c>
      <c r="U1032" s="3000">
        <v>17260</v>
      </c>
      <c r="V1032" s="3000">
        <v>105</v>
      </c>
    </row>
    <row r="1033" spans="4:22" ht="14.25" thickBot="1">
      <c r="D1033" s="2915">
        <v>1029</v>
      </c>
      <c r="E1033" s="2915"/>
      <c r="F1033" s="2914" t="s">
        <v>4140</v>
      </c>
      <c r="G1033" s="2915">
        <v>60.68</v>
      </c>
      <c r="H1033" s="2915">
        <f t="shared" si="17"/>
        <v>10.65</v>
      </c>
      <c r="Q1033" s="3004">
        <v>1029</v>
      </c>
      <c r="R1033" s="2999" t="s">
        <v>5632</v>
      </c>
      <c r="S1033" s="3000">
        <v>60.68</v>
      </c>
      <c r="T1033" s="3000">
        <v>1</v>
      </c>
      <c r="U1033" s="3000">
        <v>17260</v>
      </c>
      <c r="V1033" s="3000">
        <v>105</v>
      </c>
    </row>
    <row r="1034" spans="4:22" ht="14.25" thickBot="1">
      <c r="D1034" s="2915">
        <v>1030</v>
      </c>
      <c r="E1034" s="2915"/>
      <c r="F1034" s="2914" t="s">
        <v>4141</v>
      </c>
      <c r="G1034" s="2915">
        <v>60.69</v>
      </c>
      <c r="H1034" s="2915">
        <f t="shared" si="17"/>
        <v>10.66</v>
      </c>
      <c r="Q1034" s="3004">
        <v>1030</v>
      </c>
      <c r="R1034" s="2999" t="s">
        <v>5633</v>
      </c>
      <c r="S1034" s="3000">
        <v>60.69</v>
      </c>
      <c r="T1034" s="3000">
        <v>1</v>
      </c>
      <c r="U1034" s="3000">
        <v>17260</v>
      </c>
      <c r="V1034" s="3000">
        <v>105</v>
      </c>
    </row>
    <row r="1035" spans="4:22" ht="14.25" thickBot="1">
      <c r="D1035" s="2915">
        <v>1031</v>
      </c>
      <c r="E1035" s="2915"/>
      <c r="F1035" s="2914" t="s">
        <v>4142</v>
      </c>
      <c r="G1035" s="2915">
        <v>60.69</v>
      </c>
      <c r="H1035" s="2915">
        <f t="shared" si="17"/>
        <v>10.66</v>
      </c>
      <c r="Q1035" s="3004">
        <v>1031</v>
      </c>
      <c r="R1035" s="2999" t="s">
        <v>5634</v>
      </c>
      <c r="S1035" s="3000">
        <v>60.69</v>
      </c>
      <c r="T1035" s="3000">
        <v>1</v>
      </c>
      <c r="U1035" s="3000">
        <v>17260</v>
      </c>
      <c r="V1035" s="3000">
        <v>105</v>
      </c>
    </row>
    <row r="1036" spans="4:22" ht="14.25" thickBot="1">
      <c r="D1036" s="2915">
        <v>1032</v>
      </c>
      <c r="E1036" s="2915"/>
      <c r="F1036" s="2914" t="s">
        <v>4143</v>
      </c>
      <c r="G1036" s="2915">
        <v>60.69</v>
      </c>
      <c r="H1036" s="2915">
        <f t="shared" si="17"/>
        <v>10.66</v>
      </c>
      <c r="Q1036" s="3004">
        <v>1032</v>
      </c>
      <c r="R1036" s="2999" t="s">
        <v>5635</v>
      </c>
      <c r="S1036" s="3000">
        <v>60.69</v>
      </c>
      <c r="T1036" s="3000">
        <v>1</v>
      </c>
      <c r="U1036" s="3000">
        <v>17260</v>
      </c>
      <c r="V1036" s="3000">
        <v>105</v>
      </c>
    </row>
    <row r="1037" spans="4:22" ht="14.25" thickBot="1">
      <c r="D1037" s="2915">
        <v>1033</v>
      </c>
      <c r="E1037" s="2915"/>
      <c r="F1037" s="2914" t="s">
        <v>4144</v>
      </c>
      <c r="G1037" s="2915">
        <v>60.69</v>
      </c>
      <c r="H1037" s="2915">
        <f t="shared" si="17"/>
        <v>10.66</v>
      </c>
      <c r="Q1037" s="3004">
        <v>1033</v>
      </c>
      <c r="R1037" s="2999" t="s">
        <v>5636</v>
      </c>
      <c r="S1037" s="3000">
        <v>60.69</v>
      </c>
      <c r="T1037" s="3000">
        <v>1</v>
      </c>
      <c r="U1037" s="3000">
        <v>17260</v>
      </c>
      <c r="V1037" s="3000">
        <v>105</v>
      </c>
    </row>
    <row r="1038" spans="4:22" ht="14.25" thickBot="1">
      <c r="D1038" s="2915">
        <v>1034</v>
      </c>
      <c r="E1038" s="2915"/>
      <c r="F1038" s="2914" t="s">
        <v>4145</v>
      </c>
      <c r="G1038" s="2915">
        <v>60.69</v>
      </c>
      <c r="H1038" s="2915">
        <f t="shared" si="17"/>
        <v>10.66</v>
      </c>
      <c r="Q1038" s="3004">
        <v>1034</v>
      </c>
      <c r="R1038" s="2999" t="s">
        <v>5637</v>
      </c>
      <c r="S1038" s="3000">
        <v>60.69</v>
      </c>
      <c r="T1038" s="3000">
        <v>1</v>
      </c>
      <c r="U1038" s="3000">
        <v>17260</v>
      </c>
      <c r="V1038" s="3000">
        <v>105</v>
      </c>
    </row>
    <row r="1039" spans="4:22" ht="14.25" thickBot="1">
      <c r="D1039" s="2915">
        <v>1035</v>
      </c>
      <c r="E1039" s="2915"/>
      <c r="F1039" s="2914" t="s">
        <v>4146</v>
      </c>
      <c r="G1039" s="2915">
        <v>60.69</v>
      </c>
      <c r="H1039" s="2915">
        <f t="shared" si="17"/>
        <v>10.66</v>
      </c>
      <c r="Q1039" s="3004">
        <v>1035</v>
      </c>
      <c r="R1039" s="2999" t="s">
        <v>5638</v>
      </c>
      <c r="S1039" s="3000">
        <v>60.69</v>
      </c>
      <c r="T1039" s="3000">
        <v>1</v>
      </c>
      <c r="U1039" s="3000">
        <v>17260</v>
      </c>
      <c r="V1039" s="3000">
        <v>105</v>
      </c>
    </row>
    <row r="1040" spans="4:22" ht="14.25" thickBot="1">
      <c r="D1040" s="2915">
        <v>1036</v>
      </c>
      <c r="E1040" s="2915"/>
      <c r="F1040" s="2914" t="s">
        <v>4147</v>
      </c>
      <c r="G1040" s="2915">
        <v>60.69</v>
      </c>
      <c r="H1040" s="2915">
        <f t="shared" si="17"/>
        <v>10.66</v>
      </c>
      <c r="Q1040" s="3004">
        <v>1036</v>
      </c>
      <c r="R1040" s="2999" t="s">
        <v>5639</v>
      </c>
      <c r="S1040" s="3000">
        <v>60.69</v>
      </c>
      <c r="T1040" s="3000">
        <v>1</v>
      </c>
      <c r="U1040" s="3000">
        <v>17260</v>
      </c>
      <c r="V1040" s="3000">
        <v>105</v>
      </c>
    </row>
    <row r="1041" spans="4:22" ht="14.25" thickBot="1">
      <c r="D1041" s="2915">
        <v>1037</v>
      </c>
      <c r="E1041" s="2915"/>
      <c r="F1041" s="2914" t="s">
        <v>4148</v>
      </c>
      <c r="G1041" s="2915">
        <v>60.69</v>
      </c>
      <c r="H1041" s="2915">
        <f t="shared" si="17"/>
        <v>10.66</v>
      </c>
      <c r="Q1041" s="3004">
        <v>1037</v>
      </c>
      <c r="R1041" s="2999" t="s">
        <v>5640</v>
      </c>
      <c r="S1041" s="3000">
        <v>60.69</v>
      </c>
      <c r="T1041" s="3000">
        <v>1</v>
      </c>
      <c r="U1041" s="3000">
        <v>17260</v>
      </c>
      <c r="V1041" s="3000">
        <v>105</v>
      </c>
    </row>
    <row r="1042" spans="4:22" ht="14.25" thickBot="1">
      <c r="D1042" s="2915">
        <v>1038</v>
      </c>
      <c r="E1042" s="2915"/>
      <c r="F1042" s="2914" t="s">
        <v>4149</v>
      </c>
      <c r="G1042" s="2915">
        <v>104.53</v>
      </c>
      <c r="H1042" s="2915">
        <f t="shared" si="17"/>
        <v>18.350000000000001</v>
      </c>
      <c r="Q1042" s="3004">
        <v>1038</v>
      </c>
      <c r="R1042" s="2999" t="s">
        <v>5641</v>
      </c>
      <c r="S1042" s="3000">
        <v>104.53</v>
      </c>
      <c r="T1042" s="3000">
        <v>0.99</v>
      </c>
      <c r="U1042" s="3000">
        <v>17087</v>
      </c>
      <c r="V1042" s="3000">
        <v>179</v>
      </c>
    </row>
    <row r="1043" spans="4:22" ht="14.25" thickBot="1">
      <c r="D1043" s="2915">
        <v>1039</v>
      </c>
      <c r="E1043" s="2915"/>
      <c r="F1043" s="2914" t="s">
        <v>4150</v>
      </c>
      <c r="G1043" s="2915">
        <v>55.78</v>
      </c>
      <c r="H1043" s="2915">
        <f t="shared" si="17"/>
        <v>9.7899999999999991</v>
      </c>
      <c r="Q1043" s="3004">
        <v>1039</v>
      </c>
      <c r="R1043" s="2999" t="s">
        <v>5642</v>
      </c>
      <c r="S1043" s="3000">
        <v>55.78</v>
      </c>
      <c r="T1043" s="3000">
        <v>1</v>
      </c>
      <c r="U1043" s="3000">
        <v>17260</v>
      </c>
      <c r="V1043" s="3000">
        <v>96</v>
      </c>
    </row>
    <row r="1044" spans="4:22" ht="14.25" thickBot="1">
      <c r="D1044" s="2915">
        <v>1040</v>
      </c>
      <c r="E1044" s="2915"/>
      <c r="F1044" s="2914" t="s">
        <v>4151</v>
      </c>
      <c r="G1044" s="2915">
        <v>48.86</v>
      </c>
      <c r="H1044" s="2915">
        <f t="shared" si="17"/>
        <v>8.58</v>
      </c>
      <c r="Q1044" s="3004">
        <v>1040</v>
      </c>
      <c r="R1044" s="2999" t="s">
        <v>5643</v>
      </c>
      <c r="S1044" s="3000">
        <v>48.86</v>
      </c>
      <c r="T1044" s="3000">
        <v>1</v>
      </c>
      <c r="U1044" s="3000">
        <v>17260</v>
      </c>
      <c r="V1044" s="3000">
        <v>84</v>
      </c>
    </row>
    <row r="1045" spans="4:22" ht="14.25" thickBot="1">
      <c r="D1045" s="2915">
        <v>1041</v>
      </c>
      <c r="E1045" s="2915"/>
      <c r="F1045" s="2914" t="s">
        <v>4152</v>
      </c>
      <c r="G1045" s="2915">
        <v>48.86</v>
      </c>
      <c r="H1045" s="2915">
        <f t="shared" si="17"/>
        <v>8.58</v>
      </c>
      <c r="Q1045" s="3004">
        <v>1041</v>
      </c>
      <c r="R1045" s="2999" t="s">
        <v>5644</v>
      </c>
      <c r="S1045" s="3000">
        <v>48.86</v>
      </c>
      <c r="T1045" s="3000">
        <v>1</v>
      </c>
      <c r="U1045" s="3000">
        <v>17260</v>
      </c>
      <c r="V1045" s="3000">
        <v>84</v>
      </c>
    </row>
    <row r="1046" spans="4:22" ht="14.25" thickBot="1">
      <c r="D1046" s="2915">
        <v>1042</v>
      </c>
      <c r="E1046" s="2915"/>
      <c r="F1046" s="2914" t="s">
        <v>4153</v>
      </c>
      <c r="G1046" s="2915">
        <v>48.86</v>
      </c>
      <c r="H1046" s="2915">
        <f t="shared" si="17"/>
        <v>8.58</v>
      </c>
      <c r="Q1046" s="3004">
        <v>1042</v>
      </c>
      <c r="R1046" s="2999" t="s">
        <v>5645</v>
      </c>
      <c r="S1046" s="3000">
        <v>48.86</v>
      </c>
      <c r="T1046" s="3000">
        <v>1</v>
      </c>
      <c r="U1046" s="3000">
        <v>17260</v>
      </c>
      <c r="V1046" s="3000">
        <v>84</v>
      </c>
    </row>
    <row r="1047" spans="4:22" ht="14.25" thickBot="1">
      <c r="D1047" s="2915">
        <v>1043</v>
      </c>
      <c r="E1047" s="2915"/>
      <c r="F1047" s="2914" t="s">
        <v>4154</v>
      </c>
      <c r="G1047" s="2915">
        <v>54.5</v>
      </c>
      <c r="H1047" s="2915">
        <f t="shared" si="17"/>
        <v>9.57</v>
      </c>
      <c r="Q1047" s="3004">
        <v>1043</v>
      </c>
      <c r="R1047" s="2999" t="s">
        <v>5646</v>
      </c>
      <c r="S1047" s="3000">
        <v>54.5</v>
      </c>
      <c r="T1047" s="3000">
        <v>1</v>
      </c>
      <c r="U1047" s="3000">
        <v>17260</v>
      </c>
      <c r="V1047" s="3000">
        <v>94</v>
      </c>
    </row>
    <row r="1048" spans="4:22" ht="14.25" thickBot="1">
      <c r="D1048" s="2915">
        <v>1044</v>
      </c>
      <c r="E1048" s="2915"/>
      <c r="F1048" s="2914" t="s">
        <v>4155</v>
      </c>
      <c r="G1048" s="2915">
        <v>64.58</v>
      </c>
      <c r="H1048" s="2915">
        <f t="shared" si="17"/>
        <v>11.34</v>
      </c>
      <c r="Q1048" s="3004">
        <v>1044</v>
      </c>
      <c r="R1048" s="2999" t="s">
        <v>5647</v>
      </c>
      <c r="S1048" s="3000">
        <v>64.58</v>
      </c>
      <c r="T1048" s="3000">
        <v>1</v>
      </c>
      <c r="U1048" s="3000">
        <v>17260</v>
      </c>
      <c r="V1048" s="3000">
        <v>111</v>
      </c>
    </row>
    <row r="1049" spans="4:22" ht="14.25" thickBot="1">
      <c r="D1049" s="2915">
        <v>1045</v>
      </c>
      <c r="E1049" s="2915"/>
      <c r="F1049" s="2914" t="s">
        <v>4156</v>
      </c>
      <c r="G1049" s="2915">
        <v>45.32</v>
      </c>
      <c r="H1049" s="2915">
        <f t="shared" si="17"/>
        <v>7.96</v>
      </c>
      <c r="Q1049" s="3004">
        <v>1045</v>
      </c>
      <c r="R1049" s="2999" t="s">
        <v>5648</v>
      </c>
      <c r="S1049" s="3000">
        <v>45.32</v>
      </c>
      <c r="T1049" s="3000">
        <v>1</v>
      </c>
      <c r="U1049" s="3000">
        <v>17260</v>
      </c>
      <c r="V1049" s="3000">
        <v>78</v>
      </c>
    </row>
    <row r="1050" spans="4:22" ht="14.25" thickBot="1">
      <c r="D1050" s="2915">
        <v>1046</v>
      </c>
      <c r="E1050" s="2915"/>
      <c r="F1050" s="2914" t="s">
        <v>4157</v>
      </c>
      <c r="G1050" s="2915">
        <v>45.2</v>
      </c>
      <c r="H1050" s="2915">
        <f t="shared" si="17"/>
        <v>7.94</v>
      </c>
      <c r="Q1050" s="3004">
        <v>1046</v>
      </c>
      <c r="R1050" s="2999" t="s">
        <v>5649</v>
      </c>
      <c r="S1050" s="3000">
        <v>45.2</v>
      </c>
      <c r="T1050" s="3000">
        <v>1</v>
      </c>
      <c r="U1050" s="3000">
        <v>17260</v>
      </c>
      <c r="V1050" s="3000">
        <v>78</v>
      </c>
    </row>
    <row r="1051" spans="4:22" ht="14.25" thickBot="1">
      <c r="D1051" s="2915">
        <v>1047</v>
      </c>
      <c r="E1051" s="2915"/>
      <c r="F1051" s="2914" t="s">
        <v>4158</v>
      </c>
      <c r="G1051" s="2915">
        <v>45.32</v>
      </c>
      <c r="H1051" s="2915">
        <f t="shared" si="17"/>
        <v>7.96</v>
      </c>
      <c r="Q1051" s="3004">
        <v>1047</v>
      </c>
      <c r="R1051" s="2999" t="s">
        <v>5650</v>
      </c>
      <c r="S1051" s="3000">
        <v>45.32</v>
      </c>
      <c r="T1051" s="3000">
        <v>1</v>
      </c>
      <c r="U1051" s="3000">
        <v>17260</v>
      </c>
      <c r="V1051" s="3000">
        <v>78</v>
      </c>
    </row>
    <row r="1052" spans="4:22" ht="14.25" thickBot="1">
      <c r="D1052" s="2915">
        <v>1048</v>
      </c>
      <c r="E1052" s="2915"/>
      <c r="F1052" s="2914" t="s">
        <v>4159</v>
      </c>
      <c r="G1052" s="2915">
        <v>45.32</v>
      </c>
      <c r="H1052" s="2915">
        <f t="shared" si="17"/>
        <v>7.96</v>
      </c>
      <c r="Q1052" s="3004">
        <v>1048</v>
      </c>
      <c r="R1052" s="2999" t="s">
        <v>5651</v>
      </c>
      <c r="S1052" s="3000">
        <v>45.32</v>
      </c>
      <c r="T1052" s="3000">
        <v>1</v>
      </c>
      <c r="U1052" s="3000">
        <v>17260</v>
      </c>
      <c r="V1052" s="3000">
        <v>78</v>
      </c>
    </row>
    <row r="1053" spans="4:22" ht="14.25" thickBot="1">
      <c r="D1053" s="2915">
        <v>1049</v>
      </c>
      <c r="E1053" s="2915"/>
      <c r="F1053" s="2914" t="s">
        <v>4160</v>
      </c>
      <c r="G1053" s="2915">
        <v>48.86</v>
      </c>
      <c r="H1053" s="2915">
        <f t="shared" si="17"/>
        <v>8.58</v>
      </c>
      <c r="Q1053" s="3004">
        <v>1049</v>
      </c>
      <c r="R1053" s="2999" t="s">
        <v>5652</v>
      </c>
      <c r="S1053" s="3000">
        <v>48.86</v>
      </c>
      <c r="T1053" s="3000">
        <v>1</v>
      </c>
      <c r="U1053" s="3000">
        <v>17260</v>
      </c>
      <c r="V1053" s="3000">
        <v>84</v>
      </c>
    </row>
    <row r="1054" spans="4:22" ht="14.25" thickBot="1">
      <c r="D1054" s="2915">
        <v>1050</v>
      </c>
      <c r="E1054" s="2915"/>
      <c r="F1054" s="2914" t="s">
        <v>4161</v>
      </c>
      <c r="G1054" s="2915">
        <v>44.51</v>
      </c>
      <c r="H1054" s="2915">
        <f t="shared" si="17"/>
        <v>7.82</v>
      </c>
      <c r="Q1054" s="3004">
        <v>1050</v>
      </c>
      <c r="R1054" s="2999" t="s">
        <v>5653</v>
      </c>
      <c r="S1054" s="3000">
        <v>44.51</v>
      </c>
      <c r="T1054" s="3000">
        <v>1</v>
      </c>
      <c r="U1054" s="3000">
        <v>17260</v>
      </c>
      <c r="V1054" s="3000">
        <v>77</v>
      </c>
    </row>
    <row r="1055" spans="4:22" ht="14.25" thickBot="1">
      <c r="D1055" s="2915">
        <v>1051</v>
      </c>
      <c r="E1055" s="2915"/>
      <c r="F1055" s="2914" t="s">
        <v>4162</v>
      </c>
      <c r="G1055" s="2915">
        <v>54.67</v>
      </c>
      <c r="H1055" s="2915">
        <f t="shared" si="17"/>
        <v>9.6</v>
      </c>
      <c r="Q1055" s="3004">
        <v>1051</v>
      </c>
      <c r="R1055" s="2999" t="s">
        <v>5654</v>
      </c>
      <c r="S1055" s="3000">
        <v>54.67</v>
      </c>
      <c r="T1055" s="3000">
        <v>1</v>
      </c>
      <c r="U1055" s="3000">
        <v>17260</v>
      </c>
      <c r="V1055" s="3000">
        <v>94</v>
      </c>
    </row>
    <row r="1056" spans="4:22" ht="14.25" thickBot="1">
      <c r="D1056" s="2915">
        <v>1052</v>
      </c>
      <c r="E1056" s="2915"/>
      <c r="F1056" s="2914" t="s">
        <v>4163</v>
      </c>
      <c r="G1056" s="2915">
        <v>48.86</v>
      </c>
      <c r="H1056" s="2915">
        <f t="shared" si="17"/>
        <v>8.58</v>
      </c>
      <c r="Q1056" s="3004">
        <v>1052</v>
      </c>
      <c r="R1056" s="2999" t="s">
        <v>5655</v>
      </c>
      <c r="S1056" s="3000">
        <v>48.86</v>
      </c>
      <c r="T1056" s="3000">
        <v>1</v>
      </c>
      <c r="U1056" s="3000">
        <v>17260</v>
      </c>
      <c r="V1056" s="3000">
        <v>84</v>
      </c>
    </row>
    <row r="1057" spans="4:22" ht="14.25" thickBot="1">
      <c r="D1057" s="2915">
        <v>1053</v>
      </c>
      <c r="E1057" s="2915"/>
      <c r="F1057" s="2914" t="s">
        <v>4164</v>
      </c>
      <c r="G1057" s="2915">
        <v>48.86</v>
      </c>
      <c r="H1057" s="2915">
        <f t="shared" si="17"/>
        <v>8.58</v>
      </c>
      <c r="Q1057" s="3004">
        <v>1053</v>
      </c>
      <c r="R1057" s="2999" t="s">
        <v>5656</v>
      </c>
      <c r="S1057" s="3000">
        <v>48.86</v>
      </c>
      <c r="T1057" s="3000">
        <v>1</v>
      </c>
      <c r="U1057" s="3000">
        <v>17260</v>
      </c>
      <c r="V1057" s="3000">
        <v>84</v>
      </c>
    </row>
    <row r="1058" spans="4:22" ht="14.25" thickBot="1">
      <c r="D1058" s="2915">
        <v>1054</v>
      </c>
      <c r="E1058" s="2915"/>
      <c r="F1058" s="2914" t="s">
        <v>4165</v>
      </c>
      <c r="G1058" s="2915">
        <v>48.86</v>
      </c>
      <c r="H1058" s="2915">
        <f t="shared" si="17"/>
        <v>8.58</v>
      </c>
      <c r="Q1058" s="3004">
        <v>1054</v>
      </c>
      <c r="R1058" s="2999" t="s">
        <v>5657</v>
      </c>
      <c r="S1058" s="3000">
        <v>48.86</v>
      </c>
      <c r="T1058" s="3000">
        <v>1</v>
      </c>
      <c r="U1058" s="3000">
        <v>17260</v>
      </c>
      <c r="V1058" s="3000">
        <v>84</v>
      </c>
    </row>
    <row r="1059" spans="4:22" ht="14.25" thickBot="1">
      <c r="D1059" s="2915">
        <v>1055</v>
      </c>
      <c r="E1059" s="2915"/>
      <c r="F1059" s="2914" t="s">
        <v>4166</v>
      </c>
      <c r="G1059" s="2915">
        <v>54.87</v>
      </c>
      <c r="H1059" s="2915">
        <f t="shared" si="17"/>
        <v>9.6300000000000008</v>
      </c>
      <c r="Q1059" s="3004">
        <v>1055</v>
      </c>
      <c r="R1059" s="2999" t="s">
        <v>5658</v>
      </c>
      <c r="S1059" s="3000">
        <v>54.87</v>
      </c>
      <c r="T1059" s="3000">
        <v>1</v>
      </c>
      <c r="U1059" s="3000">
        <v>17260</v>
      </c>
      <c r="V1059" s="3000">
        <v>95</v>
      </c>
    </row>
    <row r="1060" spans="4:22" ht="14.25" thickBot="1">
      <c r="D1060" s="2915">
        <v>1056</v>
      </c>
      <c r="E1060" s="2915"/>
      <c r="F1060" s="2914" t="s">
        <v>4167</v>
      </c>
      <c r="G1060" s="2915">
        <v>88.13</v>
      </c>
      <c r="H1060" s="2915">
        <f t="shared" si="17"/>
        <v>15.47</v>
      </c>
      <c r="Q1060" s="3004">
        <v>1056</v>
      </c>
      <c r="R1060" s="2999" t="s">
        <v>5659</v>
      </c>
      <c r="S1060" s="3000">
        <v>88.13</v>
      </c>
      <c r="T1060" s="3000">
        <v>1</v>
      </c>
      <c r="U1060" s="3000">
        <v>17260</v>
      </c>
      <c r="V1060" s="3000">
        <v>152</v>
      </c>
    </row>
    <row r="1061" spans="4:22" ht="14.25" thickBot="1">
      <c r="D1061" s="2915">
        <v>1057</v>
      </c>
      <c r="E1061" s="2915"/>
      <c r="F1061" s="2914" t="s">
        <v>4168</v>
      </c>
      <c r="G1061" s="2915">
        <v>186.33</v>
      </c>
      <c r="H1061" s="2915">
        <f t="shared" si="17"/>
        <v>32.72</v>
      </c>
      <c r="Q1061" s="3004">
        <v>1057</v>
      </c>
      <c r="R1061" s="2999" t="s">
        <v>5660</v>
      </c>
      <c r="S1061" s="3000">
        <v>186.33</v>
      </c>
      <c r="T1061" s="3000">
        <v>0.99</v>
      </c>
      <c r="U1061" s="3000">
        <v>17087</v>
      </c>
      <c r="V1061" s="3000">
        <v>318</v>
      </c>
    </row>
    <row r="1062" spans="4:22" ht="14.25" thickBot="1">
      <c r="D1062" s="2915">
        <v>1058</v>
      </c>
      <c r="E1062" s="2915"/>
      <c r="F1062" s="2914" t="s">
        <v>4169</v>
      </c>
      <c r="G1062" s="2915">
        <v>188.39</v>
      </c>
      <c r="H1062" s="2915">
        <f t="shared" si="17"/>
        <v>33.08</v>
      </c>
      <c r="Q1062" s="3004">
        <v>1058</v>
      </c>
      <c r="R1062" s="2999" t="s">
        <v>5661</v>
      </c>
      <c r="S1062" s="3000">
        <v>188.39</v>
      </c>
      <c r="T1062" s="3000">
        <v>0.99</v>
      </c>
      <c r="U1062" s="3000">
        <v>17087</v>
      </c>
      <c r="V1062" s="3000">
        <v>322</v>
      </c>
    </row>
    <row r="1063" spans="4:22" ht="14.25" thickBot="1">
      <c r="D1063" s="2915">
        <v>1059</v>
      </c>
      <c r="E1063" s="2915"/>
      <c r="F1063" s="2914" t="s">
        <v>4170</v>
      </c>
      <c r="G1063" s="2915">
        <v>188.39</v>
      </c>
      <c r="H1063" s="2915">
        <f t="shared" si="17"/>
        <v>33.08</v>
      </c>
      <c r="Q1063" s="3004">
        <v>1059</v>
      </c>
      <c r="R1063" s="2999" t="s">
        <v>5662</v>
      </c>
      <c r="S1063" s="3000">
        <v>188.39</v>
      </c>
      <c r="T1063" s="3000">
        <v>0.99</v>
      </c>
      <c r="U1063" s="3000">
        <v>17087</v>
      </c>
      <c r="V1063" s="3000">
        <v>322</v>
      </c>
    </row>
    <row r="1064" spans="4:22" ht="14.25" thickBot="1">
      <c r="D1064" s="2915">
        <v>1060</v>
      </c>
      <c r="E1064" s="2915"/>
      <c r="F1064" s="2914" t="s">
        <v>4171</v>
      </c>
      <c r="G1064" s="2915">
        <v>188.39</v>
      </c>
      <c r="H1064" s="2915">
        <f t="shared" si="17"/>
        <v>33.08</v>
      </c>
      <c r="Q1064" s="3004">
        <v>1060</v>
      </c>
      <c r="R1064" s="2999" t="s">
        <v>5663</v>
      </c>
      <c r="S1064" s="3000">
        <v>188.39</v>
      </c>
      <c r="T1064" s="3000">
        <v>0.99</v>
      </c>
      <c r="U1064" s="3000">
        <v>17087</v>
      </c>
      <c r="V1064" s="3000">
        <v>322</v>
      </c>
    </row>
    <row r="1065" spans="4:22" ht="14.25" thickBot="1">
      <c r="D1065" s="2915">
        <v>1061</v>
      </c>
      <c r="E1065" s="2915"/>
      <c r="F1065" s="2914" t="s">
        <v>4172</v>
      </c>
      <c r="G1065" s="2915">
        <v>188.39</v>
      </c>
      <c r="H1065" s="2915">
        <f t="shared" si="17"/>
        <v>33.08</v>
      </c>
      <c r="Q1065" s="3004">
        <v>1061</v>
      </c>
      <c r="R1065" s="2999" t="s">
        <v>5664</v>
      </c>
      <c r="S1065" s="3000">
        <v>188.39</v>
      </c>
      <c r="T1065" s="3000">
        <v>0.99</v>
      </c>
      <c r="U1065" s="3000">
        <v>17087</v>
      </c>
      <c r="V1065" s="3000">
        <v>322</v>
      </c>
    </row>
    <row r="1066" spans="4:22" ht="14.25" thickBot="1">
      <c r="D1066" s="2915">
        <v>1062</v>
      </c>
      <c r="E1066" s="2915"/>
      <c r="F1066" s="2914" t="s">
        <v>4173</v>
      </c>
      <c r="G1066" s="2915">
        <v>188.39</v>
      </c>
      <c r="H1066" s="2915">
        <f t="shared" si="17"/>
        <v>33.08</v>
      </c>
      <c r="Q1066" s="3004">
        <v>1062</v>
      </c>
      <c r="R1066" s="2999" t="s">
        <v>5665</v>
      </c>
      <c r="S1066" s="3000">
        <v>188.39</v>
      </c>
      <c r="T1066" s="3000">
        <v>0.99</v>
      </c>
      <c r="U1066" s="3000">
        <v>17087</v>
      </c>
      <c r="V1066" s="3000">
        <v>322</v>
      </c>
    </row>
    <row r="1067" spans="4:22" ht="14.25" thickBot="1">
      <c r="D1067" s="2915">
        <v>1063</v>
      </c>
      <c r="E1067" s="2915"/>
      <c r="F1067" s="2914" t="s">
        <v>4174</v>
      </c>
      <c r="G1067" s="2915">
        <v>187.53</v>
      </c>
      <c r="H1067" s="2915">
        <f t="shared" si="17"/>
        <v>32.93</v>
      </c>
      <c r="Q1067" s="3004">
        <v>1063</v>
      </c>
      <c r="R1067" s="2999" t="s">
        <v>5666</v>
      </c>
      <c r="S1067" s="3000">
        <v>187.53</v>
      </c>
      <c r="T1067" s="3000">
        <v>0.99</v>
      </c>
      <c r="U1067" s="3000">
        <v>17087</v>
      </c>
      <c r="V1067" s="3000">
        <v>320</v>
      </c>
    </row>
    <row r="1068" spans="4:22" ht="14.25" thickBot="1">
      <c r="D1068" s="2915">
        <v>1064</v>
      </c>
      <c r="E1068" s="2915"/>
      <c r="F1068" s="2914" t="s">
        <v>4175</v>
      </c>
      <c r="G1068" s="2915">
        <v>210.19</v>
      </c>
      <c r="H1068" s="2915">
        <f t="shared" si="17"/>
        <v>36.909999999999997</v>
      </c>
      <c r="Q1068" s="3004">
        <v>1064</v>
      </c>
      <c r="R1068" s="2999" t="s">
        <v>5667</v>
      </c>
      <c r="S1068" s="3000">
        <v>210.19</v>
      </c>
      <c r="T1068" s="3000">
        <v>0.98</v>
      </c>
      <c r="U1068" s="3000">
        <v>16915</v>
      </c>
      <c r="V1068" s="3000">
        <v>356</v>
      </c>
    </row>
    <row r="1069" spans="4:22" ht="14.25" thickBot="1">
      <c r="D1069" s="2915">
        <v>1065</v>
      </c>
      <c r="E1069" s="2915"/>
      <c r="F1069" s="2914" t="s">
        <v>4176</v>
      </c>
      <c r="G1069" s="2915">
        <v>169.2</v>
      </c>
      <c r="H1069" s="2915">
        <f t="shared" si="17"/>
        <v>29.71</v>
      </c>
      <c r="Q1069" s="3004">
        <v>1065</v>
      </c>
      <c r="R1069" s="2999" t="s">
        <v>5668</v>
      </c>
      <c r="S1069" s="3000">
        <v>169.2</v>
      </c>
      <c r="T1069" s="3000">
        <v>0.99</v>
      </c>
      <c r="U1069" s="3000">
        <v>17087</v>
      </c>
      <c r="V1069" s="3000">
        <v>289</v>
      </c>
    </row>
    <row r="1070" spans="4:22" ht="14.25" thickBot="1">
      <c r="D1070" s="2915">
        <v>1066</v>
      </c>
      <c r="E1070" s="2915"/>
      <c r="F1070" s="2914" t="s">
        <v>4177</v>
      </c>
      <c r="G1070" s="2915">
        <v>178.35</v>
      </c>
      <c r="H1070" s="2915">
        <f t="shared" si="17"/>
        <v>31.32</v>
      </c>
      <c r="Q1070" s="3004">
        <v>1066</v>
      </c>
      <c r="R1070" s="2999" t="s">
        <v>5669</v>
      </c>
      <c r="S1070" s="3000">
        <v>178.35</v>
      </c>
      <c r="T1070" s="3000">
        <v>0.99</v>
      </c>
      <c r="U1070" s="3000">
        <v>17087</v>
      </c>
      <c r="V1070" s="3000">
        <v>305</v>
      </c>
    </row>
    <row r="1071" spans="4:22" ht="14.25" thickBot="1">
      <c r="D1071" s="2915">
        <v>1067</v>
      </c>
      <c r="E1071" s="2915"/>
      <c r="F1071" s="2914" t="s">
        <v>4178</v>
      </c>
      <c r="G1071" s="2915">
        <v>208.92</v>
      </c>
      <c r="H1071" s="2915">
        <f t="shared" si="17"/>
        <v>36.68</v>
      </c>
      <c r="Q1071" s="3004">
        <v>1067</v>
      </c>
      <c r="R1071" s="2999" t="s">
        <v>5670</v>
      </c>
      <c r="S1071" s="3000">
        <v>208.92</v>
      </c>
      <c r="T1071" s="3000">
        <v>0.98</v>
      </c>
      <c r="U1071" s="3000">
        <v>16915</v>
      </c>
      <c r="V1071" s="3000">
        <v>353</v>
      </c>
    </row>
    <row r="1072" spans="4:22" ht="14.25" thickBot="1">
      <c r="D1072" s="2915">
        <v>1068</v>
      </c>
      <c r="E1072" s="2915"/>
      <c r="F1072" s="2914" t="s">
        <v>4179</v>
      </c>
      <c r="G1072" s="2915">
        <v>188.35</v>
      </c>
      <c r="H1072" s="2915">
        <f t="shared" si="17"/>
        <v>33.07</v>
      </c>
      <c r="Q1072" s="3004">
        <v>1068</v>
      </c>
      <c r="R1072" s="2999" t="s">
        <v>5671</v>
      </c>
      <c r="S1072" s="3000">
        <v>188.35</v>
      </c>
      <c r="T1072" s="3000">
        <v>0.99</v>
      </c>
      <c r="U1072" s="3000">
        <v>17087</v>
      </c>
      <c r="V1072" s="3000">
        <v>322</v>
      </c>
    </row>
    <row r="1073" spans="4:22" ht="14.25" thickBot="1">
      <c r="D1073" s="2915">
        <v>1069</v>
      </c>
      <c r="E1073" s="2915"/>
      <c r="F1073" s="2914" t="s">
        <v>4180</v>
      </c>
      <c r="G1073" s="2915">
        <v>188.39</v>
      </c>
      <c r="H1073" s="2915">
        <f t="shared" si="17"/>
        <v>33.08</v>
      </c>
      <c r="Q1073" s="3004">
        <v>1069</v>
      </c>
      <c r="R1073" s="2999" t="s">
        <v>5672</v>
      </c>
      <c r="S1073" s="3000">
        <v>188.39</v>
      </c>
      <c r="T1073" s="3000">
        <v>0.99</v>
      </c>
      <c r="U1073" s="3000">
        <v>17087</v>
      </c>
      <c r="V1073" s="3000">
        <v>322</v>
      </c>
    </row>
    <row r="1074" spans="4:22" ht="14.25" thickBot="1">
      <c r="D1074" s="2915">
        <v>1070</v>
      </c>
      <c r="E1074" s="2915"/>
      <c r="F1074" s="2914" t="s">
        <v>4181</v>
      </c>
      <c r="G1074" s="2915">
        <v>188.39</v>
      </c>
      <c r="H1074" s="2915">
        <f t="shared" si="17"/>
        <v>33.08</v>
      </c>
      <c r="Q1074" s="3004">
        <v>1070</v>
      </c>
      <c r="R1074" s="2999" t="s">
        <v>5673</v>
      </c>
      <c r="S1074" s="3000">
        <v>188.39</v>
      </c>
      <c r="T1074" s="3000">
        <v>0.99</v>
      </c>
      <c r="U1074" s="3000">
        <v>17087</v>
      </c>
      <c r="V1074" s="3000">
        <v>322</v>
      </c>
    </row>
    <row r="1075" spans="4:22" ht="14.25" thickBot="1">
      <c r="D1075" s="2915">
        <v>1071</v>
      </c>
      <c r="E1075" s="2915"/>
      <c r="F1075" s="2914" t="s">
        <v>4182</v>
      </c>
      <c r="G1075" s="2915">
        <v>188.39</v>
      </c>
      <c r="H1075" s="2915">
        <f t="shared" si="17"/>
        <v>33.08</v>
      </c>
      <c r="Q1075" s="3004">
        <v>1071</v>
      </c>
      <c r="R1075" s="2999" t="s">
        <v>5674</v>
      </c>
      <c r="S1075" s="3000">
        <v>188.39</v>
      </c>
      <c r="T1075" s="3000">
        <v>0.99</v>
      </c>
      <c r="U1075" s="3000">
        <v>17087</v>
      </c>
      <c r="V1075" s="3000">
        <v>322</v>
      </c>
    </row>
    <row r="1076" spans="4:22" ht="14.25" thickBot="1">
      <c r="D1076" s="2915">
        <v>1072</v>
      </c>
      <c r="E1076" s="2915"/>
      <c r="F1076" s="2914" t="s">
        <v>4183</v>
      </c>
      <c r="G1076" s="2915">
        <v>188.39</v>
      </c>
      <c r="H1076" s="2915">
        <f t="shared" si="17"/>
        <v>33.08</v>
      </c>
      <c r="Q1076" s="3004">
        <v>1072</v>
      </c>
      <c r="R1076" s="2999" t="s">
        <v>5675</v>
      </c>
      <c r="S1076" s="3000">
        <v>188.39</v>
      </c>
      <c r="T1076" s="3000">
        <v>0.99</v>
      </c>
      <c r="U1076" s="3000">
        <v>17087</v>
      </c>
      <c r="V1076" s="3000">
        <v>322</v>
      </c>
    </row>
    <row r="1077" spans="4:22" ht="14.25" thickBot="1">
      <c r="D1077" s="2915">
        <v>1073</v>
      </c>
      <c r="E1077" s="2915"/>
      <c r="F1077" s="2914" t="s">
        <v>4184</v>
      </c>
      <c r="G1077" s="2915">
        <v>188.39</v>
      </c>
      <c r="H1077" s="2915">
        <f t="shared" si="17"/>
        <v>33.08</v>
      </c>
      <c r="Q1077" s="3004">
        <v>1073</v>
      </c>
      <c r="R1077" s="2999" t="s">
        <v>5676</v>
      </c>
      <c r="S1077" s="3000">
        <v>188.39</v>
      </c>
      <c r="T1077" s="3000">
        <v>0.99</v>
      </c>
      <c r="U1077" s="3000">
        <v>17087</v>
      </c>
      <c r="V1077" s="3000">
        <v>322</v>
      </c>
    </row>
    <row r="1078" spans="4:22" ht="14.25" thickBot="1">
      <c r="D1078" s="2915">
        <v>1074</v>
      </c>
      <c r="E1078" s="2915"/>
      <c r="F1078" s="2914" t="s">
        <v>4185</v>
      </c>
      <c r="G1078" s="2915">
        <v>279.91000000000003</v>
      </c>
      <c r="H1078" s="2915">
        <f t="shared" si="17"/>
        <v>49.15</v>
      </c>
      <c r="Q1078" s="3004">
        <v>1074</v>
      </c>
      <c r="R1078" s="2999" t="s">
        <v>5677</v>
      </c>
      <c r="S1078" s="3000">
        <v>279.91000000000003</v>
      </c>
      <c r="T1078" s="3000">
        <v>0.98</v>
      </c>
      <c r="U1078" s="3000">
        <v>16915</v>
      </c>
      <c r="V1078" s="3000">
        <v>473</v>
      </c>
    </row>
    <row r="1079" spans="4:22" ht="14.25" thickBot="1">
      <c r="D1079" s="2915">
        <v>1075</v>
      </c>
      <c r="E1079" s="2915"/>
      <c r="F1079" s="2914" t="s">
        <v>4186</v>
      </c>
      <c r="G1079" s="2915">
        <v>175.75</v>
      </c>
      <c r="H1079" s="2915">
        <f t="shared" si="17"/>
        <v>30.86</v>
      </c>
      <c r="Q1079" s="3004">
        <v>1075</v>
      </c>
      <c r="R1079" s="2999" t="s">
        <v>5678</v>
      </c>
      <c r="S1079" s="3000">
        <v>175.75</v>
      </c>
      <c r="T1079" s="3000">
        <v>0.99</v>
      </c>
      <c r="U1079" s="3000">
        <v>17087</v>
      </c>
      <c r="V1079" s="3000">
        <v>300</v>
      </c>
    </row>
    <row r="1080" spans="4:22" ht="14.25" thickBot="1">
      <c r="D1080" s="2915">
        <v>1076</v>
      </c>
      <c r="E1080" s="2915"/>
      <c r="F1080" s="2914" t="s">
        <v>4187</v>
      </c>
      <c r="G1080" s="2915">
        <v>188.32</v>
      </c>
      <c r="H1080" s="2915">
        <f t="shared" si="17"/>
        <v>33.07</v>
      </c>
      <c r="Q1080" s="3004">
        <v>1076</v>
      </c>
      <c r="R1080" s="2999" t="s">
        <v>5679</v>
      </c>
      <c r="S1080" s="3000">
        <v>188.32</v>
      </c>
      <c r="T1080" s="3000">
        <v>0.99</v>
      </c>
      <c r="U1080" s="3000">
        <v>17087</v>
      </c>
      <c r="V1080" s="3000">
        <v>322</v>
      </c>
    </row>
    <row r="1081" spans="4:22" ht="14.25" thickBot="1">
      <c r="D1081" s="2915">
        <v>1077</v>
      </c>
      <c r="E1081" s="2915"/>
      <c r="F1081" s="2914" t="s">
        <v>4188</v>
      </c>
      <c r="G1081" s="2915">
        <v>210.22</v>
      </c>
      <c r="H1081" s="2915">
        <f t="shared" si="17"/>
        <v>36.909999999999997</v>
      </c>
      <c r="Q1081" s="3004">
        <v>1077</v>
      </c>
      <c r="R1081" s="2999" t="s">
        <v>5680</v>
      </c>
      <c r="S1081" s="3000">
        <v>210.22</v>
      </c>
      <c r="T1081" s="3000">
        <v>0.98</v>
      </c>
      <c r="U1081" s="3000">
        <v>16915</v>
      </c>
      <c r="V1081" s="3000">
        <v>356</v>
      </c>
    </row>
    <row r="1082" spans="4:22" ht="14.25" thickBot="1">
      <c r="D1082" s="2915">
        <v>1078</v>
      </c>
      <c r="E1082" s="2915"/>
      <c r="F1082" s="2914" t="s">
        <v>4189</v>
      </c>
      <c r="G1082" s="2915">
        <v>187.56</v>
      </c>
      <c r="H1082" s="2915">
        <f t="shared" si="17"/>
        <v>32.93</v>
      </c>
      <c r="Q1082" s="3004">
        <v>1078</v>
      </c>
      <c r="R1082" s="2999" t="s">
        <v>5681</v>
      </c>
      <c r="S1082" s="3000">
        <v>187.56</v>
      </c>
      <c r="T1082" s="3000">
        <v>0.99</v>
      </c>
      <c r="U1082" s="3000">
        <v>17087</v>
      </c>
      <c r="V1082" s="3000">
        <v>320</v>
      </c>
    </row>
    <row r="1083" spans="4:22" ht="14.25" thickBot="1">
      <c r="D1083" s="2915">
        <v>1079</v>
      </c>
      <c r="E1083" s="2915"/>
      <c r="F1083" s="2914" t="s">
        <v>4190</v>
      </c>
      <c r="G1083" s="2915">
        <v>188.42</v>
      </c>
      <c r="H1083" s="2915">
        <f t="shared" si="17"/>
        <v>33.08</v>
      </c>
      <c r="Q1083" s="3004">
        <v>1079</v>
      </c>
      <c r="R1083" s="2999" t="s">
        <v>5682</v>
      </c>
      <c r="S1083" s="3000">
        <v>188.42</v>
      </c>
      <c r="T1083" s="3000">
        <v>0.99</v>
      </c>
      <c r="U1083" s="3000">
        <v>17087</v>
      </c>
      <c r="V1083" s="3000">
        <v>322</v>
      </c>
    </row>
    <row r="1084" spans="4:22" ht="14.25" thickBot="1">
      <c r="D1084" s="2915">
        <v>1080</v>
      </c>
      <c r="E1084" s="2915"/>
      <c r="F1084" s="2914" t="s">
        <v>4191</v>
      </c>
      <c r="G1084" s="2915">
        <v>188.42</v>
      </c>
      <c r="H1084" s="2915">
        <f t="shared" si="17"/>
        <v>33.08</v>
      </c>
      <c r="Q1084" s="3004">
        <v>1080</v>
      </c>
      <c r="R1084" s="2999" t="s">
        <v>5683</v>
      </c>
      <c r="S1084" s="3000">
        <v>188.42</v>
      </c>
      <c r="T1084" s="3000">
        <v>0.99</v>
      </c>
      <c r="U1084" s="3000">
        <v>17087</v>
      </c>
      <c r="V1084" s="3000">
        <v>322</v>
      </c>
    </row>
    <row r="1085" spans="4:22" ht="14.25" thickBot="1">
      <c r="D1085" s="2915">
        <v>1081</v>
      </c>
      <c r="E1085" s="2915"/>
      <c r="F1085" s="2914" t="s">
        <v>4192</v>
      </c>
      <c r="G1085" s="2915">
        <v>188.42</v>
      </c>
      <c r="H1085" s="2915">
        <f t="shared" si="17"/>
        <v>33.08</v>
      </c>
      <c r="Q1085" s="3004">
        <v>1081</v>
      </c>
      <c r="R1085" s="2999" t="s">
        <v>5684</v>
      </c>
      <c r="S1085" s="3000">
        <v>188.42</v>
      </c>
      <c r="T1085" s="3000">
        <v>0.99</v>
      </c>
      <c r="U1085" s="3000">
        <v>17087</v>
      </c>
      <c r="V1085" s="3000">
        <v>322</v>
      </c>
    </row>
    <row r="1086" spans="4:22" ht="14.25" thickBot="1">
      <c r="D1086" s="2915">
        <v>1082</v>
      </c>
      <c r="E1086" s="2915"/>
      <c r="F1086" s="2914" t="s">
        <v>4193</v>
      </c>
      <c r="G1086" s="2915">
        <v>188.42</v>
      </c>
      <c r="H1086" s="2915">
        <f t="shared" si="17"/>
        <v>33.08</v>
      </c>
      <c r="Q1086" s="3004">
        <v>1082</v>
      </c>
      <c r="R1086" s="2999" t="s">
        <v>5685</v>
      </c>
      <c r="S1086" s="3000">
        <v>188.42</v>
      </c>
      <c r="T1086" s="3000">
        <v>0.99</v>
      </c>
      <c r="U1086" s="3000">
        <v>17087</v>
      </c>
      <c r="V1086" s="3000">
        <v>322</v>
      </c>
    </row>
    <row r="1087" spans="4:22" ht="14.25" thickBot="1">
      <c r="D1087" s="2915">
        <v>1083</v>
      </c>
      <c r="E1087" s="2915"/>
      <c r="F1087" s="2914" t="s">
        <v>4194</v>
      </c>
      <c r="G1087" s="2915">
        <v>188.42</v>
      </c>
      <c r="H1087" s="2915">
        <f t="shared" si="17"/>
        <v>33.08</v>
      </c>
      <c r="Q1087" s="3004">
        <v>1083</v>
      </c>
      <c r="R1087" s="2999" t="s">
        <v>5686</v>
      </c>
      <c r="S1087" s="3000">
        <v>188.42</v>
      </c>
      <c r="T1087" s="3000">
        <v>0.99</v>
      </c>
      <c r="U1087" s="3000">
        <v>17087</v>
      </c>
      <c r="V1087" s="3000">
        <v>322</v>
      </c>
    </row>
    <row r="1088" spans="4:22" ht="14.25" thickBot="1">
      <c r="D1088" s="2915">
        <v>1084</v>
      </c>
      <c r="E1088" s="2915"/>
      <c r="F1088" s="2914" t="s">
        <v>4195</v>
      </c>
      <c r="G1088" s="2915">
        <v>186.36</v>
      </c>
      <c r="H1088" s="2915">
        <f t="shared" si="17"/>
        <v>32.72</v>
      </c>
      <c r="Q1088" s="3004">
        <v>1084</v>
      </c>
      <c r="R1088" s="2999" t="s">
        <v>5687</v>
      </c>
      <c r="S1088" s="3000">
        <v>186.36</v>
      </c>
      <c r="T1088" s="3000">
        <v>0.99</v>
      </c>
      <c r="U1088" s="3000">
        <v>17087</v>
      </c>
      <c r="V1088" s="3000">
        <v>318</v>
      </c>
    </row>
    <row r="1089" spans="4:22" ht="14.25" thickBot="1">
      <c r="D1089" s="2915">
        <v>1085</v>
      </c>
      <c r="E1089" s="2915"/>
      <c r="F1089" s="2914" t="s">
        <v>4196</v>
      </c>
      <c r="G1089" s="2915">
        <v>188.36</v>
      </c>
      <c r="H1089" s="2915">
        <f t="shared" si="17"/>
        <v>33.07</v>
      </c>
      <c r="Q1089" s="3004">
        <v>1085</v>
      </c>
      <c r="R1089" s="2999" t="s">
        <v>5688</v>
      </c>
      <c r="S1089" s="3000">
        <v>188.36</v>
      </c>
      <c r="T1089" s="3000">
        <v>0.99</v>
      </c>
      <c r="U1089" s="3000">
        <v>17087</v>
      </c>
      <c r="V1089" s="3000">
        <v>322</v>
      </c>
    </row>
    <row r="1090" spans="4:22" ht="14.25" thickBot="1">
      <c r="D1090" s="2915">
        <v>1086</v>
      </c>
      <c r="E1090" s="2915"/>
      <c r="F1090" s="2914" t="s">
        <v>4197</v>
      </c>
      <c r="G1090" s="2915">
        <v>175.78</v>
      </c>
      <c r="H1090" s="2915">
        <f t="shared" si="17"/>
        <v>30.87</v>
      </c>
      <c r="Q1090" s="3004">
        <v>1086</v>
      </c>
      <c r="R1090" s="2999" t="s">
        <v>5689</v>
      </c>
      <c r="S1090" s="3000">
        <v>175.78</v>
      </c>
      <c r="T1090" s="3000">
        <v>0.99</v>
      </c>
      <c r="U1090" s="3000">
        <v>17087</v>
      </c>
      <c r="V1090" s="3000">
        <v>300</v>
      </c>
    </row>
    <row r="1091" spans="4:22" ht="14.25" thickBot="1">
      <c r="D1091" s="2915">
        <v>1087</v>
      </c>
      <c r="E1091" s="2915"/>
      <c r="F1091" s="2914" t="s">
        <v>4198</v>
      </c>
      <c r="G1091" s="2915">
        <v>279.95999999999998</v>
      </c>
      <c r="H1091" s="2915">
        <f t="shared" si="17"/>
        <v>49.16</v>
      </c>
      <c r="Q1091" s="3004">
        <v>1087</v>
      </c>
      <c r="R1091" s="2999" t="s">
        <v>5690</v>
      </c>
      <c r="S1091" s="3000">
        <v>279.95999999999998</v>
      </c>
      <c r="T1091" s="3000">
        <v>0.98</v>
      </c>
      <c r="U1091" s="3000">
        <v>16915</v>
      </c>
      <c r="V1091" s="3000">
        <v>474</v>
      </c>
    </row>
    <row r="1092" spans="4:22" ht="14.25" thickBot="1">
      <c r="D1092" s="2915">
        <v>1088</v>
      </c>
      <c r="E1092" s="2915"/>
      <c r="F1092" s="2914" t="s">
        <v>4199</v>
      </c>
      <c r="G1092" s="2915">
        <v>188.43</v>
      </c>
      <c r="H1092" s="2915">
        <f t="shared" si="17"/>
        <v>33.090000000000003</v>
      </c>
      <c r="Q1092" s="3004">
        <v>1088</v>
      </c>
      <c r="R1092" s="2999" t="s">
        <v>5691</v>
      </c>
      <c r="S1092" s="3000">
        <v>188.43</v>
      </c>
      <c r="T1092" s="3000">
        <v>0.99</v>
      </c>
      <c r="U1092" s="3000">
        <v>17087</v>
      </c>
      <c r="V1092" s="3000">
        <v>322</v>
      </c>
    </row>
    <row r="1093" spans="4:22" ht="14.25" thickBot="1">
      <c r="D1093" s="2915">
        <v>1089</v>
      </c>
      <c r="E1093" s="2915"/>
      <c r="F1093" s="2914" t="s">
        <v>4200</v>
      </c>
      <c r="G1093" s="2915">
        <v>188.43</v>
      </c>
      <c r="H1093" s="2915">
        <f t="shared" si="17"/>
        <v>33.090000000000003</v>
      </c>
      <c r="Q1093" s="3004">
        <v>1089</v>
      </c>
      <c r="R1093" s="2999" t="s">
        <v>5692</v>
      </c>
      <c r="S1093" s="3000">
        <v>188.43</v>
      </c>
      <c r="T1093" s="3000">
        <v>0.99</v>
      </c>
      <c r="U1093" s="3000">
        <v>17087</v>
      </c>
      <c r="V1093" s="3000">
        <v>322</v>
      </c>
    </row>
    <row r="1094" spans="4:22" ht="14.25" thickBot="1">
      <c r="D1094" s="2915">
        <v>1090</v>
      </c>
      <c r="E1094" s="2915"/>
      <c r="F1094" s="2914" t="s">
        <v>4201</v>
      </c>
      <c r="G1094" s="2915">
        <v>188.43</v>
      </c>
      <c r="H1094" s="2915">
        <f t="shared" ref="H1094:H1157" si="18">ROUND(G1094/$N$7*$M$7,2)</f>
        <v>33.090000000000003</v>
      </c>
      <c r="Q1094" s="3004">
        <v>1090</v>
      </c>
      <c r="R1094" s="2999" t="s">
        <v>5693</v>
      </c>
      <c r="S1094" s="3000">
        <v>188.43</v>
      </c>
      <c r="T1094" s="3000">
        <v>0.99</v>
      </c>
      <c r="U1094" s="3000">
        <v>17087</v>
      </c>
      <c r="V1094" s="3000">
        <v>322</v>
      </c>
    </row>
    <row r="1095" spans="4:22" ht="14.25" thickBot="1">
      <c r="D1095" s="2915">
        <v>1091</v>
      </c>
      <c r="E1095" s="2915"/>
      <c r="F1095" s="2914" t="s">
        <v>4202</v>
      </c>
      <c r="G1095" s="2915">
        <v>188.43</v>
      </c>
      <c r="H1095" s="2915">
        <f t="shared" si="18"/>
        <v>33.090000000000003</v>
      </c>
      <c r="Q1095" s="3004">
        <v>1091</v>
      </c>
      <c r="R1095" s="2999" t="s">
        <v>5694</v>
      </c>
      <c r="S1095" s="3000">
        <v>188.43</v>
      </c>
      <c r="T1095" s="3000">
        <v>0.99</v>
      </c>
      <c r="U1095" s="3000">
        <v>17087</v>
      </c>
      <c r="V1095" s="3000">
        <v>322</v>
      </c>
    </row>
    <row r="1096" spans="4:22" ht="14.25" thickBot="1">
      <c r="D1096" s="2915">
        <v>1092</v>
      </c>
      <c r="E1096" s="2915"/>
      <c r="F1096" s="2914" t="s">
        <v>4203</v>
      </c>
      <c r="G1096" s="2915">
        <v>188.43</v>
      </c>
      <c r="H1096" s="2915">
        <f t="shared" si="18"/>
        <v>33.090000000000003</v>
      </c>
      <c r="Q1096" s="3004">
        <v>1092</v>
      </c>
      <c r="R1096" s="2999" t="s">
        <v>5695</v>
      </c>
      <c r="S1096" s="3000">
        <v>188.43</v>
      </c>
      <c r="T1096" s="3000">
        <v>0.99</v>
      </c>
      <c r="U1096" s="3000">
        <v>17087</v>
      </c>
      <c r="V1096" s="3000">
        <v>322</v>
      </c>
    </row>
    <row r="1097" spans="4:22" ht="14.25" thickBot="1">
      <c r="D1097" s="2915">
        <v>1093</v>
      </c>
      <c r="E1097" s="2915"/>
      <c r="F1097" s="2914" t="s">
        <v>4204</v>
      </c>
      <c r="G1097" s="2915">
        <v>188.38</v>
      </c>
      <c r="H1097" s="2915">
        <f t="shared" si="18"/>
        <v>33.08</v>
      </c>
      <c r="Q1097" s="3004">
        <v>1093</v>
      </c>
      <c r="R1097" s="2999" t="s">
        <v>5696</v>
      </c>
      <c r="S1097" s="3000">
        <v>188.38</v>
      </c>
      <c r="T1097" s="3000">
        <v>0.99</v>
      </c>
      <c r="U1097" s="3000">
        <v>17087</v>
      </c>
      <c r="V1097" s="3000">
        <v>322</v>
      </c>
    </row>
    <row r="1098" spans="4:22" ht="14.25" thickBot="1">
      <c r="D1098" s="2915">
        <v>1094</v>
      </c>
      <c r="E1098" s="2915"/>
      <c r="F1098" s="2914" t="s">
        <v>4205</v>
      </c>
      <c r="G1098" s="2915">
        <v>208.95</v>
      </c>
      <c r="H1098" s="2915">
        <f t="shared" si="18"/>
        <v>36.69</v>
      </c>
      <c r="Q1098" s="3004">
        <v>1094</v>
      </c>
      <c r="R1098" s="2999" t="s">
        <v>5697</v>
      </c>
      <c r="S1098" s="3000">
        <v>208.95</v>
      </c>
      <c r="T1098" s="3000">
        <v>0.98</v>
      </c>
      <c r="U1098" s="3000">
        <v>16915</v>
      </c>
      <c r="V1098" s="3000">
        <v>353</v>
      </c>
    </row>
    <row r="1099" spans="4:22" ht="14.25" thickBot="1">
      <c r="D1099" s="2915">
        <v>1095</v>
      </c>
      <c r="E1099" s="2915"/>
      <c r="F1099" s="2914" t="s">
        <v>4206</v>
      </c>
      <c r="G1099" s="2915">
        <v>189.85</v>
      </c>
      <c r="H1099" s="2915">
        <f t="shared" si="18"/>
        <v>33.340000000000003</v>
      </c>
      <c r="Q1099" s="3004">
        <v>1095</v>
      </c>
      <c r="R1099" s="2999" t="s">
        <v>5698</v>
      </c>
      <c r="S1099" s="3000">
        <v>189.85</v>
      </c>
      <c r="T1099" s="3000">
        <v>0.99</v>
      </c>
      <c r="U1099" s="3000">
        <v>17087</v>
      </c>
      <c r="V1099" s="3000">
        <v>324</v>
      </c>
    </row>
    <row r="1100" spans="4:22" ht="14.25" thickBot="1">
      <c r="D1100" s="2915">
        <v>1096</v>
      </c>
      <c r="E1100" s="2915"/>
      <c r="F1100" s="2914" t="s">
        <v>4207</v>
      </c>
      <c r="G1100" s="2915">
        <v>169.23</v>
      </c>
      <c r="H1100" s="2915">
        <f t="shared" si="18"/>
        <v>29.72</v>
      </c>
      <c r="Q1100" s="3004">
        <v>1096</v>
      </c>
      <c r="R1100" s="2999" t="s">
        <v>5699</v>
      </c>
      <c r="S1100" s="3000">
        <v>169.23</v>
      </c>
      <c r="T1100" s="3000">
        <v>0.99</v>
      </c>
      <c r="U1100" s="3000">
        <v>17087</v>
      </c>
      <c r="V1100" s="3000">
        <v>289</v>
      </c>
    </row>
    <row r="1101" spans="4:22" ht="14.25" thickBot="1">
      <c r="D1101" s="2915">
        <v>1097</v>
      </c>
      <c r="E1101" s="2915"/>
      <c r="F1101" s="2914" t="s">
        <v>4208</v>
      </c>
      <c r="G1101" s="2915">
        <v>55.7</v>
      </c>
      <c r="H1101" s="2915">
        <f t="shared" si="18"/>
        <v>9.7799999999999994</v>
      </c>
      <c r="Q1101" s="3004">
        <v>1097</v>
      </c>
      <c r="R1101" s="2999" t="s">
        <v>5700</v>
      </c>
      <c r="S1101" s="3000">
        <v>55.7</v>
      </c>
      <c r="T1101" s="3000">
        <v>1</v>
      </c>
      <c r="U1101" s="3000">
        <v>17260</v>
      </c>
      <c r="V1101" s="3000">
        <v>96</v>
      </c>
    </row>
    <row r="1102" spans="4:22" ht="14.25" thickBot="1">
      <c r="D1102" s="2915">
        <v>1098</v>
      </c>
      <c r="E1102" s="2915"/>
      <c r="F1102" s="2914" t="s">
        <v>4209</v>
      </c>
      <c r="G1102" s="2915">
        <v>49.53</v>
      </c>
      <c r="H1102" s="2915">
        <f t="shared" si="18"/>
        <v>8.6999999999999993</v>
      </c>
      <c r="Q1102" s="3004">
        <v>1098</v>
      </c>
      <c r="R1102" s="2999" t="s">
        <v>5701</v>
      </c>
      <c r="S1102" s="3000">
        <v>49.53</v>
      </c>
      <c r="T1102" s="3000">
        <v>1</v>
      </c>
      <c r="U1102" s="3000">
        <v>17260</v>
      </c>
      <c r="V1102" s="3000">
        <v>85</v>
      </c>
    </row>
    <row r="1103" spans="4:22" ht="14.25" thickBot="1">
      <c r="D1103" s="2915">
        <v>1099</v>
      </c>
      <c r="E1103" s="2915"/>
      <c r="F1103" s="2914" t="s">
        <v>4210</v>
      </c>
      <c r="G1103" s="2915">
        <v>50.63</v>
      </c>
      <c r="H1103" s="2915">
        <f t="shared" si="18"/>
        <v>8.89</v>
      </c>
      <c r="Q1103" s="3004">
        <v>1099</v>
      </c>
      <c r="R1103" s="2999" t="s">
        <v>5702</v>
      </c>
      <c r="S1103" s="3000">
        <v>50.63</v>
      </c>
      <c r="T1103" s="3000">
        <v>1</v>
      </c>
      <c r="U1103" s="3000">
        <v>17260</v>
      </c>
      <c r="V1103" s="3000">
        <v>87</v>
      </c>
    </row>
    <row r="1104" spans="4:22" ht="14.25" thickBot="1">
      <c r="D1104" s="2915">
        <v>1100</v>
      </c>
      <c r="E1104" s="2915"/>
      <c r="F1104" s="2914" t="s">
        <v>4211</v>
      </c>
      <c r="G1104" s="2915">
        <v>50.63</v>
      </c>
      <c r="H1104" s="2915">
        <f t="shared" si="18"/>
        <v>8.89</v>
      </c>
      <c r="Q1104" s="3004">
        <v>1100</v>
      </c>
      <c r="R1104" s="2999" t="s">
        <v>5703</v>
      </c>
      <c r="S1104" s="3000">
        <v>50.63</v>
      </c>
      <c r="T1104" s="3000">
        <v>1</v>
      </c>
      <c r="U1104" s="3000">
        <v>17260</v>
      </c>
      <c r="V1104" s="3000">
        <v>87</v>
      </c>
    </row>
    <row r="1105" spans="4:22" ht="14.25" thickBot="1">
      <c r="D1105" s="2915">
        <v>1101</v>
      </c>
      <c r="E1105" s="2915"/>
      <c r="F1105" s="2914" t="s">
        <v>4212</v>
      </c>
      <c r="G1105" s="2915">
        <v>50.63</v>
      </c>
      <c r="H1105" s="2915">
        <f t="shared" si="18"/>
        <v>8.89</v>
      </c>
      <c r="Q1105" s="3004">
        <v>1101</v>
      </c>
      <c r="R1105" s="2999" t="s">
        <v>5704</v>
      </c>
      <c r="S1105" s="3000">
        <v>50.63</v>
      </c>
      <c r="T1105" s="3000">
        <v>1</v>
      </c>
      <c r="U1105" s="3000">
        <v>17260</v>
      </c>
      <c r="V1105" s="3000">
        <v>87</v>
      </c>
    </row>
    <row r="1106" spans="4:22" ht="14.25" thickBot="1">
      <c r="D1106" s="2915">
        <v>1102</v>
      </c>
      <c r="E1106" s="2915"/>
      <c r="F1106" s="2914" t="s">
        <v>4213</v>
      </c>
      <c r="G1106" s="2915">
        <v>50.63</v>
      </c>
      <c r="H1106" s="2915">
        <f t="shared" si="18"/>
        <v>8.89</v>
      </c>
      <c r="Q1106" s="3004">
        <v>1102</v>
      </c>
      <c r="R1106" s="2999" t="s">
        <v>5705</v>
      </c>
      <c r="S1106" s="3000">
        <v>50.63</v>
      </c>
      <c r="T1106" s="3000">
        <v>1</v>
      </c>
      <c r="U1106" s="3000">
        <v>17260</v>
      </c>
      <c r="V1106" s="3000">
        <v>87</v>
      </c>
    </row>
    <row r="1107" spans="4:22" ht="14.25" thickBot="1">
      <c r="D1107" s="2915">
        <v>1103</v>
      </c>
      <c r="E1107" s="2915"/>
      <c r="F1107" s="2914" t="s">
        <v>4214</v>
      </c>
      <c r="G1107" s="2915">
        <v>50.63</v>
      </c>
      <c r="H1107" s="2915">
        <f t="shared" si="18"/>
        <v>8.89</v>
      </c>
      <c r="Q1107" s="3004">
        <v>1103</v>
      </c>
      <c r="R1107" s="2999" t="s">
        <v>5706</v>
      </c>
      <c r="S1107" s="3000">
        <v>50.63</v>
      </c>
      <c r="T1107" s="3000">
        <v>1</v>
      </c>
      <c r="U1107" s="3000">
        <v>17260</v>
      </c>
      <c r="V1107" s="3000">
        <v>87</v>
      </c>
    </row>
    <row r="1108" spans="4:22" ht="14.25" thickBot="1">
      <c r="D1108" s="2915">
        <v>1104</v>
      </c>
      <c r="E1108" s="2915"/>
      <c r="F1108" s="2914" t="s">
        <v>4215</v>
      </c>
      <c r="G1108" s="2915">
        <v>50.63</v>
      </c>
      <c r="H1108" s="2915">
        <f t="shared" si="18"/>
        <v>8.89</v>
      </c>
      <c r="Q1108" s="3004">
        <v>1104</v>
      </c>
      <c r="R1108" s="2999" t="s">
        <v>5707</v>
      </c>
      <c r="S1108" s="3000">
        <v>50.63</v>
      </c>
      <c r="T1108" s="3000">
        <v>1</v>
      </c>
      <c r="U1108" s="3000">
        <v>17260</v>
      </c>
      <c r="V1108" s="3000">
        <v>87</v>
      </c>
    </row>
    <row r="1109" spans="4:22" ht="14.25" thickBot="1">
      <c r="D1109" s="2915">
        <v>1105</v>
      </c>
      <c r="E1109" s="2915"/>
      <c r="F1109" s="2914" t="s">
        <v>4216</v>
      </c>
      <c r="G1109" s="2915">
        <v>50.63</v>
      </c>
      <c r="H1109" s="2915">
        <f t="shared" si="18"/>
        <v>8.89</v>
      </c>
      <c r="Q1109" s="3004">
        <v>1105</v>
      </c>
      <c r="R1109" s="2999" t="s">
        <v>5708</v>
      </c>
      <c r="S1109" s="3000">
        <v>50.63</v>
      </c>
      <c r="T1109" s="3000">
        <v>1</v>
      </c>
      <c r="U1109" s="3000">
        <v>17260</v>
      </c>
      <c r="V1109" s="3000">
        <v>87</v>
      </c>
    </row>
    <row r="1110" spans="4:22" ht="14.25" thickBot="1">
      <c r="D1110" s="2915">
        <v>1106</v>
      </c>
      <c r="E1110" s="2915"/>
      <c r="F1110" s="2914" t="s">
        <v>4217</v>
      </c>
      <c r="G1110" s="2915">
        <v>50.63</v>
      </c>
      <c r="H1110" s="2915">
        <f t="shared" si="18"/>
        <v>8.89</v>
      </c>
      <c r="Q1110" s="3004">
        <v>1106</v>
      </c>
      <c r="R1110" s="2999" t="s">
        <v>5709</v>
      </c>
      <c r="S1110" s="3000">
        <v>50.63</v>
      </c>
      <c r="T1110" s="3000">
        <v>1</v>
      </c>
      <c r="U1110" s="3000">
        <v>17260</v>
      </c>
      <c r="V1110" s="3000">
        <v>87</v>
      </c>
    </row>
    <row r="1111" spans="4:22" ht="14.25" thickBot="1">
      <c r="D1111" s="2915">
        <v>1107</v>
      </c>
      <c r="E1111" s="2915"/>
      <c r="F1111" s="2914" t="s">
        <v>4218</v>
      </c>
      <c r="G1111" s="2915">
        <v>50.63</v>
      </c>
      <c r="H1111" s="2915">
        <f t="shared" si="18"/>
        <v>8.89</v>
      </c>
      <c r="Q1111" s="3004">
        <v>1107</v>
      </c>
      <c r="R1111" s="2999" t="s">
        <v>5710</v>
      </c>
      <c r="S1111" s="3000">
        <v>50.63</v>
      </c>
      <c r="T1111" s="3000">
        <v>1</v>
      </c>
      <c r="U1111" s="3000">
        <v>17260</v>
      </c>
      <c r="V1111" s="3000">
        <v>87</v>
      </c>
    </row>
    <row r="1112" spans="4:22" ht="14.25" thickBot="1">
      <c r="D1112" s="2915">
        <v>1108</v>
      </c>
      <c r="E1112" s="2915"/>
      <c r="F1112" s="2914" t="s">
        <v>4219</v>
      </c>
      <c r="G1112" s="2915">
        <v>50.63</v>
      </c>
      <c r="H1112" s="2915">
        <f t="shared" si="18"/>
        <v>8.89</v>
      </c>
      <c r="Q1112" s="3004">
        <v>1108</v>
      </c>
      <c r="R1112" s="2999" t="s">
        <v>5711</v>
      </c>
      <c r="S1112" s="3000">
        <v>50.63</v>
      </c>
      <c r="T1112" s="3000">
        <v>1</v>
      </c>
      <c r="U1112" s="3000">
        <v>17260</v>
      </c>
      <c r="V1112" s="3000">
        <v>87</v>
      </c>
    </row>
    <row r="1113" spans="4:22" ht="14.25" thickBot="1">
      <c r="D1113" s="2915">
        <v>1109</v>
      </c>
      <c r="E1113" s="2915"/>
      <c r="F1113" s="2914" t="s">
        <v>4220</v>
      </c>
      <c r="G1113" s="2915">
        <v>49.61</v>
      </c>
      <c r="H1113" s="2915">
        <f t="shared" si="18"/>
        <v>8.7100000000000009</v>
      </c>
      <c r="Q1113" s="3004">
        <v>1109</v>
      </c>
      <c r="R1113" s="2999" t="s">
        <v>5712</v>
      </c>
      <c r="S1113" s="3000">
        <v>49.61</v>
      </c>
      <c r="T1113" s="3000">
        <v>1</v>
      </c>
      <c r="U1113" s="3000">
        <v>17260</v>
      </c>
      <c r="V1113" s="3000">
        <v>86</v>
      </c>
    </row>
    <row r="1114" spans="4:22" ht="14.25" thickBot="1">
      <c r="D1114" s="2915">
        <v>1110</v>
      </c>
      <c r="E1114" s="2915"/>
      <c r="F1114" s="2914" t="s">
        <v>4221</v>
      </c>
      <c r="G1114" s="2915">
        <v>46.31</v>
      </c>
      <c r="H1114" s="2915">
        <f t="shared" si="18"/>
        <v>8.1300000000000008</v>
      </c>
      <c r="Q1114" s="3004">
        <v>1110</v>
      </c>
      <c r="R1114" s="2999" t="s">
        <v>5713</v>
      </c>
      <c r="S1114" s="3000">
        <v>46.31</v>
      </c>
      <c r="T1114" s="3000">
        <v>1</v>
      </c>
      <c r="U1114" s="3000">
        <v>17260</v>
      </c>
      <c r="V1114" s="3000">
        <v>80</v>
      </c>
    </row>
    <row r="1115" spans="4:22" ht="14.25" thickBot="1">
      <c r="D1115" s="2915">
        <v>1111</v>
      </c>
      <c r="E1115" s="2915"/>
      <c r="F1115" s="2914" t="s">
        <v>4222</v>
      </c>
      <c r="G1115" s="2915">
        <v>50.63</v>
      </c>
      <c r="H1115" s="2915">
        <f t="shared" si="18"/>
        <v>8.89</v>
      </c>
      <c r="Q1115" s="3004">
        <v>1111</v>
      </c>
      <c r="R1115" s="2999" t="s">
        <v>5714</v>
      </c>
      <c r="S1115" s="3000">
        <v>50.63</v>
      </c>
      <c r="T1115" s="3000">
        <v>1</v>
      </c>
      <c r="U1115" s="3000">
        <v>17260</v>
      </c>
      <c r="V1115" s="3000">
        <v>87</v>
      </c>
    </row>
    <row r="1116" spans="4:22" ht="14.25" thickBot="1">
      <c r="D1116" s="2915">
        <v>1112</v>
      </c>
      <c r="E1116" s="2915"/>
      <c r="F1116" s="2914" t="s">
        <v>4223</v>
      </c>
      <c r="G1116" s="2915">
        <v>50.63</v>
      </c>
      <c r="H1116" s="2915">
        <f t="shared" si="18"/>
        <v>8.89</v>
      </c>
      <c r="Q1116" s="3004">
        <v>1112</v>
      </c>
      <c r="R1116" s="2999" t="s">
        <v>5715</v>
      </c>
      <c r="S1116" s="3000">
        <v>50.63</v>
      </c>
      <c r="T1116" s="3000">
        <v>1</v>
      </c>
      <c r="U1116" s="3000">
        <v>17260</v>
      </c>
      <c r="V1116" s="3000">
        <v>87</v>
      </c>
    </row>
    <row r="1117" spans="4:22" ht="14.25" thickBot="1">
      <c r="D1117" s="2915">
        <v>1113</v>
      </c>
      <c r="E1117" s="2915"/>
      <c r="F1117" s="2914" t="s">
        <v>4224</v>
      </c>
      <c r="G1117" s="2915">
        <v>62.54</v>
      </c>
      <c r="H1117" s="2915">
        <f t="shared" si="18"/>
        <v>10.98</v>
      </c>
      <c r="Q1117" s="3004">
        <v>1113</v>
      </c>
      <c r="R1117" s="2999" t="s">
        <v>5716</v>
      </c>
      <c r="S1117" s="3000">
        <v>62.54</v>
      </c>
      <c r="T1117" s="3000">
        <v>1</v>
      </c>
      <c r="U1117" s="3000">
        <v>17260</v>
      </c>
      <c r="V1117" s="3000">
        <v>108</v>
      </c>
    </row>
    <row r="1118" spans="4:22" ht="14.25" thickBot="1">
      <c r="D1118" s="2915">
        <v>1114</v>
      </c>
      <c r="E1118" s="2915"/>
      <c r="F1118" s="2914" t="s">
        <v>4225</v>
      </c>
      <c r="G1118" s="2915">
        <v>62.56</v>
      </c>
      <c r="H1118" s="2915">
        <f t="shared" si="18"/>
        <v>10.99</v>
      </c>
      <c r="Q1118" s="3004">
        <v>1114</v>
      </c>
      <c r="R1118" s="2999" t="s">
        <v>5717</v>
      </c>
      <c r="S1118" s="3000">
        <v>62.56</v>
      </c>
      <c r="T1118" s="3000">
        <v>1</v>
      </c>
      <c r="U1118" s="3000">
        <v>17260</v>
      </c>
      <c r="V1118" s="3000">
        <v>108</v>
      </c>
    </row>
    <row r="1119" spans="4:22" ht="14.25" thickBot="1">
      <c r="D1119" s="2915">
        <v>1115</v>
      </c>
      <c r="E1119" s="2915"/>
      <c r="F1119" s="2914" t="s">
        <v>4226</v>
      </c>
      <c r="G1119" s="2915">
        <v>62.56</v>
      </c>
      <c r="H1119" s="2915">
        <f t="shared" si="18"/>
        <v>10.99</v>
      </c>
      <c r="Q1119" s="3004">
        <v>1115</v>
      </c>
      <c r="R1119" s="2999" t="s">
        <v>5718</v>
      </c>
      <c r="S1119" s="3000">
        <v>62.56</v>
      </c>
      <c r="T1119" s="3000">
        <v>1</v>
      </c>
      <c r="U1119" s="3000">
        <v>17260</v>
      </c>
      <c r="V1119" s="3000">
        <v>108</v>
      </c>
    </row>
    <row r="1120" spans="4:22" ht="14.25" thickBot="1">
      <c r="D1120" s="2915">
        <v>1116</v>
      </c>
      <c r="E1120" s="2915"/>
      <c r="F1120" s="2914" t="s">
        <v>4227</v>
      </c>
      <c r="G1120" s="2915">
        <v>62.54</v>
      </c>
      <c r="H1120" s="2915">
        <f t="shared" si="18"/>
        <v>10.98</v>
      </c>
      <c r="Q1120" s="3004">
        <v>1116</v>
      </c>
      <c r="R1120" s="2999" t="s">
        <v>5719</v>
      </c>
      <c r="S1120" s="3000">
        <v>62.54</v>
      </c>
      <c r="T1120" s="3000">
        <v>1</v>
      </c>
      <c r="U1120" s="3000">
        <v>17260</v>
      </c>
      <c r="V1120" s="3000">
        <v>108</v>
      </c>
    </row>
    <row r="1121" spans="4:22" ht="14.25" thickBot="1">
      <c r="D1121" s="2915">
        <v>1117</v>
      </c>
      <c r="E1121" s="2915"/>
      <c r="F1121" s="2914" t="s">
        <v>4228</v>
      </c>
      <c r="G1121" s="2915">
        <v>60.63</v>
      </c>
      <c r="H1121" s="2915">
        <f t="shared" si="18"/>
        <v>10.65</v>
      </c>
      <c r="Q1121" s="3004">
        <v>1117</v>
      </c>
      <c r="R1121" s="2999" t="s">
        <v>5720</v>
      </c>
      <c r="S1121" s="3000">
        <v>60.63</v>
      </c>
      <c r="T1121" s="3000">
        <v>1</v>
      </c>
      <c r="U1121" s="3000">
        <v>17260</v>
      </c>
      <c r="V1121" s="3000">
        <v>105</v>
      </c>
    </row>
    <row r="1122" spans="4:22" ht="14.25" thickBot="1">
      <c r="D1122" s="2915">
        <v>1118</v>
      </c>
      <c r="E1122" s="2915"/>
      <c r="F1122" s="2914" t="s">
        <v>4229</v>
      </c>
      <c r="G1122" s="2915">
        <v>60.63</v>
      </c>
      <c r="H1122" s="2915">
        <f t="shared" si="18"/>
        <v>10.65</v>
      </c>
      <c r="Q1122" s="3004">
        <v>1118</v>
      </c>
      <c r="R1122" s="2999" t="s">
        <v>5721</v>
      </c>
      <c r="S1122" s="3000">
        <v>60.63</v>
      </c>
      <c r="T1122" s="3000">
        <v>1</v>
      </c>
      <c r="U1122" s="3000">
        <v>17260</v>
      </c>
      <c r="V1122" s="3000">
        <v>105</v>
      </c>
    </row>
    <row r="1123" spans="4:22" ht="14.25" thickBot="1">
      <c r="D1123" s="2915">
        <v>1119</v>
      </c>
      <c r="E1123" s="2915"/>
      <c r="F1123" s="2914" t="s">
        <v>4230</v>
      </c>
      <c r="G1123" s="2915">
        <v>60.63</v>
      </c>
      <c r="H1123" s="2915">
        <f t="shared" si="18"/>
        <v>10.65</v>
      </c>
      <c r="Q1123" s="3004">
        <v>1119</v>
      </c>
      <c r="R1123" s="2999" t="s">
        <v>5722</v>
      </c>
      <c r="S1123" s="3000">
        <v>60.63</v>
      </c>
      <c r="T1123" s="3000">
        <v>1</v>
      </c>
      <c r="U1123" s="3000">
        <v>17260</v>
      </c>
      <c r="V1123" s="3000">
        <v>105</v>
      </c>
    </row>
    <row r="1124" spans="4:22" ht="14.25" thickBot="1">
      <c r="D1124" s="2915">
        <v>1120</v>
      </c>
      <c r="E1124" s="2915"/>
      <c r="F1124" s="2914" t="s">
        <v>4231</v>
      </c>
      <c r="G1124" s="2915">
        <v>60.63</v>
      </c>
      <c r="H1124" s="2915">
        <f t="shared" si="18"/>
        <v>10.65</v>
      </c>
      <c r="Q1124" s="3004">
        <v>1120</v>
      </c>
      <c r="R1124" s="2999" t="s">
        <v>5723</v>
      </c>
      <c r="S1124" s="3000">
        <v>60.63</v>
      </c>
      <c r="T1124" s="3000">
        <v>1</v>
      </c>
      <c r="U1124" s="3000">
        <v>17260</v>
      </c>
      <c r="V1124" s="3000">
        <v>105</v>
      </c>
    </row>
    <row r="1125" spans="4:22" ht="14.25" thickBot="1">
      <c r="D1125" s="2915">
        <v>1121</v>
      </c>
      <c r="E1125" s="2915"/>
      <c r="F1125" s="2914" t="s">
        <v>4232</v>
      </c>
      <c r="G1125" s="2915">
        <v>60.63</v>
      </c>
      <c r="H1125" s="2915">
        <f t="shared" si="18"/>
        <v>10.65</v>
      </c>
      <c r="Q1125" s="3004">
        <v>1121</v>
      </c>
      <c r="R1125" s="2999" t="s">
        <v>5724</v>
      </c>
      <c r="S1125" s="3000">
        <v>60.63</v>
      </c>
      <c r="T1125" s="3000">
        <v>1</v>
      </c>
      <c r="U1125" s="3000">
        <v>17260</v>
      </c>
      <c r="V1125" s="3000">
        <v>105</v>
      </c>
    </row>
    <row r="1126" spans="4:22" ht="14.25" thickBot="1">
      <c r="D1126" s="2915">
        <v>1122</v>
      </c>
      <c r="E1126" s="2915"/>
      <c r="F1126" s="2914" t="s">
        <v>4233</v>
      </c>
      <c r="G1126" s="2915">
        <v>60.63</v>
      </c>
      <c r="H1126" s="2915">
        <f t="shared" si="18"/>
        <v>10.65</v>
      </c>
      <c r="Q1126" s="3004">
        <v>1122</v>
      </c>
      <c r="R1126" s="2999" t="s">
        <v>5725</v>
      </c>
      <c r="S1126" s="3000">
        <v>60.63</v>
      </c>
      <c r="T1126" s="3000">
        <v>1</v>
      </c>
      <c r="U1126" s="3000">
        <v>17260</v>
      </c>
      <c r="V1126" s="3000">
        <v>105</v>
      </c>
    </row>
    <row r="1127" spans="4:22" ht="14.25" thickBot="1">
      <c r="D1127" s="2915">
        <v>1123</v>
      </c>
      <c r="E1127" s="2915"/>
      <c r="F1127" s="2914" t="s">
        <v>4234</v>
      </c>
      <c r="G1127" s="2915">
        <v>60.63</v>
      </c>
      <c r="H1127" s="2915">
        <f t="shared" si="18"/>
        <v>10.65</v>
      </c>
      <c r="Q1127" s="3004">
        <v>1123</v>
      </c>
      <c r="R1127" s="2999" t="s">
        <v>5726</v>
      </c>
      <c r="S1127" s="3000">
        <v>60.63</v>
      </c>
      <c r="T1127" s="3000">
        <v>1</v>
      </c>
      <c r="U1127" s="3000">
        <v>17260</v>
      </c>
      <c r="V1127" s="3000">
        <v>105</v>
      </c>
    </row>
    <row r="1128" spans="4:22" ht="14.25" thickBot="1">
      <c r="D1128" s="2915">
        <v>1124</v>
      </c>
      <c r="E1128" s="2915"/>
      <c r="F1128" s="2914" t="s">
        <v>4235</v>
      </c>
      <c r="G1128" s="2915">
        <v>60.63</v>
      </c>
      <c r="H1128" s="2915">
        <f t="shared" si="18"/>
        <v>10.65</v>
      </c>
      <c r="Q1128" s="3004">
        <v>1124</v>
      </c>
      <c r="R1128" s="2999" t="s">
        <v>5727</v>
      </c>
      <c r="S1128" s="3000">
        <v>60.63</v>
      </c>
      <c r="T1128" s="3000">
        <v>1</v>
      </c>
      <c r="U1128" s="3000">
        <v>17260</v>
      </c>
      <c r="V1128" s="3000">
        <v>105</v>
      </c>
    </row>
    <row r="1129" spans="4:22" ht="14.25" thickBot="1">
      <c r="D1129" s="2915">
        <v>1125</v>
      </c>
      <c r="E1129" s="2915"/>
      <c r="F1129" s="2914" t="s">
        <v>4236</v>
      </c>
      <c r="G1129" s="2915">
        <v>60.63</v>
      </c>
      <c r="H1129" s="2915">
        <f t="shared" si="18"/>
        <v>10.65</v>
      </c>
      <c r="Q1129" s="3004">
        <v>1125</v>
      </c>
      <c r="R1129" s="2999" t="s">
        <v>5728</v>
      </c>
      <c r="S1129" s="3000">
        <v>60.63</v>
      </c>
      <c r="T1129" s="3000">
        <v>1</v>
      </c>
      <c r="U1129" s="3000">
        <v>17260</v>
      </c>
      <c r="V1129" s="3000">
        <v>105</v>
      </c>
    </row>
    <row r="1130" spans="4:22" ht="14.25" thickBot="1">
      <c r="D1130" s="2915">
        <v>1126</v>
      </c>
      <c r="E1130" s="2915"/>
      <c r="F1130" s="2914" t="s">
        <v>4237</v>
      </c>
      <c r="G1130" s="2915">
        <v>60.63</v>
      </c>
      <c r="H1130" s="2915">
        <f t="shared" si="18"/>
        <v>10.65</v>
      </c>
      <c r="Q1130" s="3004">
        <v>1126</v>
      </c>
      <c r="R1130" s="2999" t="s">
        <v>5729</v>
      </c>
      <c r="S1130" s="3000">
        <v>60.63</v>
      </c>
      <c r="T1130" s="3000">
        <v>1</v>
      </c>
      <c r="U1130" s="3000">
        <v>17260</v>
      </c>
      <c r="V1130" s="3000">
        <v>105</v>
      </c>
    </row>
    <row r="1131" spans="4:22" ht="14.25" thickBot="1">
      <c r="D1131" s="2915">
        <v>1127</v>
      </c>
      <c r="E1131" s="2915"/>
      <c r="F1131" s="2914" t="s">
        <v>4238</v>
      </c>
      <c r="G1131" s="2915">
        <v>60.63</v>
      </c>
      <c r="H1131" s="2915">
        <f t="shared" si="18"/>
        <v>10.65</v>
      </c>
      <c r="Q1131" s="3004">
        <v>1127</v>
      </c>
      <c r="R1131" s="2999" t="s">
        <v>5730</v>
      </c>
      <c r="S1131" s="3000">
        <v>60.63</v>
      </c>
      <c r="T1131" s="3000">
        <v>1</v>
      </c>
      <c r="U1131" s="3000">
        <v>17260</v>
      </c>
      <c r="V1131" s="3000">
        <v>105</v>
      </c>
    </row>
    <row r="1132" spans="4:22" ht="14.25" thickBot="1">
      <c r="D1132" s="2915">
        <v>1128</v>
      </c>
      <c r="E1132" s="2915"/>
      <c r="F1132" s="2914" t="s">
        <v>4239</v>
      </c>
      <c r="G1132" s="2915">
        <v>60.63</v>
      </c>
      <c r="H1132" s="2915">
        <f t="shared" si="18"/>
        <v>10.65</v>
      </c>
      <c r="Q1132" s="3004">
        <v>1128</v>
      </c>
      <c r="R1132" s="2999" t="s">
        <v>5731</v>
      </c>
      <c r="S1132" s="3000">
        <v>60.63</v>
      </c>
      <c r="T1132" s="3000">
        <v>1</v>
      </c>
      <c r="U1132" s="3000">
        <v>17260</v>
      </c>
      <c r="V1132" s="3000">
        <v>105</v>
      </c>
    </row>
    <row r="1133" spans="4:22" ht="14.25" thickBot="1">
      <c r="D1133" s="2915">
        <v>1129</v>
      </c>
      <c r="E1133" s="2915"/>
      <c r="F1133" s="2914" t="s">
        <v>4240</v>
      </c>
      <c r="G1133" s="2915">
        <v>50.38</v>
      </c>
      <c r="H1133" s="2915">
        <f t="shared" si="18"/>
        <v>8.85</v>
      </c>
      <c r="Q1133" s="3004">
        <v>1129</v>
      </c>
      <c r="R1133" s="2999" t="s">
        <v>5732</v>
      </c>
      <c r="S1133" s="3000">
        <v>50.38</v>
      </c>
      <c r="T1133" s="3000">
        <v>1</v>
      </c>
      <c r="U1133" s="3000">
        <v>17260</v>
      </c>
      <c r="V1133" s="3000">
        <v>87</v>
      </c>
    </row>
    <row r="1134" spans="4:22" ht="14.25" thickBot="1">
      <c r="D1134" s="2915">
        <v>1130</v>
      </c>
      <c r="E1134" s="2915"/>
      <c r="F1134" s="2914" t="s">
        <v>4241</v>
      </c>
      <c r="G1134" s="2915">
        <v>51.12</v>
      </c>
      <c r="H1134" s="2915">
        <f t="shared" si="18"/>
        <v>8.98</v>
      </c>
      <c r="Q1134" s="3004">
        <v>1130</v>
      </c>
      <c r="R1134" s="2999" t="s">
        <v>5733</v>
      </c>
      <c r="S1134" s="3000">
        <v>51.12</v>
      </c>
      <c r="T1134" s="3000">
        <v>1</v>
      </c>
      <c r="U1134" s="3000">
        <v>17260</v>
      </c>
      <c r="V1134" s="3000">
        <v>88</v>
      </c>
    </row>
    <row r="1135" spans="4:22" ht="14.25" thickBot="1">
      <c r="D1135" s="2915">
        <v>1131</v>
      </c>
      <c r="E1135" s="2915"/>
      <c r="F1135" s="2914" t="s">
        <v>4242</v>
      </c>
      <c r="G1135" s="2915">
        <v>68.760000000000005</v>
      </c>
      <c r="H1135" s="2915">
        <f t="shared" si="18"/>
        <v>12.07</v>
      </c>
      <c r="Q1135" s="3004">
        <v>1131</v>
      </c>
      <c r="R1135" s="2999" t="s">
        <v>5734</v>
      </c>
      <c r="S1135" s="3000">
        <v>68.760000000000005</v>
      </c>
      <c r="T1135" s="3000">
        <v>1</v>
      </c>
      <c r="U1135" s="3000">
        <v>17260</v>
      </c>
      <c r="V1135" s="3000">
        <v>119</v>
      </c>
    </row>
    <row r="1136" spans="4:22" ht="14.25" thickBot="1">
      <c r="D1136" s="2915">
        <v>1132</v>
      </c>
      <c r="E1136" s="2915"/>
      <c r="F1136" s="2914" t="s">
        <v>4243</v>
      </c>
      <c r="G1136" s="2915">
        <v>69.319999999999993</v>
      </c>
      <c r="H1136" s="2915">
        <f t="shared" si="18"/>
        <v>12.17</v>
      </c>
      <c r="Q1136" s="3004">
        <v>1132</v>
      </c>
      <c r="R1136" s="2999" t="s">
        <v>5735</v>
      </c>
      <c r="S1136" s="3000">
        <v>69.319999999999993</v>
      </c>
      <c r="T1136" s="3000">
        <v>1</v>
      </c>
      <c r="U1136" s="3000">
        <v>17260</v>
      </c>
      <c r="V1136" s="3000">
        <v>120</v>
      </c>
    </row>
    <row r="1137" spans="4:22" ht="14.25" thickBot="1">
      <c r="D1137" s="2915">
        <v>1133</v>
      </c>
      <c r="E1137" s="2915"/>
      <c r="F1137" s="2914" t="s">
        <v>4244</v>
      </c>
      <c r="G1137" s="2915">
        <v>61.41</v>
      </c>
      <c r="H1137" s="2915">
        <f t="shared" si="18"/>
        <v>10.78</v>
      </c>
      <c r="Q1137" s="3004">
        <v>1133</v>
      </c>
      <c r="R1137" s="2999" t="s">
        <v>5736</v>
      </c>
      <c r="S1137" s="3000">
        <v>61.41</v>
      </c>
      <c r="T1137" s="3000">
        <v>1</v>
      </c>
      <c r="U1137" s="3000">
        <v>17260</v>
      </c>
      <c r="V1137" s="3000">
        <v>106</v>
      </c>
    </row>
    <row r="1138" spans="4:22" ht="14.25" thickBot="1">
      <c r="D1138" s="2915">
        <v>1134</v>
      </c>
      <c r="E1138" s="2915"/>
      <c r="F1138" s="2914" t="s">
        <v>4245</v>
      </c>
      <c r="G1138" s="2915">
        <v>61.41</v>
      </c>
      <c r="H1138" s="2915">
        <f t="shared" si="18"/>
        <v>10.78</v>
      </c>
      <c r="Q1138" s="3004">
        <v>1134</v>
      </c>
      <c r="R1138" s="2999" t="s">
        <v>5737</v>
      </c>
      <c r="S1138" s="3000">
        <v>61.41</v>
      </c>
      <c r="T1138" s="3000">
        <v>1</v>
      </c>
      <c r="U1138" s="3000">
        <v>17260</v>
      </c>
      <c r="V1138" s="3000">
        <v>106</v>
      </c>
    </row>
    <row r="1139" spans="4:22" ht="14.25" thickBot="1">
      <c r="D1139" s="2915">
        <v>1135</v>
      </c>
      <c r="E1139" s="2915"/>
      <c r="F1139" s="2914" t="s">
        <v>4246</v>
      </c>
      <c r="G1139" s="2915">
        <v>61.41</v>
      </c>
      <c r="H1139" s="2915">
        <f t="shared" si="18"/>
        <v>10.78</v>
      </c>
      <c r="Q1139" s="3004">
        <v>1135</v>
      </c>
      <c r="R1139" s="2999" t="s">
        <v>5738</v>
      </c>
      <c r="S1139" s="3000">
        <v>61.41</v>
      </c>
      <c r="T1139" s="3000">
        <v>1</v>
      </c>
      <c r="U1139" s="3000">
        <v>17260</v>
      </c>
      <c r="V1139" s="3000">
        <v>106</v>
      </c>
    </row>
    <row r="1140" spans="4:22" ht="14.25" thickBot="1">
      <c r="D1140" s="2915">
        <v>1136</v>
      </c>
      <c r="E1140" s="2915"/>
      <c r="F1140" s="2914" t="s">
        <v>4247</v>
      </c>
      <c r="G1140" s="2915">
        <v>61.41</v>
      </c>
      <c r="H1140" s="2915">
        <f t="shared" si="18"/>
        <v>10.78</v>
      </c>
      <c r="Q1140" s="3004">
        <v>1136</v>
      </c>
      <c r="R1140" s="2999" t="s">
        <v>5739</v>
      </c>
      <c r="S1140" s="3000">
        <v>61.41</v>
      </c>
      <c r="T1140" s="3000">
        <v>1</v>
      </c>
      <c r="U1140" s="3000">
        <v>17260</v>
      </c>
      <c r="V1140" s="3000">
        <v>106</v>
      </c>
    </row>
    <row r="1141" spans="4:22" ht="14.25" thickBot="1">
      <c r="D1141" s="2915">
        <v>1137</v>
      </c>
      <c r="E1141" s="2915"/>
      <c r="F1141" s="2914" t="s">
        <v>4248</v>
      </c>
      <c r="G1141" s="2915">
        <v>61.41</v>
      </c>
      <c r="H1141" s="2915">
        <f t="shared" si="18"/>
        <v>10.78</v>
      </c>
      <c r="Q1141" s="3004">
        <v>1137</v>
      </c>
      <c r="R1141" s="2999" t="s">
        <v>5740</v>
      </c>
      <c r="S1141" s="3000">
        <v>61.41</v>
      </c>
      <c r="T1141" s="3000">
        <v>1</v>
      </c>
      <c r="U1141" s="3000">
        <v>17260</v>
      </c>
      <c r="V1141" s="3000">
        <v>106</v>
      </c>
    </row>
    <row r="1142" spans="4:22" ht="14.25" thickBot="1">
      <c r="D1142" s="2915">
        <v>1138</v>
      </c>
      <c r="E1142" s="2915"/>
      <c r="F1142" s="2914" t="s">
        <v>4249</v>
      </c>
      <c r="G1142" s="2915">
        <v>72.87</v>
      </c>
      <c r="H1142" s="2915">
        <f t="shared" si="18"/>
        <v>12.8</v>
      </c>
      <c r="Q1142" s="3004">
        <v>1138</v>
      </c>
      <c r="R1142" s="2999" t="s">
        <v>5741</v>
      </c>
      <c r="S1142" s="3000">
        <v>72.87</v>
      </c>
      <c r="T1142" s="3000">
        <v>1</v>
      </c>
      <c r="U1142" s="3000">
        <v>17260</v>
      </c>
      <c r="V1142" s="3000">
        <v>126</v>
      </c>
    </row>
    <row r="1143" spans="4:22" ht="14.25" thickBot="1">
      <c r="D1143" s="2915">
        <v>1139</v>
      </c>
      <c r="E1143" s="2915"/>
      <c r="F1143" s="2914" t="s">
        <v>4250</v>
      </c>
      <c r="G1143" s="2915">
        <v>81.069999999999993</v>
      </c>
      <c r="H1143" s="2915">
        <f t="shared" si="18"/>
        <v>14.24</v>
      </c>
      <c r="Q1143" s="3004">
        <v>1139</v>
      </c>
      <c r="R1143" s="2999" t="s">
        <v>5742</v>
      </c>
      <c r="S1143" s="3000">
        <v>81.069999999999993</v>
      </c>
      <c r="T1143" s="3000">
        <v>1</v>
      </c>
      <c r="U1143" s="3000">
        <v>17260</v>
      </c>
      <c r="V1143" s="3000">
        <v>140</v>
      </c>
    </row>
    <row r="1144" spans="4:22" ht="14.25" thickBot="1">
      <c r="D1144" s="2915">
        <v>1140</v>
      </c>
      <c r="E1144" s="2915"/>
      <c r="F1144" s="2914" t="s">
        <v>4251</v>
      </c>
      <c r="G1144" s="2915">
        <v>61.41</v>
      </c>
      <c r="H1144" s="2915">
        <f t="shared" si="18"/>
        <v>10.78</v>
      </c>
      <c r="Q1144" s="3004">
        <v>1140</v>
      </c>
      <c r="R1144" s="2999" t="s">
        <v>5743</v>
      </c>
      <c r="S1144" s="3000">
        <v>61.41</v>
      </c>
      <c r="T1144" s="3000">
        <v>1</v>
      </c>
      <c r="U1144" s="3000">
        <v>17260</v>
      </c>
      <c r="V1144" s="3000">
        <v>106</v>
      </c>
    </row>
    <row r="1145" spans="4:22" ht="14.25" thickBot="1">
      <c r="D1145" s="2915">
        <v>1141</v>
      </c>
      <c r="E1145" s="2915"/>
      <c r="F1145" s="2914" t="s">
        <v>4252</v>
      </c>
      <c r="G1145" s="2915">
        <v>54.6</v>
      </c>
      <c r="H1145" s="2915">
        <f t="shared" si="18"/>
        <v>9.59</v>
      </c>
      <c r="Q1145" s="3004">
        <v>1141</v>
      </c>
      <c r="R1145" s="2999" t="s">
        <v>5744</v>
      </c>
      <c r="S1145" s="3000">
        <v>54.6</v>
      </c>
      <c r="T1145" s="3000">
        <v>1</v>
      </c>
      <c r="U1145" s="3000">
        <v>17260</v>
      </c>
      <c r="V1145" s="3000">
        <v>94</v>
      </c>
    </row>
    <row r="1146" spans="4:22" ht="14.25" thickBot="1">
      <c r="D1146" s="2915">
        <v>1142</v>
      </c>
      <c r="E1146" s="2915"/>
      <c r="F1146" s="2914" t="s">
        <v>4253</v>
      </c>
      <c r="G1146" s="2915">
        <v>71.23</v>
      </c>
      <c r="H1146" s="2915">
        <f t="shared" si="18"/>
        <v>12.51</v>
      </c>
      <c r="Q1146" s="3004">
        <v>1142</v>
      </c>
      <c r="R1146" s="2999" t="s">
        <v>5745</v>
      </c>
      <c r="S1146" s="3000">
        <v>71.23</v>
      </c>
      <c r="T1146" s="3000">
        <v>1</v>
      </c>
      <c r="U1146" s="3000">
        <v>17260</v>
      </c>
      <c r="V1146" s="3000">
        <v>123</v>
      </c>
    </row>
    <row r="1147" spans="4:22" ht="14.25" thickBot="1">
      <c r="D1147" s="2915">
        <v>1143</v>
      </c>
      <c r="E1147" s="2915"/>
      <c r="F1147" s="2914" t="s">
        <v>4254</v>
      </c>
      <c r="G1147" s="2915">
        <v>61.41</v>
      </c>
      <c r="H1147" s="2915">
        <f t="shared" si="18"/>
        <v>10.78</v>
      </c>
      <c r="Q1147" s="3004">
        <v>1143</v>
      </c>
      <c r="R1147" s="2999" t="s">
        <v>5746</v>
      </c>
      <c r="S1147" s="3000">
        <v>61.41</v>
      </c>
      <c r="T1147" s="3000">
        <v>1</v>
      </c>
      <c r="U1147" s="3000">
        <v>17260</v>
      </c>
      <c r="V1147" s="3000">
        <v>106</v>
      </c>
    </row>
    <row r="1148" spans="4:22" ht="14.25" thickBot="1">
      <c r="D1148" s="2915">
        <v>1144</v>
      </c>
      <c r="E1148" s="2915"/>
      <c r="F1148" s="2914" t="s">
        <v>4255</v>
      </c>
      <c r="G1148" s="2915">
        <v>61.41</v>
      </c>
      <c r="H1148" s="2915">
        <f t="shared" si="18"/>
        <v>10.78</v>
      </c>
      <c r="Q1148" s="3004">
        <v>1144</v>
      </c>
      <c r="R1148" s="2999" t="s">
        <v>5747</v>
      </c>
      <c r="S1148" s="3000">
        <v>61.41</v>
      </c>
      <c r="T1148" s="3000">
        <v>1</v>
      </c>
      <c r="U1148" s="3000">
        <v>17260</v>
      </c>
      <c r="V1148" s="3000">
        <v>106</v>
      </c>
    </row>
    <row r="1149" spans="4:22" ht="14.25" thickBot="1">
      <c r="D1149" s="2915">
        <v>1145</v>
      </c>
      <c r="E1149" s="2915"/>
      <c r="F1149" s="2914" t="s">
        <v>4256</v>
      </c>
      <c r="G1149" s="2915">
        <v>61.41</v>
      </c>
      <c r="H1149" s="2915">
        <f t="shared" si="18"/>
        <v>10.78</v>
      </c>
      <c r="Q1149" s="3004">
        <v>1145</v>
      </c>
      <c r="R1149" s="2999" t="s">
        <v>5748</v>
      </c>
      <c r="S1149" s="3000">
        <v>61.41</v>
      </c>
      <c r="T1149" s="3000">
        <v>1</v>
      </c>
      <c r="U1149" s="3000">
        <v>17260</v>
      </c>
      <c r="V1149" s="3000">
        <v>106</v>
      </c>
    </row>
    <row r="1150" spans="4:22" ht="14.25" thickBot="1">
      <c r="D1150" s="2915">
        <v>1146</v>
      </c>
      <c r="E1150" s="2915"/>
      <c r="F1150" s="2914" t="s">
        <v>4257</v>
      </c>
      <c r="G1150" s="2915">
        <v>61.88</v>
      </c>
      <c r="H1150" s="2915">
        <f t="shared" si="18"/>
        <v>10.87</v>
      </c>
      <c r="Q1150" s="3004">
        <v>1146</v>
      </c>
      <c r="R1150" s="2999" t="s">
        <v>5749</v>
      </c>
      <c r="S1150" s="3000">
        <v>61.88</v>
      </c>
      <c r="T1150" s="3000">
        <v>1</v>
      </c>
      <c r="U1150" s="3000">
        <v>17260</v>
      </c>
      <c r="V1150" s="3000">
        <v>107</v>
      </c>
    </row>
    <row r="1151" spans="4:22" ht="14.25" thickBot="1">
      <c r="D1151" s="2915">
        <v>1147</v>
      </c>
      <c r="E1151" s="2915"/>
      <c r="F1151" s="2914" t="s">
        <v>4258</v>
      </c>
      <c r="G1151" s="2915">
        <v>58.8</v>
      </c>
      <c r="H1151" s="2915">
        <f t="shared" si="18"/>
        <v>10.32</v>
      </c>
      <c r="Q1151" s="3004">
        <v>1147</v>
      </c>
      <c r="R1151" s="2999" t="s">
        <v>5750</v>
      </c>
      <c r="S1151" s="3000">
        <v>58.8</v>
      </c>
      <c r="T1151" s="3000">
        <v>1</v>
      </c>
      <c r="U1151" s="3000">
        <v>17260</v>
      </c>
      <c r="V1151" s="3000">
        <v>101</v>
      </c>
    </row>
    <row r="1152" spans="4:22" ht="14.25" thickBot="1">
      <c r="D1152" s="2915">
        <v>1148</v>
      </c>
      <c r="E1152" s="2915"/>
      <c r="F1152" s="2914" t="s">
        <v>4259</v>
      </c>
      <c r="G1152" s="2915">
        <v>60.21</v>
      </c>
      <c r="H1152" s="2915">
        <f t="shared" si="18"/>
        <v>10.57</v>
      </c>
      <c r="Q1152" s="3004">
        <v>1148</v>
      </c>
      <c r="R1152" s="2999" t="s">
        <v>5751</v>
      </c>
      <c r="S1152" s="3000">
        <v>60.21</v>
      </c>
      <c r="T1152" s="3000">
        <v>1</v>
      </c>
      <c r="U1152" s="3000">
        <v>17260</v>
      </c>
      <c r="V1152" s="3000">
        <v>104</v>
      </c>
    </row>
    <row r="1153" spans="4:22" ht="14.25" thickBot="1">
      <c r="D1153" s="2915">
        <v>1149</v>
      </c>
      <c r="E1153" s="2915"/>
      <c r="F1153" s="2914" t="s">
        <v>4260</v>
      </c>
      <c r="G1153" s="2915">
        <v>65.760000000000005</v>
      </c>
      <c r="H1153" s="2915">
        <f t="shared" si="18"/>
        <v>11.55</v>
      </c>
      <c r="Q1153" s="3004">
        <v>1149</v>
      </c>
      <c r="R1153" s="2999" t="s">
        <v>5752</v>
      </c>
      <c r="S1153" s="3000">
        <v>65.760000000000005</v>
      </c>
      <c r="T1153" s="3000">
        <v>1</v>
      </c>
      <c r="U1153" s="3000">
        <v>17260</v>
      </c>
      <c r="V1153" s="3000">
        <v>114</v>
      </c>
    </row>
    <row r="1154" spans="4:22" ht="14.25" thickBot="1">
      <c r="D1154" s="2915">
        <v>1150</v>
      </c>
      <c r="E1154" s="2915"/>
      <c r="F1154" s="2914" t="s">
        <v>4261</v>
      </c>
      <c r="G1154" s="2915">
        <v>59.41</v>
      </c>
      <c r="H1154" s="2915">
        <f t="shared" si="18"/>
        <v>10.43</v>
      </c>
      <c r="Q1154" s="3004">
        <v>1150</v>
      </c>
      <c r="R1154" s="2999" t="s">
        <v>5753</v>
      </c>
      <c r="S1154" s="3000">
        <v>59.41</v>
      </c>
      <c r="T1154" s="3000">
        <v>1</v>
      </c>
      <c r="U1154" s="3000">
        <v>17260</v>
      </c>
      <c r="V1154" s="3000">
        <v>103</v>
      </c>
    </row>
    <row r="1155" spans="4:22" ht="14.25" thickBot="1">
      <c r="D1155" s="2915">
        <v>1151</v>
      </c>
      <c r="E1155" s="2915"/>
      <c r="F1155" s="2914" t="s">
        <v>4262</v>
      </c>
      <c r="G1155" s="2915">
        <v>60.69</v>
      </c>
      <c r="H1155" s="2915">
        <f t="shared" si="18"/>
        <v>10.66</v>
      </c>
      <c r="Q1155" s="3004">
        <v>1151</v>
      </c>
      <c r="R1155" s="2999" t="s">
        <v>5754</v>
      </c>
      <c r="S1155" s="3000">
        <v>60.69</v>
      </c>
      <c r="T1155" s="3000">
        <v>1</v>
      </c>
      <c r="U1155" s="3000">
        <v>17260</v>
      </c>
      <c r="V1155" s="3000">
        <v>105</v>
      </c>
    </row>
    <row r="1156" spans="4:22" ht="14.25" thickBot="1">
      <c r="D1156" s="2915">
        <v>1152</v>
      </c>
      <c r="E1156" s="2915"/>
      <c r="F1156" s="2914" t="s">
        <v>4263</v>
      </c>
      <c r="G1156" s="2915">
        <v>60.69</v>
      </c>
      <c r="H1156" s="2915">
        <f t="shared" si="18"/>
        <v>10.66</v>
      </c>
      <c r="Q1156" s="3004">
        <v>1152</v>
      </c>
      <c r="R1156" s="2999" t="s">
        <v>5755</v>
      </c>
      <c r="S1156" s="3000">
        <v>60.69</v>
      </c>
      <c r="T1156" s="3000">
        <v>1</v>
      </c>
      <c r="U1156" s="3000">
        <v>17260</v>
      </c>
      <c r="V1156" s="3000">
        <v>105</v>
      </c>
    </row>
    <row r="1157" spans="4:22" ht="14.25" thickBot="1">
      <c r="D1157" s="2915">
        <v>1153</v>
      </c>
      <c r="E1157" s="2915"/>
      <c r="F1157" s="2914" t="s">
        <v>4264</v>
      </c>
      <c r="G1157" s="2915">
        <v>60.69</v>
      </c>
      <c r="H1157" s="2915">
        <f t="shared" si="18"/>
        <v>10.66</v>
      </c>
      <c r="Q1157" s="3004">
        <v>1153</v>
      </c>
      <c r="R1157" s="2999" t="s">
        <v>5756</v>
      </c>
      <c r="S1157" s="3000">
        <v>60.69</v>
      </c>
      <c r="T1157" s="3000">
        <v>1</v>
      </c>
      <c r="U1157" s="3000">
        <v>17260</v>
      </c>
      <c r="V1157" s="3000">
        <v>105</v>
      </c>
    </row>
    <row r="1158" spans="4:22" ht="14.25" thickBot="1">
      <c r="D1158" s="2915">
        <v>1154</v>
      </c>
      <c r="E1158" s="2915"/>
      <c r="F1158" s="2914" t="s">
        <v>4265</v>
      </c>
      <c r="G1158" s="2915">
        <v>60.69</v>
      </c>
      <c r="H1158" s="2915">
        <f t="shared" ref="H1158:H1221" si="19">ROUND(G1158/$N$7*$M$7,2)</f>
        <v>10.66</v>
      </c>
      <c r="Q1158" s="3004">
        <v>1154</v>
      </c>
      <c r="R1158" s="2999" t="s">
        <v>5757</v>
      </c>
      <c r="S1158" s="3000">
        <v>60.69</v>
      </c>
      <c r="T1158" s="3000">
        <v>1</v>
      </c>
      <c r="U1158" s="3000">
        <v>17260</v>
      </c>
      <c r="V1158" s="3000">
        <v>105</v>
      </c>
    </row>
    <row r="1159" spans="4:22" ht="14.25" thickBot="1">
      <c r="D1159" s="2915">
        <v>1155</v>
      </c>
      <c r="E1159" s="2915"/>
      <c r="F1159" s="2914" t="s">
        <v>4266</v>
      </c>
      <c r="G1159" s="2915">
        <v>60.69</v>
      </c>
      <c r="H1159" s="2915">
        <f t="shared" si="19"/>
        <v>10.66</v>
      </c>
      <c r="Q1159" s="3004">
        <v>1155</v>
      </c>
      <c r="R1159" s="2999" t="s">
        <v>5758</v>
      </c>
      <c r="S1159" s="3000">
        <v>60.69</v>
      </c>
      <c r="T1159" s="3000">
        <v>1</v>
      </c>
      <c r="U1159" s="3000">
        <v>17260</v>
      </c>
      <c r="V1159" s="3000">
        <v>105</v>
      </c>
    </row>
    <row r="1160" spans="4:22" ht="14.25" thickBot="1">
      <c r="D1160" s="2915">
        <v>1156</v>
      </c>
      <c r="E1160" s="2915"/>
      <c r="F1160" s="2914" t="s">
        <v>4267</v>
      </c>
      <c r="G1160" s="2915">
        <v>60.69</v>
      </c>
      <c r="H1160" s="2915">
        <f t="shared" si="19"/>
        <v>10.66</v>
      </c>
      <c r="Q1160" s="3004">
        <v>1156</v>
      </c>
      <c r="R1160" s="2999" t="s">
        <v>5759</v>
      </c>
      <c r="S1160" s="3000">
        <v>60.69</v>
      </c>
      <c r="T1160" s="3000">
        <v>1</v>
      </c>
      <c r="U1160" s="3000">
        <v>17260</v>
      </c>
      <c r="V1160" s="3000">
        <v>105</v>
      </c>
    </row>
    <row r="1161" spans="4:22" ht="14.25" thickBot="1">
      <c r="D1161" s="2915">
        <v>1157</v>
      </c>
      <c r="E1161" s="2915"/>
      <c r="F1161" s="2914" t="s">
        <v>4268</v>
      </c>
      <c r="G1161" s="2915">
        <v>60.69</v>
      </c>
      <c r="H1161" s="2915">
        <f t="shared" si="19"/>
        <v>10.66</v>
      </c>
      <c r="Q1161" s="3004">
        <v>1157</v>
      </c>
      <c r="R1161" s="2999" t="s">
        <v>5760</v>
      </c>
      <c r="S1161" s="3000">
        <v>60.69</v>
      </c>
      <c r="T1161" s="3000">
        <v>1</v>
      </c>
      <c r="U1161" s="3000">
        <v>17260</v>
      </c>
      <c r="V1161" s="3000">
        <v>105</v>
      </c>
    </row>
    <row r="1162" spans="4:22" ht="14.25" thickBot="1">
      <c r="D1162" s="2915">
        <v>1158</v>
      </c>
      <c r="E1162" s="2915"/>
      <c r="F1162" s="2914" t="s">
        <v>4269</v>
      </c>
      <c r="G1162" s="2915">
        <v>60.69</v>
      </c>
      <c r="H1162" s="2915">
        <f t="shared" si="19"/>
        <v>10.66</v>
      </c>
      <c r="Q1162" s="3004">
        <v>1158</v>
      </c>
      <c r="R1162" s="2999" t="s">
        <v>5761</v>
      </c>
      <c r="S1162" s="3000">
        <v>60.69</v>
      </c>
      <c r="T1162" s="3000">
        <v>1</v>
      </c>
      <c r="U1162" s="3000">
        <v>17260</v>
      </c>
      <c r="V1162" s="3000">
        <v>105</v>
      </c>
    </row>
    <row r="1163" spans="4:22" ht="14.25" thickBot="1">
      <c r="D1163" s="2915">
        <v>1159</v>
      </c>
      <c r="E1163" s="2915"/>
      <c r="F1163" s="2914" t="s">
        <v>4270</v>
      </c>
      <c r="G1163" s="2915">
        <v>60.69</v>
      </c>
      <c r="H1163" s="2915">
        <f t="shared" si="19"/>
        <v>10.66</v>
      </c>
      <c r="Q1163" s="3004">
        <v>1159</v>
      </c>
      <c r="R1163" s="2999" t="s">
        <v>5762</v>
      </c>
      <c r="S1163" s="3000">
        <v>60.69</v>
      </c>
      <c r="T1163" s="3000">
        <v>1</v>
      </c>
      <c r="U1163" s="3000">
        <v>17260</v>
      </c>
      <c r="V1163" s="3000">
        <v>105</v>
      </c>
    </row>
    <row r="1164" spans="4:22" ht="14.25" thickBot="1">
      <c r="D1164" s="2915">
        <v>1160</v>
      </c>
      <c r="E1164" s="2915"/>
      <c r="F1164" s="2914" t="s">
        <v>4271</v>
      </c>
      <c r="G1164" s="2915">
        <v>54.3</v>
      </c>
      <c r="H1164" s="2915">
        <f t="shared" si="19"/>
        <v>9.5299999999999994</v>
      </c>
      <c r="Q1164" s="3004">
        <v>1160</v>
      </c>
      <c r="R1164" s="2999" t="s">
        <v>5763</v>
      </c>
      <c r="S1164" s="3000">
        <v>54.3</v>
      </c>
      <c r="T1164" s="3000">
        <v>1</v>
      </c>
      <c r="U1164" s="3000">
        <v>17260</v>
      </c>
      <c r="V1164" s="3000">
        <v>94</v>
      </c>
    </row>
    <row r="1165" spans="4:22" ht="14.25" thickBot="1">
      <c r="D1165" s="2915">
        <v>1161</v>
      </c>
      <c r="E1165" s="2915"/>
      <c r="F1165" s="2914" t="s">
        <v>4272</v>
      </c>
      <c r="G1165" s="2915">
        <v>60.68</v>
      </c>
      <c r="H1165" s="2915">
        <f t="shared" si="19"/>
        <v>10.65</v>
      </c>
      <c r="Q1165" s="3004">
        <v>1161</v>
      </c>
      <c r="R1165" s="2999" t="s">
        <v>5764</v>
      </c>
      <c r="S1165" s="3000">
        <v>60.68</v>
      </c>
      <c r="T1165" s="3000">
        <v>1</v>
      </c>
      <c r="U1165" s="3000">
        <v>17260</v>
      </c>
      <c r="V1165" s="3000">
        <v>105</v>
      </c>
    </row>
    <row r="1166" spans="4:22" ht="14.25" thickBot="1">
      <c r="D1166" s="2915">
        <v>1162</v>
      </c>
      <c r="E1166" s="2915"/>
      <c r="F1166" s="2914" t="s">
        <v>4273</v>
      </c>
      <c r="G1166" s="2915">
        <v>80.459999999999994</v>
      </c>
      <c r="H1166" s="2915">
        <f t="shared" si="19"/>
        <v>14.13</v>
      </c>
      <c r="Q1166" s="3004">
        <v>1162</v>
      </c>
      <c r="R1166" s="2999" t="s">
        <v>5765</v>
      </c>
      <c r="S1166" s="3000">
        <v>80.459999999999994</v>
      </c>
      <c r="T1166" s="3000">
        <v>1</v>
      </c>
      <c r="U1166" s="3000">
        <v>17260</v>
      </c>
      <c r="V1166" s="3000">
        <v>139</v>
      </c>
    </row>
    <row r="1167" spans="4:22" ht="14.25" thickBot="1">
      <c r="D1167" s="2915">
        <v>1163</v>
      </c>
      <c r="E1167" s="2915"/>
      <c r="F1167" s="2914" t="s">
        <v>4274</v>
      </c>
      <c r="G1167" s="2915">
        <v>80.45</v>
      </c>
      <c r="H1167" s="2915">
        <f t="shared" si="19"/>
        <v>14.13</v>
      </c>
      <c r="Q1167" s="3004">
        <v>1163</v>
      </c>
      <c r="R1167" s="2999" t="s">
        <v>5766</v>
      </c>
      <c r="S1167" s="3000">
        <v>80.45</v>
      </c>
      <c r="T1167" s="3000">
        <v>1</v>
      </c>
      <c r="U1167" s="3000">
        <v>17260</v>
      </c>
      <c r="V1167" s="3000">
        <v>139</v>
      </c>
    </row>
    <row r="1168" spans="4:22" ht="14.25" thickBot="1">
      <c r="D1168" s="2915">
        <v>1164</v>
      </c>
      <c r="E1168" s="2915"/>
      <c r="F1168" s="2914" t="s">
        <v>4275</v>
      </c>
      <c r="G1168" s="2915">
        <v>60.69</v>
      </c>
      <c r="H1168" s="2915">
        <f t="shared" si="19"/>
        <v>10.66</v>
      </c>
      <c r="Q1168" s="3004">
        <v>1164</v>
      </c>
      <c r="R1168" s="2999" t="s">
        <v>5767</v>
      </c>
      <c r="S1168" s="3000">
        <v>60.69</v>
      </c>
      <c r="T1168" s="3000">
        <v>1</v>
      </c>
      <c r="U1168" s="3000">
        <v>17260</v>
      </c>
      <c r="V1168" s="3000">
        <v>105</v>
      </c>
    </row>
    <row r="1169" spans="4:22" ht="14.25" thickBot="1">
      <c r="D1169" s="2915">
        <v>1165</v>
      </c>
      <c r="E1169" s="2915"/>
      <c r="F1169" s="2914" t="s">
        <v>4276</v>
      </c>
      <c r="G1169" s="2915">
        <v>60.69</v>
      </c>
      <c r="H1169" s="2915">
        <f t="shared" si="19"/>
        <v>10.66</v>
      </c>
      <c r="Q1169" s="3004">
        <v>1165</v>
      </c>
      <c r="R1169" s="2999" t="s">
        <v>5768</v>
      </c>
      <c r="S1169" s="3000">
        <v>60.69</v>
      </c>
      <c r="T1169" s="3000">
        <v>1</v>
      </c>
      <c r="U1169" s="3000">
        <v>17260</v>
      </c>
      <c r="V1169" s="3000">
        <v>105</v>
      </c>
    </row>
    <row r="1170" spans="4:22" ht="14.25" thickBot="1">
      <c r="D1170" s="2915">
        <v>1166</v>
      </c>
      <c r="E1170" s="2915"/>
      <c r="F1170" s="2914" t="s">
        <v>4277</v>
      </c>
      <c r="G1170" s="2915">
        <v>60.68</v>
      </c>
      <c r="H1170" s="2915">
        <f t="shared" si="19"/>
        <v>10.65</v>
      </c>
      <c r="Q1170" s="3004">
        <v>1166</v>
      </c>
      <c r="R1170" s="2999" t="s">
        <v>5769</v>
      </c>
      <c r="S1170" s="3000">
        <v>60.68</v>
      </c>
      <c r="T1170" s="3000">
        <v>1</v>
      </c>
      <c r="U1170" s="3000">
        <v>17260</v>
      </c>
      <c r="V1170" s="3000">
        <v>105</v>
      </c>
    </row>
    <row r="1171" spans="4:22" ht="14.25" thickBot="1">
      <c r="D1171" s="2915">
        <v>1167</v>
      </c>
      <c r="E1171" s="2915"/>
      <c r="F1171" s="2914" t="s">
        <v>4278</v>
      </c>
      <c r="G1171" s="2915">
        <v>60.69</v>
      </c>
      <c r="H1171" s="2915">
        <f t="shared" si="19"/>
        <v>10.66</v>
      </c>
      <c r="Q1171" s="3004">
        <v>1167</v>
      </c>
      <c r="R1171" s="2999" t="s">
        <v>5770</v>
      </c>
      <c r="S1171" s="3000">
        <v>60.69</v>
      </c>
      <c r="T1171" s="3000">
        <v>1</v>
      </c>
      <c r="U1171" s="3000">
        <v>17260</v>
      </c>
      <c r="V1171" s="3000">
        <v>105</v>
      </c>
    </row>
    <row r="1172" spans="4:22" ht="14.25" thickBot="1">
      <c r="D1172" s="2915">
        <v>1168</v>
      </c>
      <c r="E1172" s="2915"/>
      <c r="F1172" s="2914" t="s">
        <v>4279</v>
      </c>
      <c r="G1172" s="2915">
        <v>60.69</v>
      </c>
      <c r="H1172" s="2915">
        <f t="shared" si="19"/>
        <v>10.66</v>
      </c>
      <c r="Q1172" s="3004">
        <v>1168</v>
      </c>
      <c r="R1172" s="2999" t="s">
        <v>5771</v>
      </c>
      <c r="S1172" s="3000">
        <v>60.69</v>
      </c>
      <c r="T1172" s="3000">
        <v>1</v>
      </c>
      <c r="U1172" s="3000">
        <v>17260</v>
      </c>
      <c r="V1172" s="3000">
        <v>105</v>
      </c>
    </row>
    <row r="1173" spans="4:22" ht="14.25" thickBot="1">
      <c r="D1173" s="2915">
        <v>1169</v>
      </c>
      <c r="E1173" s="2915"/>
      <c r="F1173" s="2914" t="s">
        <v>4280</v>
      </c>
      <c r="G1173" s="2915">
        <v>60.69</v>
      </c>
      <c r="H1173" s="2915">
        <f t="shared" si="19"/>
        <v>10.66</v>
      </c>
      <c r="Q1173" s="3004">
        <v>1169</v>
      </c>
      <c r="R1173" s="2999" t="s">
        <v>5772</v>
      </c>
      <c r="S1173" s="3000">
        <v>60.69</v>
      </c>
      <c r="T1173" s="3000">
        <v>1</v>
      </c>
      <c r="U1173" s="3000">
        <v>17260</v>
      </c>
      <c r="V1173" s="3000">
        <v>105</v>
      </c>
    </row>
    <row r="1174" spans="4:22" ht="14.25" thickBot="1">
      <c r="D1174" s="2915">
        <v>1170</v>
      </c>
      <c r="E1174" s="2915"/>
      <c r="F1174" s="2914" t="s">
        <v>4281</v>
      </c>
      <c r="G1174" s="2915">
        <v>60.69</v>
      </c>
      <c r="H1174" s="2915">
        <f t="shared" si="19"/>
        <v>10.66</v>
      </c>
      <c r="Q1174" s="3004">
        <v>1170</v>
      </c>
      <c r="R1174" s="2999" t="s">
        <v>5773</v>
      </c>
      <c r="S1174" s="3000">
        <v>60.69</v>
      </c>
      <c r="T1174" s="3000">
        <v>1</v>
      </c>
      <c r="U1174" s="3000">
        <v>17260</v>
      </c>
      <c r="V1174" s="3000">
        <v>105</v>
      </c>
    </row>
    <row r="1175" spans="4:22" ht="14.25" thickBot="1">
      <c r="D1175" s="2915">
        <v>1171</v>
      </c>
      <c r="E1175" s="2915"/>
      <c r="F1175" s="2914" t="s">
        <v>4282</v>
      </c>
      <c r="G1175" s="2915">
        <v>60.69</v>
      </c>
      <c r="H1175" s="2915">
        <f t="shared" si="19"/>
        <v>10.66</v>
      </c>
      <c r="Q1175" s="3004">
        <v>1171</v>
      </c>
      <c r="R1175" s="2999" t="s">
        <v>5774</v>
      </c>
      <c r="S1175" s="3000">
        <v>60.69</v>
      </c>
      <c r="T1175" s="3000">
        <v>1</v>
      </c>
      <c r="U1175" s="3000">
        <v>17260</v>
      </c>
      <c r="V1175" s="3000">
        <v>105</v>
      </c>
    </row>
    <row r="1176" spans="4:22" ht="14.25" thickBot="1">
      <c r="D1176" s="2915">
        <v>1172</v>
      </c>
      <c r="E1176" s="2915"/>
      <c r="F1176" s="2914" t="s">
        <v>4283</v>
      </c>
      <c r="G1176" s="2915">
        <v>60.69</v>
      </c>
      <c r="H1176" s="2915">
        <f t="shared" si="19"/>
        <v>10.66</v>
      </c>
      <c r="Q1176" s="3004">
        <v>1172</v>
      </c>
      <c r="R1176" s="2999" t="s">
        <v>5775</v>
      </c>
      <c r="S1176" s="3000">
        <v>60.69</v>
      </c>
      <c r="T1176" s="3000">
        <v>1</v>
      </c>
      <c r="U1176" s="3000">
        <v>17260</v>
      </c>
      <c r="V1176" s="3000">
        <v>105</v>
      </c>
    </row>
    <row r="1177" spans="4:22" ht="14.25" thickBot="1">
      <c r="D1177" s="2915">
        <v>1173</v>
      </c>
      <c r="E1177" s="2915"/>
      <c r="F1177" s="2914" t="s">
        <v>4284</v>
      </c>
      <c r="G1177" s="2915">
        <v>60.69</v>
      </c>
      <c r="H1177" s="2915">
        <f t="shared" si="19"/>
        <v>10.66</v>
      </c>
      <c r="Q1177" s="3004">
        <v>1173</v>
      </c>
      <c r="R1177" s="2999" t="s">
        <v>5776</v>
      </c>
      <c r="S1177" s="3000">
        <v>60.69</v>
      </c>
      <c r="T1177" s="3000">
        <v>1</v>
      </c>
      <c r="U1177" s="3000">
        <v>17260</v>
      </c>
      <c r="V1177" s="3000">
        <v>105</v>
      </c>
    </row>
    <row r="1178" spans="4:22" ht="14.25" thickBot="1">
      <c r="D1178" s="2915">
        <v>1174</v>
      </c>
      <c r="E1178" s="2915"/>
      <c r="F1178" s="2914" t="s">
        <v>4285</v>
      </c>
      <c r="G1178" s="2915">
        <v>60.69</v>
      </c>
      <c r="H1178" s="2915">
        <f t="shared" si="19"/>
        <v>10.66</v>
      </c>
      <c r="Q1178" s="3004">
        <v>1174</v>
      </c>
      <c r="R1178" s="2999" t="s">
        <v>5777</v>
      </c>
      <c r="S1178" s="3000">
        <v>60.69</v>
      </c>
      <c r="T1178" s="3000">
        <v>1</v>
      </c>
      <c r="U1178" s="3000">
        <v>17260</v>
      </c>
      <c r="V1178" s="3000">
        <v>105</v>
      </c>
    </row>
    <row r="1179" spans="4:22" ht="14.25" thickBot="1">
      <c r="D1179" s="2915">
        <v>1175</v>
      </c>
      <c r="E1179" s="2915"/>
      <c r="F1179" s="2914" t="s">
        <v>4286</v>
      </c>
      <c r="G1179" s="2915">
        <v>104.53</v>
      </c>
      <c r="H1179" s="2915">
        <f t="shared" si="19"/>
        <v>18.350000000000001</v>
      </c>
      <c r="Q1179" s="3004">
        <v>1175</v>
      </c>
      <c r="R1179" s="2999" t="s">
        <v>5778</v>
      </c>
      <c r="S1179" s="3000">
        <v>104.53</v>
      </c>
      <c r="T1179" s="3000">
        <v>0.99</v>
      </c>
      <c r="U1179" s="3000">
        <v>17087</v>
      </c>
      <c r="V1179" s="3000">
        <v>179</v>
      </c>
    </row>
    <row r="1180" spans="4:22" ht="14.25" thickBot="1">
      <c r="D1180" s="2915">
        <v>1176</v>
      </c>
      <c r="E1180" s="2915"/>
      <c r="F1180" s="2914" t="s">
        <v>4287</v>
      </c>
      <c r="G1180" s="2915">
        <v>55.78</v>
      </c>
      <c r="H1180" s="2915">
        <f t="shared" si="19"/>
        <v>9.7899999999999991</v>
      </c>
      <c r="Q1180" s="3004">
        <v>1176</v>
      </c>
      <c r="R1180" s="2999" t="s">
        <v>5779</v>
      </c>
      <c r="S1180" s="3000">
        <v>55.78</v>
      </c>
      <c r="T1180" s="3000">
        <v>1</v>
      </c>
      <c r="U1180" s="3000">
        <v>17260</v>
      </c>
      <c r="V1180" s="3000">
        <v>96</v>
      </c>
    </row>
    <row r="1181" spans="4:22" ht="14.25" thickBot="1">
      <c r="D1181" s="2915">
        <v>1177</v>
      </c>
      <c r="E1181" s="2915"/>
      <c r="F1181" s="2914" t="s">
        <v>4288</v>
      </c>
      <c r="G1181" s="2915">
        <v>48.86</v>
      </c>
      <c r="H1181" s="2915">
        <f t="shared" si="19"/>
        <v>8.58</v>
      </c>
      <c r="Q1181" s="3004">
        <v>1177</v>
      </c>
      <c r="R1181" s="2999" t="s">
        <v>5780</v>
      </c>
      <c r="S1181" s="3000">
        <v>48.86</v>
      </c>
      <c r="T1181" s="3000">
        <v>1</v>
      </c>
      <c r="U1181" s="3000">
        <v>17260</v>
      </c>
      <c r="V1181" s="3000">
        <v>84</v>
      </c>
    </row>
    <row r="1182" spans="4:22" ht="14.25" thickBot="1">
      <c r="D1182" s="2915">
        <v>1178</v>
      </c>
      <c r="E1182" s="2915"/>
      <c r="F1182" s="2914" t="s">
        <v>4289</v>
      </c>
      <c r="G1182" s="2915">
        <v>48.86</v>
      </c>
      <c r="H1182" s="2915">
        <f t="shared" si="19"/>
        <v>8.58</v>
      </c>
      <c r="Q1182" s="3004">
        <v>1178</v>
      </c>
      <c r="R1182" s="2999" t="s">
        <v>5781</v>
      </c>
      <c r="S1182" s="3000">
        <v>48.86</v>
      </c>
      <c r="T1182" s="3000">
        <v>1</v>
      </c>
      <c r="U1182" s="3000">
        <v>17260</v>
      </c>
      <c r="V1182" s="3000">
        <v>84</v>
      </c>
    </row>
    <row r="1183" spans="4:22" ht="14.25" thickBot="1">
      <c r="D1183" s="2915">
        <v>1179</v>
      </c>
      <c r="E1183" s="2915"/>
      <c r="F1183" s="2914" t="s">
        <v>4290</v>
      </c>
      <c r="G1183" s="2915">
        <v>48.86</v>
      </c>
      <c r="H1183" s="2915">
        <f t="shared" si="19"/>
        <v>8.58</v>
      </c>
      <c r="Q1183" s="3004">
        <v>1179</v>
      </c>
      <c r="R1183" s="2999" t="s">
        <v>5782</v>
      </c>
      <c r="S1183" s="3000">
        <v>48.86</v>
      </c>
      <c r="T1183" s="3000">
        <v>1</v>
      </c>
      <c r="U1183" s="3000">
        <v>17260</v>
      </c>
      <c r="V1183" s="3000">
        <v>84</v>
      </c>
    </row>
    <row r="1184" spans="4:22" ht="14.25" thickBot="1">
      <c r="D1184" s="2915">
        <v>1180</v>
      </c>
      <c r="E1184" s="2915"/>
      <c r="F1184" s="2914" t="s">
        <v>4291</v>
      </c>
      <c r="G1184" s="2915">
        <v>54.5</v>
      </c>
      <c r="H1184" s="2915">
        <f t="shared" si="19"/>
        <v>9.57</v>
      </c>
      <c r="Q1184" s="3004">
        <v>1180</v>
      </c>
      <c r="R1184" s="2999" t="s">
        <v>5783</v>
      </c>
      <c r="S1184" s="3000">
        <v>54.5</v>
      </c>
      <c r="T1184" s="3000">
        <v>1</v>
      </c>
      <c r="U1184" s="3000">
        <v>17260</v>
      </c>
      <c r="V1184" s="3000">
        <v>94</v>
      </c>
    </row>
    <row r="1185" spans="4:22" ht="14.25" thickBot="1">
      <c r="D1185" s="2915">
        <v>1181</v>
      </c>
      <c r="E1185" s="2915"/>
      <c r="F1185" s="2914" t="s">
        <v>4292</v>
      </c>
      <c r="G1185" s="2915">
        <v>64.58</v>
      </c>
      <c r="H1185" s="2915">
        <f t="shared" si="19"/>
        <v>11.34</v>
      </c>
      <c r="Q1185" s="3004">
        <v>1181</v>
      </c>
      <c r="R1185" s="2999" t="s">
        <v>5784</v>
      </c>
      <c r="S1185" s="3000">
        <v>64.58</v>
      </c>
      <c r="T1185" s="3000">
        <v>1</v>
      </c>
      <c r="U1185" s="3000">
        <v>17260</v>
      </c>
      <c r="V1185" s="3000">
        <v>111</v>
      </c>
    </row>
    <row r="1186" spans="4:22" ht="14.25" thickBot="1">
      <c r="D1186" s="2915">
        <v>1182</v>
      </c>
      <c r="E1186" s="2915"/>
      <c r="F1186" s="2914" t="s">
        <v>4293</v>
      </c>
      <c r="G1186" s="2915">
        <v>45.32</v>
      </c>
      <c r="H1186" s="2915">
        <f t="shared" si="19"/>
        <v>7.96</v>
      </c>
      <c r="Q1186" s="3004">
        <v>1182</v>
      </c>
      <c r="R1186" s="2999" t="s">
        <v>5785</v>
      </c>
      <c r="S1186" s="3000">
        <v>45.32</v>
      </c>
      <c r="T1186" s="3000">
        <v>1</v>
      </c>
      <c r="U1186" s="3000">
        <v>17260</v>
      </c>
      <c r="V1186" s="3000">
        <v>78</v>
      </c>
    </row>
    <row r="1187" spans="4:22" ht="14.25" thickBot="1">
      <c r="D1187" s="2915">
        <v>1183</v>
      </c>
      <c r="E1187" s="2915"/>
      <c r="F1187" s="2914" t="s">
        <v>4294</v>
      </c>
      <c r="G1187" s="2915">
        <v>45.2</v>
      </c>
      <c r="H1187" s="2915">
        <f t="shared" si="19"/>
        <v>7.94</v>
      </c>
      <c r="Q1187" s="3004">
        <v>1183</v>
      </c>
      <c r="R1187" s="2999" t="s">
        <v>5786</v>
      </c>
      <c r="S1187" s="3000">
        <v>45.2</v>
      </c>
      <c r="T1187" s="3000">
        <v>1</v>
      </c>
      <c r="U1187" s="3000">
        <v>17260</v>
      </c>
      <c r="V1187" s="3000">
        <v>78</v>
      </c>
    </row>
    <row r="1188" spans="4:22" ht="14.25" thickBot="1">
      <c r="D1188" s="2915">
        <v>1184</v>
      </c>
      <c r="E1188" s="2915"/>
      <c r="F1188" s="2914" t="s">
        <v>4295</v>
      </c>
      <c r="G1188" s="2915">
        <v>45.32</v>
      </c>
      <c r="H1188" s="2915">
        <f t="shared" si="19"/>
        <v>7.96</v>
      </c>
      <c r="Q1188" s="3004">
        <v>1184</v>
      </c>
      <c r="R1188" s="2999" t="s">
        <v>5787</v>
      </c>
      <c r="S1188" s="3000">
        <v>45.32</v>
      </c>
      <c r="T1188" s="3000">
        <v>1</v>
      </c>
      <c r="U1188" s="3000">
        <v>17260</v>
      </c>
      <c r="V1188" s="3000">
        <v>78</v>
      </c>
    </row>
    <row r="1189" spans="4:22" ht="14.25" thickBot="1">
      <c r="D1189" s="2915">
        <v>1185</v>
      </c>
      <c r="E1189" s="2915"/>
      <c r="F1189" s="2914" t="s">
        <v>4296</v>
      </c>
      <c r="G1189" s="2915">
        <v>45.32</v>
      </c>
      <c r="H1189" s="2915">
        <f t="shared" si="19"/>
        <v>7.96</v>
      </c>
      <c r="Q1189" s="3004">
        <v>1185</v>
      </c>
      <c r="R1189" s="2999" t="s">
        <v>5788</v>
      </c>
      <c r="S1189" s="3000">
        <v>45.32</v>
      </c>
      <c r="T1189" s="3000">
        <v>1</v>
      </c>
      <c r="U1189" s="3000">
        <v>17260</v>
      </c>
      <c r="V1189" s="3000">
        <v>78</v>
      </c>
    </row>
    <row r="1190" spans="4:22" ht="14.25" thickBot="1">
      <c r="D1190" s="2915">
        <v>1186</v>
      </c>
      <c r="E1190" s="2915"/>
      <c r="F1190" s="2914" t="s">
        <v>4297</v>
      </c>
      <c r="G1190" s="2915">
        <v>48.86</v>
      </c>
      <c r="H1190" s="2915">
        <f t="shared" si="19"/>
        <v>8.58</v>
      </c>
      <c r="Q1190" s="3004">
        <v>1186</v>
      </c>
      <c r="R1190" s="2999" t="s">
        <v>5789</v>
      </c>
      <c r="S1190" s="3000">
        <v>48.86</v>
      </c>
      <c r="T1190" s="3000">
        <v>1</v>
      </c>
      <c r="U1190" s="3000">
        <v>17260</v>
      </c>
      <c r="V1190" s="3000">
        <v>84</v>
      </c>
    </row>
    <row r="1191" spans="4:22" ht="14.25" thickBot="1">
      <c r="D1191" s="2915">
        <v>1187</v>
      </c>
      <c r="E1191" s="2915"/>
      <c r="F1191" s="2914" t="s">
        <v>4298</v>
      </c>
      <c r="G1191" s="2915">
        <v>44.51</v>
      </c>
      <c r="H1191" s="2915">
        <f t="shared" si="19"/>
        <v>7.82</v>
      </c>
      <c r="Q1191" s="3004">
        <v>1187</v>
      </c>
      <c r="R1191" s="2999" t="s">
        <v>5790</v>
      </c>
      <c r="S1191" s="3000">
        <v>44.51</v>
      </c>
      <c r="T1191" s="3000">
        <v>1</v>
      </c>
      <c r="U1191" s="3000">
        <v>17260</v>
      </c>
      <c r="V1191" s="3000">
        <v>77</v>
      </c>
    </row>
    <row r="1192" spans="4:22" ht="14.25" thickBot="1">
      <c r="D1192" s="2915">
        <v>1188</v>
      </c>
      <c r="E1192" s="2915"/>
      <c r="F1192" s="2914" t="s">
        <v>4299</v>
      </c>
      <c r="G1192" s="2915">
        <v>54.67</v>
      </c>
      <c r="H1192" s="2915">
        <f t="shared" si="19"/>
        <v>9.6</v>
      </c>
      <c r="Q1192" s="3004">
        <v>1188</v>
      </c>
      <c r="R1192" s="2999" t="s">
        <v>5791</v>
      </c>
      <c r="S1192" s="3000">
        <v>54.67</v>
      </c>
      <c r="T1192" s="3000">
        <v>1</v>
      </c>
      <c r="U1192" s="3000">
        <v>17260</v>
      </c>
      <c r="V1192" s="3000">
        <v>94</v>
      </c>
    </row>
    <row r="1193" spans="4:22" ht="14.25" thickBot="1">
      <c r="D1193" s="2915">
        <v>1189</v>
      </c>
      <c r="E1193" s="2915"/>
      <c r="F1193" s="2914" t="s">
        <v>4300</v>
      </c>
      <c r="G1193" s="2915">
        <v>48.86</v>
      </c>
      <c r="H1193" s="2915">
        <f t="shared" si="19"/>
        <v>8.58</v>
      </c>
      <c r="Q1193" s="3004">
        <v>1189</v>
      </c>
      <c r="R1193" s="2999" t="s">
        <v>5792</v>
      </c>
      <c r="S1193" s="3000">
        <v>48.86</v>
      </c>
      <c r="T1193" s="3000">
        <v>1</v>
      </c>
      <c r="U1193" s="3000">
        <v>17260</v>
      </c>
      <c r="V1193" s="3000">
        <v>84</v>
      </c>
    </row>
    <row r="1194" spans="4:22" ht="14.25" thickBot="1">
      <c r="D1194" s="2915">
        <v>1190</v>
      </c>
      <c r="E1194" s="2915"/>
      <c r="F1194" s="2914" t="s">
        <v>4301</v>
      </c>
      <c r="G1194" s="2915">
        <v>48.86</v>
      </c>
      <c r="H1194" s="2915">
        <f t="shared" si="19"/>
        <v>8.58</v>
      </c>
      <c r="Q1194" s="3004">
        <v>1190</v>
      </c>
      <c r="R1194" s="2999" t="s">
        <v>5793</v>
      </c>
      <c r="S1194" s="3000">
        <v>48.86</v>
      </c>
      <c r="T1194" s="3000">
        <v>1</v>
      </c>
      <c r="U1194" s="3000">
        <v>17260</v>
      </c>
      <c r="V1194" s="3000">
        <v>84</v>
      </c>
    </row>
    <row r="1195" spans="4:22" ht="14.25" thickBot="1">
      <c r="D1195" s="2915">
        <v>1191</v>
      </c>
      <c r="E1195" s="2915"/>
      <c r="F1195" s="2914" t="s">
        <v>4302</v>
      </c>
      <c r="G1195" s="2915">
        <v>48.86</v>
      </c>
      <c r="H1195" s="2915">
        <f t="shared" si="19"/>
        <v>8.58</v>
      </c>
      <c r="Q1195" s="3004">
        <v>1191</v>
      </c>
      <c r="R1195" s="2999" t="s">
        <v>5794</v>
      </c>
      <c r="S1195" s="3000">
        <v>48.86</v>
      </c>
      <c r="T1195" s="3000">
        <v>1</v>
      </c>
      <c r="U1195" s="3000">
        <v>17260</v>
      </c>
      <c r="V1195" s="3000">
        <v>84</v>
      </c>
    </row>
    <row r="1196" spans="4:22" ht="14.25" thickBot="1">
      <c r="D1196" s="2915">
        <v>1192</v>
      </c>
      <c r="E1196" s="2915"/>
      <c r="F1196" s="2914" t="s">
        <v>4303</v>
      </c>
      <c r="G1196" s="2915">
        <v>54.87</v>
      </c>
      <c r="H1196" s="2915">
        <f t="shared" si="19"/>
        <v>9.6300000000000008</v>
      </c>
      <c r="Q1196" s="3004">
        <v>1192</v>
      </c>
      <c r="R1196" s="2999" t="s">
        <v>5795</v>
      </c>
      <c r="S1196" s="3000">
        <v>54.87</v>
      </c>
      <c r="T1196" s="3000">
        <v>1</v>
      </c>
      <c r="U1196" s="3000">
        <v>17260</v>
      </c>
      <c r="V1196" s="3000">
        <v>95</v>
      </c>
    </row>
    <row r="1197" spans="4:22" ht="14.25" thickBot="1">
      <c r="D1197" s="2915">
        <v>1193</v>
      </c>
      <c r="E1197" s="2915"/>
      <c r="F1197" s="2914" t="s">
        <v>4304</v>
      </c>
      <c r="G1197" s="2915">
        <v>88.13</v>
      </c>
      <c r="H1197" s="2915">
        <f t="shared" si="19"/>
        <v>15.47</v>
      </c>
      <c r="Q1197" s="3004">
        <v>1193</v>
      </c>
      <c r="R1197" s="2999" t="s">
        <v>5796</v>
      </c>
      <c r="S1197" s="3000">
        <v>88.13</v>
      </c>
      <c r="T1197" s="3000">
        <v>1</v>
      </c>
      <c r="U1197" s="3000">
        <v>17260</v>
      </c>
      <c r="V1197" s="3000">
        <v>152</v>
      </c>
    </row>
    <row r="1198" spans="4:22" ht="14.25" thickBot="1">
      <c r="D1198" s="2915">
        <v>1194</v>
      </c>
      <c r="E1198" s="2915"/>
      <c r="F1198" s="2914" t="s">
        <v>4305</v>
      </c>
      <c r="G1198" s="2915">
        <v>186.33</v>
      </c>
      <c r="H1198" s="2915">
        <f t="shared" si="19"/>
        <v>32.72</v>
      </c>
      <c r="Q1198" s="3004">
        <v>1194</v>
      </c>
      <c r="R1198" s="2999" t="s">
        <v>5797</v>
      </c>
      <c r="S1198" s="3000">
        <v>186.33</v>
      </c>
      <c r="T1198" s="3000">
        <v>0.99</v>
      </c>
      <c r="U1198" s="3000">
        <v>17087</v>
      </c>
      <c r="V1198" s="3000">
        <v>318</v>
      </c>
    </row>
    <row r="1199" spans="4:22" ht="14.25" thickBot="1">
      <c r="D1199" s="2915">
        <v>1195</v>
      </c>
      <c r="E1199" s="2915"/>
      <c r="F1199" s="2914" t="s">
        <v>4306</v>
      </c>
      <c r="G1199" s="2915">
        <v>188.39</v>
      </c>
      <c r="H1199" s="2915">
        <f t="shared" si="19"/>
        <v>33.08</v>
      </c>
      <c r="Q1199" s="3004">
        <v>1195</v>
      </c>
      <c r="R1199" s="2999" t="s">
        <v>5798</v>
      </c>
      <c r="S1199" s="3000">
        <v>188.39</v>
      </c>
      <c r="T1199" s="3000">
        <v>0.99</v>
      </c>
      <c r="U1199" s="3000">
        <v>17087</v>
      </c>
      <c r="V1199" s="3000">
        <v>322</v>
      </c>
    </row>
    <row r="1200" spans="4:22" ht="14.25" thickBot="1">
      <c r="D1200" s="2915">
        <v>1196</v>
      </c>
      <c r="E1200" s="2915"/>
      <c r="F1200" s="2914" t="s">
        <v>4307</v>
      </c>
      <c r="G1200" s="2915">
        <v>188.39</v>
      </c>
      <c r="H1200" s="2915">
        <f t="shared" si="19"/>
        <v>33.08</v>
      </c>
      <c r="Q1200" s="3004">
        <v>1196</v>
      </c>
      <c r="R1200" s="2999" t="s">
        <v>5799</v>
      </c>
      <c r="S1200" s="3000">
        <v>188.39</v>
      </c>
      <c r="T1200" s="3000">
        <v>0.99</v>
      </c>
      <c r="U1200" s="3000">
        <v>17087</v>
      </c>
      <c r="V1200" s="3000">
        <v>322</v>
      </c>
    </row>
    <row r="1201" spans="4:22" ht="14.25" thickBot="1">
      <c r="D1201" s="2915">
        <v>1197</v>
      </c>
      <c r="E1201" s="2915"/>
      <c r="F1201" s="2914" t="s">
        <v>4308</v>
      </c>
      <c r="G1201" s="2915">
        <v>188.39</v>
      </c>
      <c r="H1201" s="2915">
        <f t="shared" si="19"/>
        <v>33.08</v>
      </c>
      <c r="Q1201" s="3004">
        <v>1197</v>
      </c>
      <c r="R1201" s="2999" t="s">
        <v>5800</v>
      </c>
      <c r="S1201" s="3000">
        <v>188.39</v>
      </c>
      <c r="T1201" s="3000">
        <v>0.99</v>
      </c>
      <c r="U1201" s="3000">
        <v>17087</v>
      </c>
      <c r="V1201" s="3000">
        <v>322</v>
      </c>
    </row>
    <row r="1202" spans="4:22" ht="14.25" thickBot="1">
      <c r="D1202" s="2915">
        <v>1198</v>
      </c>
      <c r="E1202" s="2915"/>
      <c r="F1202" s="2914" t="s">
        <v>4309</v>
      </c>
      <c r="G1202" s="2915">
        <v>188.39</v>
      </c>
      <c r="H1202" s="2915">
        <f t="shared" si="19"/>
        <v>33.08</v>
      </c>
      <c r="Q1202" s="3004">
        <v>1198</v>
      </c>
      <c r="R1202" s="2999" t="s">
        <v>5801</v>
      </c>
      <c r="S1202" s="3000">
        <v>188.39</v>
      </c>
      <c r="T1202" s="3000">
        <v>0.99</v>
      </c>
      <c r="U1202" s="3000">
        <v>17087</v>
      </c>
      <c r="V1202" s="3000">
        <v>322</v>
      </c>
    </row>
    <row r="1203" spans="4:22" ht="14.25" thickBot="1">
      <c r="D1203" s="2915">
        <v>1199</v>
      </c>
      <c r="E1203" s="2915"/>
      <c r="F1203" s="2914" t="s">
        <v>4310</v>
      </c>
      <c r="G1203" s="2915">
        <v>188.39</v>
      </c>
      <c r="H1203" s="2915">
        <f t="shared" si="19"/>
        <v>33.08</v>
      </c>
      <c r="Q1203" s="3004">
        <v>1199</v>
      </c>
      <c r="R1203" s="2999" t="s">
        <v>5802</v>
      </c>
      <c r="S1203" s="3000">
        <v>188.39</v>
      </c>
      <c r="T1203" s="3000">
        <v>0.99</v>
      </c>
      <c r="U1203" s="3000">
        <v>17087</v>
      </c>
      <c r="V1203" s="3000">
        <v>322</v>
      </c>
    </row>
    <row r="1204" spans="4:22" ht="14.25" thickBot="1">
      <c r="D1204" s="2915">
        <v>1200</v>
      </c>
      <c r="E1204" s="2915"/>
      <c r="F1204" s="2914" t="s">
        <v>4311</v>
      </c>
      <c r="G1204" s="2915">
        <v>187.53</v>
      </c>
      <c r="H1204" s="2915">
        <f t="shared" si="19"/>
        <v>32.93</v>
      </c>
      <c r="Q1204" s="3004">
        <v>1200</v>
      </c>
      <c r="R1204" s="2999" t="s">
        <v>5803</v>
      </c>
      <c r="S1204" s="3000">
        <v>187.53</v>
      </c>
      <c r="T1204" s="3000">
        <v>0.99</v>
      </c>
      <c r="U1204" s="3000">
        <v>17087</v>
      </c>
      <c r="V1204" s="3000">
        <v>320</v>
      </c>
    </row>
    <row r="1205" spans="4:22" ht="14.25" thickBot="1">
      <c r="D1205" s="2915">
        <v>1201</v>
      </c>
      <c r="E1205" s="2915"/>
      <c r="F1205" s="2914" t="s">
        <v>4312</v>
      </c>
      <c r="G1205" s="2915">
        <v>210.19</v>
      </c>
      <c r="H1205" s="2915">
        <f t="shared" si="19"/>
        <v>36.909999999999997</v>
      </c>
      <c r="Q1205" s="3004">
        <v>1201</v>
      </c>
      <c r="R1205" s="2999" t="s">
        <v>5804</v>
      </c>
      <c r="S1205" s="3000">
        <v>210.19</v>
      </c>
      <c r="T1205" s="3000">
        <v>0.98</v>
      </c>
      <c r="U1205" s="3000">
        <v>16915</v>
      </c>
      <c r="V1205" s="3000">
        <v>356</v>
      </c>
    </row>
    <row r="1206" spans="4:22" ht="14.25" thickBot="1">
      <c r="D1206" s="2915">
        <v>1202</v>
      </c>
      <c r="E1206" s="2915"/>
      <c r="F1206" s="2914" t="s">
        <v>4313</v>
      </c>
      <c r="G1206" s="2915">
        <v>169.2</v>
      </c>
      <c r="H1206" s="2915">
        <f t="shared" si="19"/>
        <v>29.71</v>
      </c>
      <c r="Q1206" s="3004">
        <v>1202</v>
      </c>
      <c r="R1206" s="2999" t="s">
        <v>5805</v>
      </c>
      <c r="S1206" s="3000">
        <v>169.2</v>
      </c>
      <c r="T1206" s="3000">
        <v>0.99</v>
      </c>
      <c r="U1206" s="3000">
        <v>17087</v>
      </c>
      <c r="V1206" s="3000">
        <v>289</v>
      </c>
    </row>
    <row r="1207" spans="4:22" ht="14.25" thickBot="1">
      <c r="D1207" s="2915">
        <v>1203</v>
      </c>
      <c r="E1207" s="2915"/>
      <c r="F1207" s="2914" t="s">
        <v>4314</v>
      </c>
      <c r="G1207" s="2915">
        <v>178.35</v>
      </c>
      <c r="H1207" s="2915">
        <f t="shared" si="19"/>
        <v>31.32</v>
      </c>
      <c r="Q1207" s="3004">
        <v>1203</v>
      </c>
      <c r="R1207" s="2999" t="s">
        <v>5806</v>
      </c>
      <c r="S1207" s="3000">
        <v>178.35</v>
      </c>
      <c r="T1207" s="3000">
        <v>0.99</v>
      </c>
      <c r="U1207" s="3000">
        <v>17087</v>
      </c>
      <c r="V1207" s="3000">
        <v>305</v>
      </c>
    </row>
    <row r="1208" spans="4:22" ht="14.25" thickBot="1">
      <c r="D1208" s="2915">
        <v>1204</v>
      </c>
      <c r="E1208" s="2915"/>
      <c r="F1208" s="2914" t="s">
        <v>4315</v>
      </c>
      <c r="G1208" s="2915">
        <v>208.92</v>
      </c>
      <c r="H1208" s="2915">
        <f t="shared" si="19"/>
        <v>36.68</v>
      </c>
      <c r="Q1208" s="3004">
        <v>1204</v>
      </c>
      <c r="R1208" s="2999" t="s">
        <v>5807</v>
      </c>
      <c r="S1208" s="3000">
        <v>208.92</v>
      </c>
      <c r="T1208" s="3000">
        <v>0.98</v>
      </c>
      <c r="U1208" s="3000">
        <v>16915</v>
      </c>
      <c r="V1208" s="3000">
        <v>353</v>
      </c>
    </row>
    <row r="1209" spans="4:22" ht="14.25" thickBot="1">
      <c r="D1209" s="2915">
        <v>1205</v>
      </c>
      <c r="E1209" s="2915"/>
      <c r="F1209" s="2914" t="s">
        <v>4316</v>
      </c>
      <c r="G1209" s="2915">
        <v>188.35</v>
      </c>
      <c r="H1209" s="2915">
        <f t="shared" si="19"/>
        <v>33.07</v>
      </c>
      <c r="Q1209" s="3004">
        <v>1205</v>
      </c>
      <c r="R1209" s="2999" t="s">
        <v>5808</v>
      </c>
      <c r="S1209" s="3000">
        <v>188.35</v>
      </c>
      <c r="T1209" s="3000">
        <v>0.99</v>
      </c>
      <c r="U1209" s="3000">
        <v>17087</v>
      </c>
      <c r="V1209" s="3000">
        <v>322</v>
      </c>
    </row>
    <row r="1210" spans="4:22" ht="14.25" thickBot="1">
      <c r="D1210" s="2915">
        <v>1206</v>
      </c>
      <c r="E1210" s="2915"/>
      <c r="F1210" s="2914" t="s">
        <v>4317</v>
      </c>
      <c r="G1210" s="2915">
        <v>188.39</v>
      </c>
      <c r="H1210" s="2915">
        <f t="shared" si="19"/>
        <v>33.08</v>
      </c>
      <c r="Q1210" s="3004">
        <v>1206</v>
      </c>
      <c r="R1210" s="2999" t="s">
        <v>5809</v>
      </c>
      <c r="S1210" s="3000">
        <v>188.39</v>
      </c>
      <c r="T1210" s="3000">
        <v>0.99</v>
      </c>
      <c r="U1210" s="3000">
        <v>17087</v>
      </c>
      <c r="V1210" s="3000">
        <v>322</v>
      </c>
    </row>
    <row r="1211" spans="4:22" ht="14.25" thickBot="1">
      <c r="D1211" s="2915">
        <v>1207</v>
      </c>
      <c r="E1211" s="2915"/>
      <c r="F1211" s="2914" t="s">
        <v>4318</v>
      </c>
      <c r="G1211" s="2915">
        <v>188.39</v>
      </c>
      <c r="H1211" s="2915">
        <f t="shared" si="19"/>
        <v>33.08</v>
      </c>
      <c r="Q1211" s="3004">
        <v>1207</v>
      </c>
      <c r="R1211" s="2999" t="s">
        <v>5810</v>
      </c>
      <c r="S1211" s="3000">
        <v>188.39</v>
      </c>
      <c r="T1211" s="3000">
        <v>0.99</v>
      </c>
      <c r="U1211" s="3000">
        <v>17087</v>
      </c>
      <c r="V1211" s="3000">
        <v>322</v>
      </c>
    </row>
    <row r="1212" spans="4:22" ht="14.25" thickBot="1">
      <c r="D1212" s="2915">
        <v>1208</v>
      </c>
      <c r="E1212" s="2915"/>
      <c r="F1212" s="2914" t="s">
        <v>4319</v>
      </c>
      <c r="G1212" s="2915">
        <v>188.39</v>
      </c>
      <c r="H1212" s="2915">
        <f t="shared" si="19"/>
        <v>33.08</v>
      </c>
      <c r="Q1212" s="3004">
        <v>1208</v>
      </c>
      <c r="R1212" s="2999" t="s">
        <v>5811</v>
      </c>
      <c r="S1212" s="3000">
        <v>188.39</v>
      </c>
      <c r="T1212" s="3000">
        <v>0.99</v>
      </c>
      <c r="U1212" s="3000">
        <v>17087</v>
      </c>
      <c r="V1212" s="3000">
        <v>322</v>
      </c>
    </row>
    <row r="1213" spans="4:22" ht="14.25" thickBot="1">
      <c r="D1213" s="2915">
        <v>1209</v>
      </c>
      <c r="E1213" s="2915"/>
      <c r="F1213" s="2914" t="s">
        <v>4320</v>
      </c>
      <c r="G1213" s="2915">
        <v>188.39</v>
      </c>
      <c r="H1213" s="2915">
        <f t="shared" si="19"/>
        <v>33.08</v>
      </c>
      <c r="Q1213" s="3004">
        <v>1209</v>
      </c>
      <c r="R1213" s="2999" t="s">
        <v>5812</v>
      </c>
      <c r="S1213" s="3000">
        <v>188.39</v>
      </c>
      <c r="T1213" s="3000">
        <v>0.99</v>
      </c>
      <c r="U1213" s="3000">
        <v>17087</v>
      </c>
      <c r="V1213" s="3000">
        <v>322</v>
      </c>
    </row>
    <row r="1214" spans="4:22" ht="14.25" thickBot="1">
      <c r="D1214" s="2915">
        <v>1210</v>
      </c>
      <c r="E1214" s="2915"/>
      <c r="F1214" s="2914" t="s">
        <v>4321</v>
      </c>
      <c r="G1214" s="2915">
        <v>188.39</v>
      </c>
      <c r="H1214" s="2915">
        <f t="shared" si="19"/>
        <v>33.08</v>
      </c>
      <c r="Q1214" s="3004">
        <v>1210</v>
      </c>
      <c r="R1214" s="2999" t="s">
        <v>5813</v>
      </c>
      <c r="S1214" s="3000">
        <v>188.39</v>
      </c>
      <c r="T1214" s="3000">
        <v>0.99</v>
      </c>
      <c r="U1214" s="3000">
        <v>17087</v>
      </c>
      <c r="V1214" s="3000">
        <v>322</v>
      </c>
    </row>
    <row r="1215" spans="4:22" ht="14.25" thickBot="1">
      <c r="D1215" s="2915">
        <v>1211</v>
      </c>
      <c r="E1215" s="2915"/>
      <c r="F1215" s="2914" t="s">
        <v>4322</v>
      </c>
      <c r="G1215" s="2915">
        <v>279.91000000000003</v>
      </c>
      <c r="H1215" s="2915">
        <f t="shared" si="19"/>
        <v>49.15</v>
      </c>
      <c r="Q1215" s="3004">
        <v>1211</v>
      </c>
      <c r="R1215" s="2999" t="s">
        <v>5814</v>
      </c>
      <c r="S1215" s="3000">
        <v>279.91000000000003</v>
      </c>
      <c r="T1215" s="3000">
        <v>0.98</v>
      </c>
      <c r="U1215" s="3000">
        <v>16915</v>
      </c>
      <c r="V1215" s="3000">
        <v>473</v>
      </c>
    </row>
    <row r="1216" spans="4:22" ht="14.25" thickBot="1">
      <c r="D1216" s="2915">
        <v>1212</v>
      </c>
      <c r="E1216" s="2915"/>
      <c r="F1216" s="2914" t="s">
        <v>4323</v>
      </c>
      <c r="G1216" s="2915">
        <v>175.75</v>
      </c>
      <c r="H1216" s="2915">
        <f t="shared" si="19"/>
        <v>30.86</v>
      </c>
      <c r="Q1216" s="3004">
        <v>1212</v>
      </c>
      <c r="R1216" s="2999" t="s">
        <v>5815</v>
      </c>
      <c r="S1216" s="3000">
        <v>175.75</v>
      </c>
      <c r="T1216" s="3000">
        <v>0.99</v>
      </c>
      <c r="U1216" s="3000">
        <v>17087</v>
      </c>
      <c r="V1216" s="3000">
        <v>300</v>
      </c>
    </row>
    <row r="1217" spans="4:22" ht="14.25" thickBot="1">
      <c r="D1217" s="2915">
        <v>1213</v>
      </c>
      <c r="E1217" s="2915"/>
      <c r="F1217" s="2914" t="s">
        <v>4324</v>
      </c>
      <c r="G1217" s="2915">
        <v>188.32</v>
      </c>
      <c r="H1217" s="2915">
        <f t="shared" si="19"/>
        <v>33.07</v>
      </c>
      <c r="Q1217" s="3004">
        <v>1213</v>
      </c>
      <c r="R1217" s="2999" t="s">
        <v>5816</v>
      </c>
      <c r="S1217" s="3000">
        <v>188.32</v>
      </c>
      <c r="T1217" s="3000">
        <v>0.99</v>
      </c>
      <c r="U1217" s="3000">
        <v>17087</v>
      </c>
      <c r="V1217" s="3000">
        <v>322</v>
      </c>
    </row>
    <row r="1218" spans="4:22" ht="14.25" thickBot="1">
      <c r="D1218" s="2915">
        <v>1214</v>
      </c>
      <c r="E1218" s="2915"/>
      <c r="F1218" s="2914" t="s">
        <v>4325</v>
      </c>
      <c r="G1218" s="2915">
        <v>210.22</v>
      </c>
      <c r="H1218" s="2915">
        <f t="shared" si="19"/>
        <v>36.909999999999997</v>
      </c>
      <c r="Q1218" s="3004">
        <v>1214</v>
      </c>
      <c r="R1218" s="2999" t="s">
        <v>5817</v>
      </c>
      <c r="S1218" s="3000">
        <v>210.22</v>
      </c>
      <c r="T1218" s="3000">
        <v>0.98</v>
      </c>
      <c r="U1218" s="3000">
        <v>16915</v>
      </c>
      <c r="V1218" s="3000">
        <v>356</v>
      </c>
    </row>
    <row r="1219" spans="4:22" ht="14.25" thickBot="1">
      <c r="D1219" s="2915">
        <v>1215</v>
      </c>
      <c r="E1219" s="2915"/>
      <c r="F1219" s="2914" t="s">
        <v>4326</v>
      </c>
      <c r="G1219" s="2915">
        <v>187.56</v>
      </c>
      <c r="H1219" s="2915">
        <f t="shared" si="19"/>
        <v>32.93</v>
      </c>
      <c r="Q1219" s="3004">
        <v>1215</v>
      </c>
      <c r="R1219" s="2999" t="s">
        <v>5818</v>
      </c>
      <c r="S1219" s="3000">
        <v>187.56</v>
      </c>
      <c r="T1219" s="3000">
        <v>0.99</v>
      </c>
      <c r="U1219" s="3000">
        <v>17087</v>
      </c>
      <c r="V1219" s="3000">
        <v>320</v>
      </c>
    </row>
    <row r="1220" spans="4:22" ht="14.25" thickBot="1">
      <c r="D1220" s="2915">
        <v>1216</v>
      </c>
      <c r="E1220" s="2915"/>
      <c r="F1220" s="2914" t="s">
        <v>4327</v>
      </c>
      <c r="G1220" s="2915">
        <v>188.42</v>
      </c>
      <c r="H1220" s="2915">
        <f t="shared" si="19"/>
        <v>33.08</v>
      </c>
      <c r="Q1220" s="3004">
        <v>1216</v>
      </c>
      <c r="R1220" s="2999" t="s">
        <v>5819</v>
      </c>
      <c r="S1220" s="3000">
        <v>188.42</v>
      </c>
      <c r="T1220" s="3000">
        <v>0.99</v>
      </c>
      <c r="U1220" s="3000">
        <v>17087</v>
      </c>
      <c r="V1220" s="3000">
        <v>322</v>
      </c>
    </row>
    <row r="1221" spans="4:22" ht="14.25" thickBot="1">
      <c r="D1221" s="2915">
        <v>1217</v>
      </c>
      <c r="E1221" s="2915"/>
      <c r="F1221" s="2914" t="s">
        <v>4328</v>
      </c>
      <c r="G1221" s="2915">
        <v>188.42</v>
      </c>
      <c r="H1221" s="2915">
        <f t="shared" si="19"/>
        <v>33.08</v>
      </c>
      <c r="Q1221" s="3004">
        <v>1217</v>
      </c>
      <c r="R1221" s="2999" t="s">
        <v>5820</v>
      </c>
      <c r="S1221" s="3000">
        <v>188.42</v>
      </c>
      <c r="T1221" s="3000">
        <v>0.99</v>
      </c>
      <c r="U1221" s="3000">
        <v>17087</v>
      </c>
      <c r="V1221" s="3000">
        <v>322</v>
      </c>
    </row>
    <row r="1222" spans="4:22" ht="14.25" thickBot="1">
      <c r="D1222" s="2915">
        <v>1218</v>
      </c>
      <c r="E1222" s="2915"/>
      <c r="F1222" s="2914" t="s">
        <v>4329</v>
      </c>
      <c r="G1222" s="2915">
        <v>188.42</v>
      </c>
      <c r="H1222" s="2915">
        <f t="shared" ref="H1222:H1285" si="20">ROUND(G1222/$N$7*$M$7,2)</f>
        <v>33.08</v>
      </c>
      <c r="Q1222" s="3004">
        <v>1218</v>
      </c>
      <c r="R1222" s="2999" t="s">
        <v>5821</v>
      </c>
      <c r="S1222" s="3000">
        <v>188.42</v>
      </c>
      <c r="T1222" s="3000">
        <v>0.99</v>
      </c>
      <c r="U1222" s="3000">
        <v>17087</v>
      </c>
      <c r="V1222" s="3000">
        <v>322</v>
      </c>
    </row>
    <row r="1223" spans="4:22" ht="14.25" thickBot="1">
      <c r="D1223" s="2915">
        <v>1219</v>
      </c>
      <c r="E1223" s="2915"/>
      <c r="F1223" s="2914" t="s">
        <v>4330</v>
      </c>
      <c r="G1223" s="2915">
        <v>188.42</v>
      </c>
      <c r="H1223" s="2915">
        <f t="shared" si="20"/>
        <v>33.08</v>
      </c>
      <c r="Q1223" s="3004">
        <v>1219</v>
      </c>
      <c r="R1223" s="2999" t="s">
        <v>5822</v>
      </c>
      <c r="S1223" s="3000">
        <v>188.42</v>
      </c>
      <c r="T1223" s="3000">
        <v>0.99</v>
      </c>
      <c r="U1223" s="3000">
        <v>17087</v>
      </c>
      <c r="V1223" s="3000">
        <v>322</v>
      </c>
    </row>
    <row r="1224" spans="4:22" ht="14.25" thickBot="1">
      <c r="D1224" s="2915">
        <v>1220</v>
      </c>
      <c r="E1224" s="2915"/>
      <c r="F1224" s="2914" t="s">
        <v>4331</v>
      </c>
      <c r="G1224" s="2915">
        <v>188.42</v>
      </c>
      <c r="H1224" s="2915">
        <f t="shared" si="20"/>
        <v>33.08</v>
      </c>
      <c r="Q1224" s="3004">
        <v>1220</v>
      </c>
      <c r="R1224" s="2999" t="s">
        <v>5823</v>
      </c>
      <c r="S1224" s="3000">
        <v>188.42</v>
      </c>
      <c r="T1224" s="3000">
        <v>0.99</v>
      </c>
      <c r="U1224" s="3000">
        <v>17087</v>
      </c>
      <c r="V1224" s="3000">
        <v>322</v>
      </c>
    </row>
    <row r="1225" spans="4:22" ht="14.25" thickBot="1">
      <c r="D1225" s="2915">
        <v>1221</v>
      </c>
      <c r="E1225" s="2915"/>
      <c r="F1225" s="2914" t="s">
        <v>4332</v>
      </c>
      <c r="G1225" s="2915">
        <v>186.36</v>
      </c>
      <c r="H1225" s="2915">
        <f t="shared" si="20"/>
        <v>32.72</v>
      </c>
      <c r="Q1225" s="3004">
        <v>1221</v>
      </c>
      <c r="R1225" s="2999" t="s">
        <v>5824</v>
      </c>
      <c r="S1225" s="3000">
        <v>186.36</v>
      </c>
      <c r="T1225" s="3000">
        <v>0.99</v>
      </c>
      <c r="U1225" s="3000">
        <v>17087</v>
      </c>
      <c r="V1225" s="3000">
        <v>318</v>
      </c>
    </row>
    <row r="1226" spans="4:22" ht="14.25" thickBot="1">
      <c r="D1226" s="2915">
        <v>1222</v>
      </c>
      <c r="E1226" s="2915"/>
      <c r="F1226" s="2914" t="s">
        <v>4333</v>
      </c>
      <c r="G1226" s="2915">
        <v>188.36</v>
      </c>
      <c r="H1226" s="2915">
        <f t="shared" si="20"/>
        <v>33.07</v>
      </c>
      <c r="Q1226" s="3004">
        <v>1222</v>
      </c>
      <c r="R1226" s="2999" t="s">
        <v>5825</v>
      </c>
      <c r="S1226" s="3000">
        <v>188.36</v>
      </c>
      <c r="T1226" s="3000">
        <v>0.99</v>
      </c>
      <c r="U1226" s="3000">
        <v>17087</v>
      </c>
      <c r="V1226" s="3000">
        <v>322</v>
      </c>
    </row>
    <row r="1227" spans="4:22" ht="14.25" thickBot="1">
      <c r="D1227" s="2915">
        <v>1223</v>
      </c>
      <c r="E1227" s="2915"/>
      <c r="F1227" s="2914" t="s">
        <v>4334</v>
      </c>
      <c r="G1227" s="2915">
        <v>175.78</v>
      </c>
      <c r="H1227" s="2915">
        <f t="shared" si="20"/>
        <v>30.87</v>
      </c>
      <c r="Q1227" s="3004">
        <v>1223</v>
      </c>
      <c r="R1227" s="2999" t="s">
        <v>5826</v>
      </c>
      <c r="S1227" s="3000">
        <v>175.78</v>
      </c>
      <c r="T1227" s="3000">
        <v>0.99</v>
      </c>
      <c r="U1227" s="3000">
        <v>17087</v>
      </c>
      <c r="V1227" s="3000">
        <v>300</v>
      </c>
    </row>
    <row r="1228" spans="4:22" ht="14.25" thickBot="1">
      <c r="D1228" s="2915">
        <v>1224</v>
      </c>
      <c r="E1228" s="2915"/>
      <c r="F1228" s="2914" t="s">
        <v>4335</v>
      </c>
      <c r="G1228" s="2915">
        <v>279.95999999999998</v>
      </c>
      <c r="H1228" s="2915">
        <f t="shared" si="20"/>
        <v>49.16</v>
      </c>
      <c r="Q1228" s="3004">
        <v>1224</v>
      </c>
      <c r="R1228" s="2999" t="s">
        <v>5827</v>
      </c>
      <c r="S1228" s="3000">
        <v>279.95999999999998</v>
      </c>
      <c r="T1228" s="3000">
        <v>0.98</v>
      </c>
      <c r="U1228" s="3000">
        <v>16915</v>
      </c>
      <c r="V1228" s="3000">
        <v>474</v>
      </c>
    </row>
    <row r="1229" spans="4:22" ht="14.25" thickBot="1">
      <c r="D1229" s="2915">
        <v>1225</v>
      </c>
      <c r="E1229" s="2915"/>
      <c r="F1229" s="2914" t="s">
        <v>4336</v>
      </c>
      <c r="G1229" s="2915">
        <v>188.43</v>
      </c>
      <c r="H1229" s="2915">
        <f t="shared" si="20"/>
        <v>33.090000000000003</v>
      </c>
      <c r="Q1229" s="3004">
        <v>1225</v>
      </c>
      <c r="R1229" s="2999" t="s">
        <v>5828</v>
      </c>
      <c r="S1229" s="3000">
        <v>188.43</v>
      </c>
      <c r="T1229" s="3000">
        <v>0.99</v>
      </c>
      <c r="U1229" s="3000">
        <v>17087</v>
      </c>
      <c r="V1229" s="3000">
        <v>322</v>
      </c>
    </row>
    <row r="1230" spans="4:22" ht="14.25" thickBot="1">
      <c r="D1230" s="2915">
        <v>1226</v>
      </c>
      <c r="E1230" s="2915"/>
      <c r="F1230" s="2914" t="s">
        <v>4337</v>
      </c>
      <c r="G1230" s="2915">
        <v>188.43</v>
      </c>
      <c r="H1230" s="2915">
        <f t="shared" si="20"/>
        <v>33.090000000000003</v>
      </c>
      <c r="Q1230" s="3004">
        <v>1226</v>
      </c>
      <c r="R1230" s="2999" t="s">
        <v>5829</v>
      </c>
      <c r="S1230" s="3000">
        <v>188.43</v>
      </c>
      <c r="T1230" s="3000">
        <v>0.99</v>
      </c>
      <c r="U1230" s="3000">
        <v>17087</v>
      </c>
      <c r="V1230" s="3000">
        <v>322</v>
      </c>
    </row>
    <row r="1231" spans="4:22" ht="14.25" thickBot="1">
      <c r="D1231" s="2915">
        <v>1227</v>
      </c>
      <c r="E1231" s="2915"/>
      <c r="F1231" s="2914" t="s">
        <v>4338</v>
      </c>
      <c r="G1231" s="2915">
        <v>188.43</v>
      </c>
      <c r="H1231" s="2915">
        <f t="shared" si="20"/>
        <v>33.090000000000003</v>
      </c>
      <c r="Q1231" s="3004">
        <v>1227</v>
      </c>
      <c r="R1231" s="2999" t="s">
        <v>5830</v>
      </c>
      <c r="S1231" s="3000">
        <v>188.43</v>
      </c>
      <c r="T1231" s="3000">
        <v>0.99</v>
      </c>
      <c r="U1231" s="3000">
        <v>17087</v>
      </c>
      <c r="V1231" s="3000">
        <v>322</v>
      </c>
    </row>
    <row r="1232" spans="4:22" ht="14.25" thickBot="1">
      <c r="D1232" s="2915">
        <v>1228</v>
      </c>
      <c r="E1232" s="2915"/>
      <c r="F1232" s="2914" t="s">
        <v>4339</v>
      </c>
      <c r="G1232" s="2915">
        <v>188.43</v>
      </c>
      <c r="H1232" s="2915">
        <f t="shared" si="20"/>
        <v>33.090000000000003</v>
      </c>
      <c r="Q1232" s="3004">
        <v>1228</v>
      </c>
      <c r="R1232" s="2999" t="s">
        <v>5831</v>
      </c>
      <c r="S1232" s="3000">
        <v>188.43</v>
      </c>
      <c r="T1232" s="3000">
        <v>0.99</v>
      </c>
      <c r="U1232" s="3000">
        <v>17087</v>
      </c>
      <c r="V1232" s="3000">
        <v>322</v>
      </c>
    </row>
    <row r="1233" spans="4:22" ht="14.25" thickBot="1">
      <c r="D1233" s="2915">
        <v>1229</v>
      </c>
      <c r="E1233" s="2915"/>
      <c r="F1233" s="2914" t="s">
        <v>4340</v>
      </c>
      <c r="G1233" s="2915">
        <v>188.43</v>
      </c>
      <c r="H1233" s="2915">
        <f t="shared" si="20"/>
        <v>33.090000000000003</v>
      </c>
      <c r="Q1233" s="3004">
        <v>1229</v>
      </c>
      <c r="R1233" s="2999" t="s">
        <v>5832</v>
      </c>
      <c r="S1233" s="3000">
        <v>188.43</v>
      </c>
      <c r="T1233" s="3000">
        <v>0.99</v>
      </c>
      <c r="U1233" s="3000">
        <v>17087</v>
      </c>
      <c r="V1233" s="3000">
        <v>322</v>
      </c>
    </row>
    <row r="1234" spans="4:22" ht="14.25" thickBot="1">
      <c r="D1234" s="2915">
        <v>1230</v>
      </c>
      <c r="E1234" s="2915"/>
      <c r="F1234" s="2914" t="s">
        <v>4341</v>
      </c>
      <c r="G1234" s="2915">
        <v>188.38</v>
      </c>
      <c r="H1234" s="2915">
        <f t="shared" si="20"/>
        <v>33.08</v>
      </c>
      <c r="Q1234" s="3004">
        <v>1230</v>
      </c>
      <c r="R1234" s="2999" t="s">
        <v>5833</v>
      </c>
      <c r="S1234" s="3000">
        <v>188.38</v>
      </c>
      <c r="T1234" s="3000">
        <v>0.99</v>
      </c>
      <c r="U1234" s="3000">
        <v>17087</v>
      </c>
      <c r="V1234" s="3000">
        <v>322</v>
      </c>
    </row>
    <row r="1235" spans="4:22" ht="14.25" thickBot="1">
      <c r="D1235" s="2915">
        <v>1231</v>
      </c>
      <c r="E1235" s="2915"/>
      <c r="F1235" s="2914" t="s">
        <v>4342</v>
      </c>
      <c r="G1235" s="2915">
        <v>208.95</v>
      </c>
      <c r="H1235" s="2915">
        <f t="shared" si="20"/>
        <v>36.69</v>
      </c>
      <c r="Q1235" s="3004">
        <v>1231</v>
      </c>
      <c r="R1235" s="2999" t="s">
        <v>5834</v>
      </c>
      <c r="S1235" s="3000">
        <v>208.95</v>
      </c>
      <c r="T1235" s="3000">
        <v>0.98</v>
      </c>
      <c r="U1235" s="3000">
        <v>16915</v>
      </c>
      <c r="V1235" s="3000">
        <v>353</v>
      </c>
    </row>
    <row r="1236" spans="4:22" ht="14.25" thickBot="1">
      <c r="D1236" s="2915">
        <v>1232</v>
      </c>
      <c r="E1236" s="2915"/>
      <c r="F1236" s="2914" t="s">
        <v>4343</v>
      </c>
      <c r="G1236" s="2915">
        <v>189.85</v>
      </c>
      <c r="H1236" s="2915">
        <f t="shared" si="20"/>
        <v>33.340000000000003</v>
      </c>
      <c r="Q1236" s="3004">
        <v>1232</v>
      </c>
      <c r="R1236" s="2999" t="s">
        <v>5835</v>
      </c>
      <c r="S1236" s="3000">
        <v>189.85</v>
      </c>
      <c r="T1236" s="3000">
        <v>0.99</v>
      </c>
      <c r="U1236" s="3000">
        <v>17087</v>
      </c>
      <c r="V1236" s="3000">
        <v>324</v>
      </c>
    </row>
    <row r="1237" spans="4:22" ht="14.25" thickBot="1">
      <c r="D1237" s="2915">
        <v>1233</v>
      </c>
      <c r="E1237" s="2915"/>
      <c r="F1237" s="2914" t="s">
        <v>4344</v>
      </c>
      <c r="G1237" s="2915">
        <v>169.23</v>
      </c>
      <c r="H1237" s="2915">
        <f t="shared" si="20"/>
        <v>29.72</v>
      </c>
      <c r="Q1237" s="3004">
        <v>1233</v>
      </c>
      <c r="R1237" s="2999" t="s">
        <v>5836</v>
      </c>
      <c r="S1237" s="3000">
        <v>169.23</v>
      </c>
      <c r="T1237" s="3000">
        <v>0.99</v>
      </c>
      <c r="U1237" s="3000">
        <v>17087</v>
      </c>
      <c r="V1237" s="3000">
        <v>289</v>
      </c>
    </row>
    <row r="1238" spans="4:22" ht="14.25" thickBot="1">
      <c r="D1238" s="2915">
        <v>1234</v>
      </c>
      <c r="E1238" s="2915"/>
      <c r="F1238" s="2914" t="s">
        <v>4345</v>
      </c>
      <c r="G1238" s="2915">
        <v>55.7</v>
      </c>
      <c r="H1238" s="2915">
        <f t="shared" si="20"/>
        <v>9.7799999999999994</v>
      </c>
      <c r="Q1238" s="3004">
        <v>1234</v>
      </c>
      <c r="R1238" s="2999" t="s">
        <v>5837</v>
      </c>
      <c r="S1238" s="3000">
        <v>55.7</v>
      </c>
      <c r="T1238" s="3000">
        <v>1</v>
      </c>
      <c r="U1238" s="3000">
        <v>17260</v>
      </c>
      <c r="V1238" s="3000">
        <v>96</v>
      </c>
    </row>
    <row r="1239" spans="4:22" ht="14.25" thickBot="1">
      <c r="D1239" s="2915">
        <v>1235</v>
      </c>
      <c r="E1239" s="2915"/>
      <c r="F1239" s="2914" t="s">
        <v>4346</v>
      </c>
      <c r="G1239" s="2915">
        <v>49.53</v>
      </c>
      <c r="H1239" s="2915">
        <f t="shared" si="20"/>
        <v>8.6999999999999993</v>
      </c>
      <c r="Q1239" s="3004">
        <v>1235</v>
      </c>
      <c r="R1239" s="2999" t="s">
        <v>5838</v>
      </c>
      <c r="S1239" s="3000">
        <v>49.53</v>
      </c>
      <c r="T1239" s="3000">
        <v>1</v>
      </c>
      <c r="U1239" s="3000">
        <v>17260</v>
      </c>
      <c r="V1239" s="3000">
        <v>85</v>
      </c>
    </row>
    <row r="1240" spans="4:22" ht="14.25" thickBot="1">
      <c r="D1240" s="2915">
        <v>1236</v>
      </c>
      <c r="E1240" s="2915"/>
      <c r="F1240" s="2914" t="s">
        <v>4347</v>
      </c>
      <c r="G1240" s="2915">
        <v>50.63</v>
      </c>
      <c r="H1240" s="2915">
        <f t="shared" si="20"/>
        <v>8.89</v>
      </c>
      <c r="Q1240" s="3004">
        <v>1236</v>
      </c>
      <c r="R1240" s="2999" t="s">
        <v>5839</v>
      </c>
      <c r="S1240" s="3000">
        <v>50.63</v>
      </c>
      <c r="T1240" s="3000">
        <v>1</v>
      </c>
      <c r="U1240" s="3000">
        <v>17260</v>
      </c>
      <c r="V1240" s="3000">
        <v>87</v>
      </c>
    </row>
    <row r="1241" spans="4:22" ht="14.25" thickBot="1">
      <c r="D1241" s="2915">
        <v>1237</v>
      </c>
      <c r="E1241" s="2915"/>
      <c r="F1241" s="2914" t="s">
        <v>4348</v>
      </c>
      <c r="G1241" s="2915">
        <v>50.63</v>
      </c>
      <c r="H1241" s="2915">
        <f t="shared" si="20"/>
        <v>8.89</v>
      </c>
      <c r="Q1241" s="3004">
        <v>1237</v>
      </c>
      <c r="R1241" s="2999" t="s">
        <v>5840</v>
      </c>
      <c r="S1241" s="3000">
        <v>50.63</v>
      </c>
      <c r="T1241" s="3000">
        <v>1</v>
      </c>
      <c r="U1241" s="3000">
        <v>17260</v>
      </c>
      <c r="V1241" s="3000">
        <v>87</v>
      </c>
    </row>
    <row r="1242" spans="4:22" ht="14.25" thickBot="1">
      <c r="D1242" s="2915">
        <v>1238</v>
      </c>
      <c r="E1242" s="2915"/>
      <c r="F1242" s="2914" t="s">
        <v>4349</v>
      </c>
      <c r="G1242" s="2915">
        <v>50.63</v>
      </c>
      <c r="H1242" s="2915">
        <f t="shared" si="20"/>
        <v>8.89</v>
      </c>
      <c r="Q1242" s="3004">
        <v>1238</v>
      </c>
      <c r="R1242" s="2999" t="s">
        <v>5841</v>
      </c>
      <c r="S1242" s="3000">
        <v>50.63</v>
      </c>
      <c r="T1242" s="3000">
        <v>1</v>
      </c>
      <c r="U1242" s="3000">
        <v>17260</v>
      </c>
      <c r="V1242" s="3000">
        <v>87</v>
      </c>
    </row>
    <row r="1243" spans="4:22" ht="14.25" thickBot="1">
      <c r="D1243" s="2915">
        <v>1239</v>
      </c>
      <c r="E1243" s="2915"/>
      <c r="F1243" s="2914" t="s">
        <v>4350</v>
      </c>
      <c r="G1243" s="2915">
        <v>50.63</v>
      </c>
      <c r="H1243" s="2915">
        <f t="shared" si="20"/>
        <v>8.89</v>
      </c>
      <c r="Q1243" s="3004">
        <v>1239</v>
      </c>
      <c r="R1243" s="2999" t="s">
        <v>5842</v>
      </c>
      <c r="S1243" s="3000">
        <v>50.63</v>
      </c>
      <c r="T1243" s="3000">
        <v>1</v>
      </c>
      <c r="U1243" s="3000">
        <v>17260</v>
      </c>
      <c r="V1243" s="3000">
        <v>87</v>
      </c>
    </row>
    <row r="1244" spans="4:22" ht="14.25" thickBot="1">
      <c r="D1244" s="2915">
        <v>1240</v>
      </c>
      <c r="E1244" s="2915"/>
      <c r="F1244" s="2914" t="s">
        <v>4351</v>
      </c>
      <c r="G1244" s="2915">
        <v>50.63</v>
      </c>
      <c r="H1244" s="2915">
        <f t="shared" si="20"/>
        <v>8.89</v>
      </c>
      <c r="Q1244" s="3004">
        <v>1240</v>
      </c>
      <c r="R1244" s="2999" t="s">
        <v>5843</v>
      </c>
      <c r="S1244" s="3000">
        <v>50.63</v>
      </c>
      <c r="T1244" s="3000">
        <v>1</v>
      </c>
      <c r="U1244" s="3000">
        <v>17260</v>
      </c>
      <c r="V1244" s="3000">
        <v>87</v>
      </c>
    </row>
    <row r="1245" spans="4:22" ht="14.25" thickBot="1">
      <c r="D1245" s="2915">
        <v>1241</v>
      </c>
      <c r="E1245" s="2915"/>
      <c r="F1245" s="2914" t="s">
        <v>4352</v>
      </c>
      <c r="G1245" s="2915">
        <v>50.63</v>
      </c>
      <c r="H1245" s="2915">
        <f t="shared" si="20"/>
        <v>8.89</v>
      </c>
      <c r="Q1245" s="3004">
        <v>1241</v>
      </c>
      <c r="R1245" s="2999" t="s">
        <v>5844</v>
      </c>
      <c r="S1245" s="3000">
        <v>50.63</v>
      </c>
      <c r="T1245" s="3000">
        <v>1</v>
      </c>
      <c r="U1245" s="3000">
        <v>17260</v>
      </c>
      <c r="V1245" s="3000">
        <v>87</v>
      </c>
    </row>
    <row r="1246" spans="4:22" ht="14.25" thickBot="1">
      <c r="D1246" s="2915">
        <v>1242</v>
      </c>
      <c r="E1246" s="2915"/>
      <c r="F1246" s="2914" t="s">
        <v>4353</v>
      </c>
      <c r="G1246" s="2915">
        <v>50.63</v>
      </c>
      <c r="H1246" s="2915">
        <f t="shared" si="20"/>
        <v>8.89</v>
      </c>
      <c r="Q1246" s="3004">
        <v>1242</v>
      </c>
      <c r="R1246" s="2999" t="s">
        <v>5845</v>
      </c>
      <c r="S1246" s="3000">
        <v>50.63</v>
      </c>
      <c r="T1246" s="3000">
        <v>1</v>
      </c>
      <c r="U1246" s="3000">
        <v>17260</v>
      </c>
      <c r="V1246" s="3000">
        <v>87</v>
      </c>
    </row>
    <row r="1247" spans="4:22" ht="14.25" thickBot="1">
      <c r="D1247" s="2915">
        <v>1243</v>
      </c>
      <c r="E1247" s="2915"/>
      <c r="F1247" s="2914" t="s">
        <v>4354</v>
      </c>
      <c r="G1247" s="2915">
        <v>50.63</v>
      </c>
      <c r="H1247" s="2915">
        <f t="shared" si="20"/>
        <v>8.89</v>
      </c>
      <c r="Q1247" s="3004">
        <v>1243</v>
      </c>
      <c r="R1247" s="2999" t="s">
        <v>5846</v>
      </c>
      <c r="S1247" s="3000">
        <v>50.63</v>
      </c>
      <c r="T1247" s="3000">
        <v>1</v>
      </c>
      <c r="U1247" s="3000">
        <v>17260</v>
      </c>
      <c r="V1247" s="3000">
        <v>87</v>
      </c>
    </row>
    <row r="1248" spans="4:22" ht="14.25" thickBot="1">
      <c r="D1248" s="2915">
        <v>1244</v>
      </c>
      <c r="E1248" s="2915"/>
      <c r="F1248" s="2914" t="s">
        <v>4355</v>
      </c>
      <c r="G1248" s="2915">
        <v>50.63</v>
      </c>
      <c r="H1248" s="2915">
        <f t="shared" si="20"/>
        <v>8.89</v>
      </c>
      <c r="Q1248" s="3004">
        <v>1244</v>
      </c>
      <c r="R1248" s="2999" t="s">
        <v>5847</v>
      </c>
      <c r="S1248" s="3000">
        <v>50.63</v>
      </c>
      <c r="T1248" s="3000">
        <v>1</v>
      </c>
      <c r="U1248" s="3000">
        <v>17260</v>
      </c>
      <c r="V1248" s="3000">
        <v>87</v>
      </c>
    </row>
    <row r="1249" spans="4:22" ht="14.25" thickBot="1">
      <c r="D1249" s="2915">
        <v>1245</v>
      </c>
      <c r="E1249" s="2915"/>
      <c r="F1249" s="2914" t="s">
        <v>4356</v>
      </c>
      <c r="G1249" s="2915">
        <v>50.63</v>
      </c>
      <c r="H1249" s="2915">
        <f t="shared" si="20"/>
        <v>8.89</v>
      </c>
      <c r="Q1249" s="3004">
        <v>1245</v>
      </c>
      <c r="R1249" s="2999" t="s">
        <v>5848</v>
      </c>
      <c r="S1249" s="3000">
        <v>50.63</v>
      </c>
      <c r="T1249" s="3000">
        <v>1</v>
      </c>
      <c r="U1249" s="3000">
        <v>17260</v>
      </c>
      <c r="V1249" s="3000">
        <v>87</v>
      </c>
    </row>
    <row r="1250" spans="4:22" ht="14.25" thickBot="1">
      <c r="D1250" s="2915">
        <v>1246</v>
      </c>
      <c r="E1250" s="2915"/>
      <c r="F1250" s="2914" t="s">
        <v>4357</v>
      </c>
      <c r="G1250" s="2915">
        <v>49.61</v>
      </c>
      <c r="H1250" s="2915">
        <f t="shared" si="20"/>
        <v>8.7100000000000009</v>
      </c>
      <c r="Q1250" s="3004">
        <v>1246</v>
      </c>
      <c r="R1250" s="2999" t="s">
        <v>5849</v>
      </c>
      <c r="S1250" s="3000">
        <v>49.61</v>
      </c>
      <c r="T1250" s="3000">
        <v>1</v>
      </c>
      <c r="U1250" s="3000">
        <v>17260</v>
      </c>
      <c r="V1250" s="3000">
        <v>86</v>
      </c>
    </row>
    <row r="1251" spans="4:22" ht="14.25" thickBot="1">
      <c r="D1251" s="2915">
        <v>1247</v>
      </c>
      <c r="E1251" s="2915"/>
      <c r="F1251" s="2914" t="s">
        <v>4358</v>
      </c>
      <c r="G1251" s="2915">
        <v>46.31</v>
      </c>
      <c r="H1251" s="2915">
        <f t="shared" si="20"/>
        <v>8.1300000000000008</v>
      </c>
      <c r="Q1251" s="3004">
        <v>1247</v>
      </c>
      <c r="R1251" s="2999" t="s">
        <v>5850</v>
      </c>
      <c r="S1251" s="3000">
        <v>46.31</v>
      </c>
      <c r="T1251" s="3000">
        <v>1</v>
      </c>
      <c r="U1251" s="3000">
        <v>17260</v>
      </c>
      <c r="V1251" s="3000">
        <v>80</v>
      </c>
    </row>
    <row r="1252" spans="4:22" ht="14.25" thickBot="1">
      <c r="D1252" s="2915">
        <v>1248</v>
      </c>
      <c r="E1252" s="2915"/>
      <c r="F1252" s="2914" t="s">
        <v>4359</v>
      </c>
      <c r="G1252" s="2915">
        <v>50.63</v>
      </c>
      <c r="H1252" s="2915">
        <f t="shared" si="20"/>
        <v>8.89</v>
      </c>
      <c r="Q1252" s="3004">
        <v>1248</v>
      </c>
      <c r="R1252" s="2999" t="s">
        <v>5851</v>
      </c>
      <c r="S1252" s="3000">
        <v>50.63</v>
      </c>
      <c r="T1252" s="3000">
        <v>1</v>
      </c>
      <c r="U1252" s="3000">
        <v>17260</v>
      </c>
      <c r="V1252" s="3000">
        <v>87</v>
      </c>
    </row>
    <row r="1253" spans="4:22" ht="14.25" thickBot="1">
      <c r="D1253" s="2915">
        <v>1249</v>
      </c>
      <c r="E1253" s="2915"/>
      <c r="F1253" s="2914" t="s">
        <v>4360</v>
      </c>
      <c r="G1253" s="2915">
        <v>50.63</v>
      </c>
      <c r="H1253" s="2915">
        <f t="shared" si="20"/>
        <v>8.89</v>
      </c>
      <c r="Q1253" s="3004">
        <v>1249</v>
      </c>
      <c r="R1253" s="2999" t="s">
        <v>5852</v>
      </c>
      <c r="S1253" s="3000">
        <v>50.63</v>
      </c>
      <c r="T1253" s="3000">
        <v>1</v>
      </c>
      <c r="U1253" s="3000">
        <v>17260</v>
      </c>
      <c r="V1253" s="3000">
        <v>87</v>
      </c>
    </row>
    <row r="1254" spans="4:22" ht="14.25" thickBot="1">
      <c r="D1254" s="2915">
        <v>1250</v>
      </c>
      <c r="E1254" s="2915"/>
      <c r="F1254" s="2914" t="s">
        <v>4361</v>
      </c>
      <c r="G1254" s="2915">
        <v>62.54</v>
      </c>
      <c r="H1254" s="2915">
        <f t="shared" si="20"/>
        <v>10.98</v>
      </c>
      <c r="Q1254" s="3004">
        <v>1250</v>
      </c>
      <c r="R1254" s="2999" t="s">
        <v>5853</v>
      </c>
      <c r="S1254" s="3000">
        <v>62.54</v>
      </c>
      <c r="T1254" s="3000">
        <v>1</v>
      </c>
      <c r="U1254" s="3000">
        <v>17260</v>
      </c>
      <c r="V1254" s="3000">
        <v>108</v>
      </c>
    </row>
    <row r="1255" spans="4:22" ht="14.25" thickBot="1">
      <c r="D1255" s="2915">
        <v>1251</v>
      </c>
      <c r="E1255" s="2915"/>
      <c r="F1255" s="2914" t="s">
        <v>4362</v>
      </c>
      <c r="G1255" s="2915">
        <v>62.56</v>
      </c>
      <c r="H1255" s="2915">
        <f t="shared" si="20"/>
        <v>10.99</v>
      </c>
      <c r="Q1255" s="3004">
        <v>1251</v>
      </c>
      <c r="R1255" s="2999" t="s">
        <v>5854</v>
      </c>
      <c r="S1255" s="3000">
        <v>62.56</v>
      </c>
      <c r="T1255" s="3000">
        <v>1</v>
      </c>
      <c r="U1255" s="3000">
        <v>17260</v>
      </c>
      <c r="V1255" s="3000">
        <v>108</v>
      </c>
    </row>
    <row r="1256" spans="4:22" ht="14.25" thickBot="1">
      <c r="D1256" s="2915">
        <v>1252</v>
      </c>
      <c r="E1256" s="2915"/>
      <c r="F1256" s="2914" t="s">
        <v>4363</v>
      </c>
      <c r="G1256" s="2915">
        <v>62.56</v>
      </c>
      <c r="H1256" s="2915">
        <f t="shared" si="20"/>
        <v>10.99</v>
      </c>
      <c r="Q1256" s="3004">
        <v>1252</v>
      </c>
      <c r="R1256" s="2999" t="s">
        <v>5855</v>
      </c>
      <c r="S1256" s="3000">
        <v>62.56</v>
      </c>
      <c r="T1256" s="3000">
        <v>1</v>
      </c>
      <c r="U1256" s="3000">
        <v>17260</v>
      </c>
      <c r="V1256" s="3000">
        <v>108</v>
      </c>
    </row>
    <row r="1257" spans="4:22" ht="14.25" thickBot="1">
      <c r="D1257" s="2915">
        <v>1253</v>
      </c>
      <c r="E1257" s="2915"/>
      <c r="F1257" s="2914" t="s">
        <v>4364</v>
      </c>
      <c r="G1257" s="2915">
        <v>62.54</v>
      </c>
      <c r="H1257" s="2915">
        <f t="shared" si="20"/>
        <v>10.98</v>
      </c>
      <c r="Q1257" s="3004">
        <v>1253</v>
      </c>
      <c r="R1257" s="2999" t="s">
        <v>5856</v>
      </c>
      <c r="S1257" s="3000">
        <v>62.54</v>
      </c>
      <c r="T1257" s="3000">
        <v>1</v>
      </c>
      <c r="U1257" s="3000">
        <v>17260</v>
      </c>
      <c r="V1257" s="3000">
        <v>108</v>
      </c>
    </row>
    <row r="1258" spans="4:22" ht="14.25" thickBot="1">
      <c r="D1258" s="2915">
        <v>1254</v>
      </c>
      <c r="E1258" s="2915"/>
      <c r="F1258" s="2914" t="s">
        <v>4365</v>
      </c>
      <c r="G1258" s="2915">
        <v>50.63</v>
      </c>
      <c r="H1258" s="2915">
        <f t="shared" si="20"/>
        <v>8.89</v>
      </c>
      <c r="Q1258" s="3004">
        <v>1254</v>
      </c>
      <c r="R1258" s="2999" t="s">
        <v>5857</v>
      </c>
      <c r="S1258" s="3000">
        <v>50.63</v>
      </c>
      <c r="T1258" s="3000">
        <v>1</v>
      </c>
      <c r="U1258" s="3000">
        <v>17260</v>
      </c>
      <c r="V1258" s="3000">
        <v>87</v>
      </c>
    </row>
    <row r="1259" spans="4:22" ht="14.25" thickBot="1">
      <c r="D1259" s="2915">
        <v>1255</v>
      </c>
      <c r="E1259" s="2915"/>
      <c r="F1259" s="2914" t="s">
        <v>4366</v>
      </c>
      <c r="G1259" s="2915">
        <v>50.63</v>
      </c>
      <c r="H1259" s="2915">
        <f t="shared" si="20"/>
        <v>8.89</v>
      </c>
      <c r="Q1259" s="3004">
        <v>1255</v>
      </c>
      <c r="R1259" s="2999" t="s">
        <v>5858</v>
      </c>
      <c r="S1259" s="3000">
        <v>50.63</v>
      </c>
      <c r="T1259" s="3000">
        <v>1</v>
      </c>
      <c r="U1259" s="3000">
        <v>17260</v>
      </c>
      <c r="V1259" s="3000">
        <v>87</v>
      </c>
    </row>
    <row r="1260" spans="4:22" ht="14.25" thickBot="1">
      <c r="D1260" s="2915">
        <v>1256</v>
      </c>
      <c r="E1260" s="2915"/>
      <c r="F1260" s="2914" t="s">
        <v>4367</v>
      </c>
      <c r="G1260" s="2915">
        <v>50.63</v>
      </c>
      <c r="H1260" s="2915">
        <f t="shared" si="20"/>
        <v>8.89</v>
      </c>
      <c r="Q1260" s="3004">
        <v>1256</v>
      </c>
      <c r="R1260" s="2999" t="s">
        <v>5859</v>
      </c>
      <c r="S1260" s="3000">
        <v>50.63</v>
      </c>
      <c r="T1260" s="3000">
        <v>1</v>
      </c>
      <c r="U1260" s="3000">
        <v>17260</v>
      </c>
      <c r="V1260" s="3000">
        <v>87</v>
      </c>
    </row>
    <row r="1261" spans="4:22" ht="14.25" thickBot="1">
      <c r="D1261" s="2915">
        <v>1257</v>
      </c>
      <c r="E1261" s="2915"/>
      <c r="F1261" s="2914" t="s">
        <v>4368</v>
      </c>
      <c r="G1261" s="2915">
        <v>50.63</v>
      </c>
      <c r="H1261" s="2915">
        <f t="shared" si="20"/>
        <v>8.89</v>
      </c>
      <c r="Q1261" s="3004">
        <v>1257</v>
      </c>
      <c r="R1261" s="2999" t="s">
        <v>5860</v>
      </c>
      <c r="S1261" s="3000">
        <v>50.63</v>
      </c>
      <c r="T1261" s="3000">
        <v>1</v>
      </c>
      <c r="U1261" s="3000">
        <v>17260</v>
      </c>
      <c r="V1261" s="3000">
        <v>87</v>
      </c>
    </row>
    <row r="1262" spans="4:22" ht="14.25" thickBot="1">
      <c r="D1262" s="2915">
        <v>1258</v>
      </c>
      <c r="E1262" s="2915"/>
      <c r="F1262" s="2914" t="s">
        <v>4369</v>
      </c>
      <c r="G1262" s="2915">
        <v>50.63</v>
      </c>
      <c r="H1262" s="2915">
        <f t="shared" si="20"/>
        <v>8.89</v>
      </c>
      <c r="Q1262" s="3004">
        <v>1258</v>
      </c>
      <c r="R1262" s="2999" t="s">
        <v>5861</v>
      </c>
      <c r="S1262" s="3000">
        <v>50.63</v>
      </c>
      <c r="T1262" s="3000">
        <v>1</v>
      </c>
      <c r="U1262" s="3000">
        <v>17260</v>
      </c>
      <c r="V1262" s="3000">
        <v>87</v>
      </c>
    </row>
    <row r="1263" spans="4:22" ht="14.25" thickBot="1">
      <c r="D1263" s="2915">
        <v>1259</v>
      </c>
      <c r="E1263" s="2915"/>
      <c r="F1263" s="2914" t="s">
        <v>4370</v>
      </c>
      <c r="G1263" s="2915">
        <v>50.63</v>
      </c>
      <c r="H1263" s="2915">
        <f t="shared" si="20"/>
        <v>8.89</v>
      </c>
      <c r="Q1263" s="3004">
        <v>1259</v>
      </c>
      <c r="R1263" s="2999" t="s">
        <v>5862</v>
      </c>
      <c r="S1263" s="3000">
        <v>50.63</v>
      </c>
      <c r="T1263" s="3000">
        <v>1</v>
      </c>
      <c r="U1263" s="3000">
        <v>17260</v>
      </c>
      <c r="V1263" s="3000">
        <v>87</v>
      </c>
    </row>
    <row r="1264" spans="4:22" ht="14.25" thickBot="1">
      <c r="D1264" s="2915">
        <v>1260</v>
      </c>
      <c r="E1264" s="2915"/>
      <c r="F1264" s="2914" t="s">
        <v>4371</v>
      </c>
      <c r="G1264" s="2915">
        <v>50.63</v>
      </c>
      <c r="H1264" s="2915">
        <f t="shared" si="20"/>
        <v>8.89</v>
      </c>
      <c r="Q1264" s="3004">
        <v>1260</v>
      </c>
      <c r="R1264" s="2999" t="s">
        <v>5863</v>
      </c>
      <c r="S1264" s="3000">
        <v>50.63</v>
      </c>
      <c r="T1264" s="3000">
        <v>1</v>
      </c>
      <c r="U1264" s="3000">
        <v>17260</v>
      </c>
      <c r="V1264" s="3000">
        <v>87</v>
      </c>
    </row>
    <row r="1265" spans="4:22" ht="14.25" thickBot="1">
      <c r="D1265" s="2915">
        <v>1261</v>
      </c>
      <c r="E1265" s="2915"/>
      <c r="F1265" s="2914" t="s">
        <v>4372</v>
      </c>
      <c r="G1265" s="2915">
        <v>50.63</v>
      </c>
      <c r="H1265" s="2915">
        <f t="shared" si="20"/>
        <v>8.89</v>
      </c>
      <c r="Q1265" s="3004">
        <v>1261</v>
      </c>
      <c r="R1265" s="2999" t="s">
        <v>5864</v>
      </c>
      <c r="S1265" s="3000">
        <v>50.63</v>
      </c>
      <c r="T1265" s="3000">
        <v>1</v>
      </c>
      <c r="U1265" s="3000">
        <v>17260</v>
      </c>
      <c r="V1265" s="3000">
        <v>87</v>
      </c>
    </row>
    <row r="1266" spans="4:22" ht="14.25" thickBot="1">
      <c r="D1266" s="2915">
        <v>1262</v>
      </c>
      <c r="E1266" s="2915"/>
      <c r="F1266" s="2914" t="s">
        <v>4373</v>
      </c>
      <c r="G1266" s="2915">
        <v>50.63</v>
      </c>
      <c r="H1266" s="2915">
        <f t="shared" si="20"/>
        <v>8.89</v>
      </c>
      <c r="Q1266" s="3004">
        <v>1262</v>
      </c>
      <c r="R1266" s="2999" t="s">
        <v>5865</v>
      </c>
      <c r="S1266" s="3000">
        <v>50.63</v>
      </c>
      <c r="T1266" s="3000">
        <v>1</v>
      </c>
      <c r="U1266" s="3000">
        <v>17260</v>
      </c>
      <c r="V1266" s="3000">
        <v>87</v>
      </c>
    </row>
    <row r="1267" spans="4:22" ht="14.25" thickBot="1">
      <c r="D1267" s="2915">
        <v>1263</v>
      </c>
      <c r="E1267" s="2915"/>
      <c r="F1267" s="2914" t="s">
        <v>4374</v>
      </c>
      <c r="G1267" s="2915">
        <v>50.63</v>
      </c>
      <c r="H1267" s="2915">
        <f t="shared" si="20"/>
        <v>8.89</v>
      </c>
      <c r="Q1267" s="3004">
        <v>1263</v>
      </c>
      <c r="R1267" s="2999" t="s">
        <v>5866</v>
      </c>
      <c r="S1267" s="3000">
        <v>50.63</v>
      </c>
      <c r="T1267" s="3000">
        <v>1</v>
      </c>
      <c r="U1267" s="3000">
        <v>17260</v>
      </c>
      <c r="V1267" s="3000">
        <v>87</v>
      </c>
    </row>
    <row r="1268" spans="4:22" ht="14.25" thickBot="1">
      <c r="D1268" s="2915">
        <v>1264</v>
      </c>
      <c r="E1268" s="2915"/>
      <c r="F1268" s="2914" t="s">
        <v>4375</v>
      </c>
      <c r="G1268" s="2915">
        <v>50.63</v>
      </c>
      <c r="H1268" s="2915">
        <f t="shared" si="20"/>
        <v>8.89</v>
      </c>
      <c r="Q1268" s="3004">
        <v>1264</v>
      </c>
      <c r="R1268" s="2999" t="s">
        <v>5867</v>
      </c>
      <c r="S1268" s="3000">
        <v>50.63</v>
      </c>
      <c r="T1268" s="3000">
        <v>1</v>
      </c>
      <c r="U1268" s="3000">
        <v>17260</v>
      </c>
      <c r="V1268" s="3000">
        <v>87</v>
      </c>
    </row>
    <row r="1269" spans="4:22" ht="14.25" thickBot="1">
      <c r="D1269" s="2915">
        <v>1265</v>
      </c>
      <c r="E1269" s="2915"/>
      <c r="F1269" s="2914" t="s">
        <v>4376</v>
      </c>
      <c r="G1269" s="2915">
        <v>50.63</v>
      </c>
      <c r="H1269" s="2915">
        <f t="shared" si="20"/>
        <v>8.89</v>
      </c>
      <c r="Q1269" s="3004">
        <v>1265</v>
      </c>
      <c r="R1269" s="2999" t="s">
        <v>5868</v>
      </c>
      <c r="S1269" s="3000">
        <v>50.63</v>
      </c>
      <c r="T1269" s="3000">
        <v>1</v>
      </c>
      <c r="U1269" s="3000">
        <v>17260</v>
      </c>
      <c r="V1269" s="3000">
        <v>87</v>
      </c>
    </row>
    <row r="1270" spans="4:22" ht="14.25" thickBot="1">
      <c r="D1270" s="2915">
        <v>1266</v>
      </c>
      <c r="E1270" s="2915"/>
      <c r="F1270" s="2914" t="s">
        <v>4377</v>
      </c>
      <c r="G1270" s="2915">
        <v>50.38</v>
      </c>
      <c r="H1270" s="2915">
        <f t="shared" si="20"/>
        <v>8.85</v>
      </c>
      <c r="Q1270" s="3004">
        <v>1266</v>
      </c>
      <c r="R1270" s="2999" t="s">
        <v>5869</v>
      </c>
      <c r="S1270" s="3000">
        <v>50.38</v>
      </c>
      <c r="T1270" s="3000">
        <v>1</v>
      </c>
      <c r="U1270" s="3000">
        <v>17260</v>
      </c>
      <c r="V1270" s="3000">
        <v>87</v>
      </c>
    </row>
    <row r="1271" spans="4:22" ht="14.25" thickBot="1">
      <c r="D1271" s="2915">
        <v>1267</v>
      </c>
      <c r="E1271" s="2915"/>
      <c r="F1271" s="2914" t="s">
        <v>4378</v>
      </c>
      <c r="G1271" s="2915">
        <v>51.12</v>
      </c>
      <c r="H1271" s="2915">
        <f t="shared" si="20"/>
        <v>8.98</v>
      </c>
      <c r="Q1271" s="3004">
        <v>1267</v>
      </c>
      <c r="R1271" s="2999" t="s">
        <v>5870</v>
      </c>
      <c r="S1271" s="3000">
        <v>51.12</v>
      </c>
      <c r="T1271" s="3000">
        <v>1</v>
      </c>
      <c r="U1271" s="3000">
        <v>17260</v>
      </c>
      <c r="V1271" s="3000">
        <v>88</v>
      </c>
    </row>
    <row r="1272" spans="4:22" ht="14.25" thickBot="1">
      <c r="D1272" s="2915">
        <v>1268</v>
      </c>
      <c r="E1272" s="2915"/>
      <c r="F1272" s="2914" t="s">
        <v>4379</v>
      </c>
      <c r="G1272" s="2915">
        <v>68.760000000000005</v>
      </c>
      <c r="H1272" s="2915">
        <f t="shared" si="20"/>
        <v>12.07</v>
      </c>
      <c r="Q1272" s="3004">
        <v>1268</v>
      </c>
      <c r="R1272" s="2999" t="s">
        <v>5871</v>
      </c>
      <c r="S1272" s="3000">
        <v>68.760000000000005</v>
      </c>
      <c r="T1272" s="3000">
        <v>1</v>
      </c>
      <c r="U1272" s="3000">
        <v>17260</v>
      </c>
      <c r="V1272" s="3000">
        <v>119</v>
      </c>
    </row>
    <row r="1273" spans="4:22" ht="14.25" thickBot="1">
      <c r="D1273" s="2915">
        <v>1269</v>
      </c>
      <c r="E1273" s="2915"/>
      <c r="F1273" s="2914" t="s">
        <v>4380</v>
      </c>
      <c r="G1273" s="2915">
        <v>69.319999999999993</v>
      </c>
      <c r="H1273" s="2915">
        <f t="shared" si="20"/>
        <v>12.17</v>
      </c>
      <c r="Q1273" s="3004">
        <v>1269</v>
      </c>
      <c r="R1273" s="2999" t="s">
        <v>5872</v>
      </c>
      <c r="S1273" s="3000">
        <v>69.319999999999993</v>
      </c>
      <c r="T1273" s="3000">
        <v>1</v>
      </c>
      <c r="U1273" s="3000">
        <v>17260</v>
      </c>
      <c r="V1273" s="3000">
        <v>120</v>
      </c>
    </row>
    <row r="1274" spans="4:22" ht="14.25" thickBot="1">
      <c r="D1274" s="2915">
        <v>1270</v>
      </c>
      <c r="E1274" s="2915"/>
      <c r="F1274" s="2914" t="s">
        <v>4381</v>
      </c>
      <c r="G1274" s="2915">
        <v>61.41</v>
      </c>
      <c r="H1274" s="2915">
        <f t="shared" si="20"/>
        <v>10.78</v>
      </c>
      <c r="Q1274" s="3004">
        <v>1270</v>
      </c>
      <c r="R1274" s="2999" t="s">
        <v>5873</v>
      </c>
      <c r="S1274" s="3000">
        <v>61.41</v>
      </c>
      <c r="T1274" s="3000">
        <v>1</v>
      </c>
      <c r="U1274" s="3000">
        <v>17260</v>
      </c>
      <c r="V1274" s="3000">
        <v>106</v>
      </c>
    </row>
    <row r="1275" spans="4:22" ht="14.25" thickBot="1">
      <c r="D1275" s="2915">
        <v>1271</v>
      </c>
      <c r="E1275" s="2915"/>
      <c r="F1275" s="2914" t="s">
        <v>4382</v>
      </c>
      <c r="G1275" s="2915">
        <v>61.41</v>
      </c>
      <c r="H1275" s="2915">
        <f t="shared" si="20"/>
        <v>10.78</v>
      </c>
      <c r="Q1275" s="3004">
        <v>1271</v>
      </c>
      <c r="R1275" s="2999" t="s">
        <v>5874</v>
      </c>
      <c r="S1275" s="3000">
        <v>61.41</v>
      </c>
      <c r="T1275" s="3000">
        <v>1</v>
      </c>
      <c r="U1275" s="3000">
        <v>17260</v>
      </c>
      <c r="V1275" s="3000">
        <v>106</v>
      </c>
    </row>
    <row r="1276" spans="4:22" ht="14.25" thickBot="1">
      <c r="D1276" s="2915">
        <v>1272</v>
      </c>
      <c r="E1276" s="2915"/>
      <c r="F1276" s="2914" t="s">
        <v>4383</v>
      </c>
      <c r="G1276" s="2915">
        <v>61.41</v>
      </c>
      <c r="H1276" s="2915">
        <f t="shared" si="20"/>
        <v>10.78</v>
      </c>
      <c r="Q1276" s="3004">
        <v>1272</v>
      </c>
      <c r="R1276" s="2999" t="s">
        <v>5875</v>
      </c>
      <c r="S1276" s="3000">
        <v>61.41</v>
      </c>
      <c r="T1276" s="3000">
        <v>1</v>
      </c>
      <c r="U1276" s="3000">
        <v>17260</v>
      </c>
      <c r="V1276" s="3000">
        <v>106</v>
      </c>
    </row>
    <row r="1277" spans="4:22" ht="14.25" thickBot="1">
      <c r="D1277" s="2915">
        <v>1273</v>
      </c>
      <c r="E1277" s="2915"/>
      <c r="F1277" s="2914" t="s">
        <v>4384</v>
      </c>
      <c r="G1277" s="2915">
        <v>61.41</v>
      </c>
      <c r="H1277" s="2915">
        <f t="shared" si="20"/>
        <v>10.78</v>
      </c>
      <c r="Q1277" s="3004">
        <v>1273</v>
      </c>
      <c r="R1277" s="2999" t="s">
        <v>5876</v>
      </c>
      <c r="S1277" s="3000">
        <v>61.41</v>
      </c>
      <c r="T1277" s="3000">
        <v>1</v>
      </c>
      <c r="U1277" s="3000">
        <v>17260</v>
      </c>
      <c r="V1277" s="3000">
        <v>106</v>
      </c>
    </row>
    <row r="1278" spans="4:22" ht="14.25" thickBot="1">
      <c r="D1278" s="2915">
        <v>1274</v>
      </c>
      <c r="E1278" s="2915"/>
      <c r="F1278" s="2914" t="s">
        <v>4385</v>
      </c>
      <c r="G1278" s="2915">
        <v>61.41</v>
      </c>
      <c r="H1278" s="2915">
        <f t="shared" si="20"/>
        <v>10.78</v>
      </c>
      <c r="Q1278" s="3004">
        <v>1274</v>
      </c>
      <c r="R1278" s="2999" t="s">
        <v>5877</v>
      </c>
      <c r="S1278" s="3000">
        <v>61.41</v>
      </c>
      <c r="T1278" s="3000">
        <v>1</v>
      </c>
      <c r="U1278" s="3000">
        <v>17260</v>
      </c>
      <c r="V1278" s="3000">
        <v>106</v>
      </c>
    </row>
    <row r="1279" spans="4:22" ht="14.25" thickBot="1">
      <c r="D1279" s="2915">
        <v>1275</v>
      </c>
      <c r="E1279" s="2915"/>
      <c r="F1279" s="2914" t="s">
        <v>4386</v>
      </c>
      <c r="G1279" s="2915">
        <v>72.87</v>
      </c>
      <c r="H1279" s="2915">
        <f t="shared" si="20"/>
        <v>12.8</v>
      </c>
      <c r="Q1279" s="3004">
        <v>1275</v>
      </c>
      <c r="R1279" s="2999" t="s">
        <v>5878</v>
      </c>
      <c r="S1279" s="3000">
        <v>72.87</v>
      </c>
      <c r="T1279" s="3000">
        <v>1</v>
      </c>
      <c r="U1279" s="3000">
        <v>17260</v>
      </c>
      <c r="V1279" s="3000">
        <v>126</v>
      </c>
    </row>
    <row r="1280" spans="4:22" ht="14.25" thickBot="1">
      <c r="D1280" s="2915">
        <v>1276</v>
      </c>
      <c r="E1280" s="2915"/>
      <c r="F1280" s="2914" t="s">
        <v>4387</v>
      </c>
      <c r="G1280" s="2915">
        <v>81.069999999999993</v>
      </c>
      <c r="H1280" s="2915">
        <f t="shared" si="20"/>
        <v>14.24</v>
      </c>
      <c r="Q1280" s="3004">
        <v>1276</v>
      </c>
      <c r="R1280" s="2999" t="s">
        <v>5879</v>
      </c>
      <c r="S1280" s="3000">
        <v>81.069999999999993</v>
      </c>
      <c r="T1280" s="3000">
        <v>1</v>
      </c>
      <c r="U1280" s="3000">
        <v>17260</v>
      </c>
      <c r="V1280" s="3000">
        <v>140</v>
      </c>
    </row>
    <row r="1281" spans="4:22" ht="14.25" thickBot="1">
      <c r="D1281" s="2915">
        <v>1277</v>
      </c>
      <c r="E1281" s="2915"/>
      <c r="F1281" s="2914" t="s">
        <v>4388</v>
      </c>
      <c r="G1281" s="2915">
        <v>61.41</v>
      </c>
      <c r="H1281" s="2915">
        <f t="shared" si="20"/>
        <v>10.78</v>
      </c>
      <c r="Q1281" s="3004">
        <v>1277</v>
      </c>
      <c r="R1281" s="2999" t="s">
        <v>5880</v>
      </c>
      <c r="S1281" s="3000">
        <v>61.41</v>
      </c>
      <c r="T1281" s="3000">
        <v>1</v>
      </c>
      <c r="U1281" s="3000">
        <v>17260</v>
      </c>
      <c r="V1281" s="3000">
        <v>106</v>
      </c>
    </row>
    <row r="1282" spans="4:22" ht="14.25" thickBot="1">
      <c r="D1282" s="2915">
        <v>1278</v>
      </c>
      <c r="E1282" s="2915"/>
      <c r="F1282" s="2914" t="s">
        <v>4389</v>
      </c>
      <c r="G1282" s="2915">
        <v>54.6</v>
      </c>
      <c r="H1282" s="2915">
        <f t="shared" si="20"/>
        <v>9.59</v>
      </c>
      <c r="Q1282" s="3004">
        <v>1278</v>
      </c>
      <c r="R1282" s="2999" t="s">
        <v>5881</v>
      </c>
      <c r="S1282" s="3000">
        <v>54.6</v>
      </c>
      <c r="T1282" s="3000">
        <v>1</v>
      </c>
      <c r="U1282" s="3000">
        <v>17260</v>
      </c>
      <c r="V1282" s="3000">
        <v>94</v>
      </c>
    </row>
    <row r="1283" spans="4:22" ht="14.25" thickBot="1">
      <c r="D1283" s="2915">
        <v>1279</v>
      </c>
      <c r="E1283" s="2915"/>
      <c r="F1283" s="2914" t="s">
        <v>4390</v>
      </c>
      <c r="G1283" s="2915">
        <v>71.23</v>
      </c>
      <c r="H1283" s="2915">
        <f t="shared" si="20"/>
        <v>12.51</v>
      </c>
      <c r="Q1283" s="3004">
        <v>1279</v>
      </c>
      <c r="R1283" s="2999" t="s">
        <v>5882</v>
      </c>
      <c r="S1283" s="3000">
        <v>71.23</v>
      </c>
      <c r="T1283" s="3000">
        <v>1</v>
      </c>
      <c r="U1283" s="3000">
        <v>17260</v>
      </c>
      <c r="V1283" s="3000">
        <v>123</v>
      </c>
    </row>
    <row r="1284" spans="4:22" ht="14.25" thickBot="1">
      <c r="D1284" s="2915">
        <v>1280</v>
      </c>
      <c r="E1284" s="2915"/>
      <c r="F1284" s="2914" t="s">
        <v>4391</v>
      </c>
      <c r="G1284" s="2915">
        <v>61.41</v>
      </c>
      <c r="H1284" s="2915">
        <f t="shared" si="20"/>
        <v>10.78</v>
      </c>
      <c r="Q1284" s="3004">
        <v>1280</v>
      </c>
      <c r="R1284" s="2999" t="s">
        <v>5883</v>
      </c>
      <c r="S1284" s="3000">
        <v>61.41</v>
      </c>
      <c r="T1284" s="3000">
        <v>1</v>
      </c>
      <c r="U1284" s="3000">
        <v>17260</v>
      </c>
      <c r="V1284" s="3000">
        <v>106</v>
      </c>
    </row>
    <row r="1285" spans="4:22" ht="14.25" thickBot="1">
      <c r="D1285" s="2915">
        <v>1281</v>
      </c>
      <c r="E1285" s="2915"/>
      <c r="F1285" s="2914" t="s">
        <v>4392</v>
      </c>
      <c r="G1285" s="2915">
        <v>61.41</v>
      </c>
      <c r="H1285" s="2915">
        <f t="shared" si="20"/>
        <v>10.78</v>
      </c>
      <c r="Q1285" s="3004">
        <v>1281</v>
      </c>
      <c r="R1285" s="2999" t="s">
        <v>5884</v>
      </c>
      <c r="S1285" s="3000">
        <v>61.41</v>
      </c>
      <c r="T1285" s="3000">
        <v>1</v>
      </c>
      <c r="U1285" s="3000">
        <v>17260</v>
      </c>
      <c r="V1285" s="3000">
        <v>106</v>
      </c>
    </row>
    <row r="1286" spans="4:22" ht="14.25" thickBot="1">
      <c r="D1286" s="2915">
        <v>1282</v>
      </c>
      <c r="E1286" s="2915"/>
      <c r="F1286" s="2914" t="s">
        <v>4393</v>
      </c>
      <c r="G1286" s="2915">
        <v>61.41</v>
      </c>
      <c r="H1286" s="2915">
        <f t="shared" ref="H1286:H1349" si="21">ROUND(G1286/$N$7*$M$7,2)</f>
        <v>10.78</v>
      </c>
      <c r="Q1286" s="3004">
        <v>1282</v>
      </c>
      <c r="R1286" s="2999" t="s">
        <v>5885</v>
      </c>
      <c r="S1286" s="3000">
        <v>61.41</v>
      </c>
      <c r="T1286" s="3000">
        <v>1</v>
      </c>
      <c r="U1286" s="3000">
        <v>17260</v>
      </c>
      <c r="V1286" s="3000">
        <v>106</v>
      </c>
    </row>
    <row r="1287" spans="4:22" ht="14.25" thickBot="1">
      <c r="D1287" s="2915">
        <v>1283</v>
      </c>
      <c r="E1287" s="2915"/>
      <c r="F1287" s="2914" t="s">
        <v>4394</v>
      </c>
      <c r="G1287" s="2915">
        <v>61.88</v>
      </c>
      <c r="H1287" s="2915">
        <f t="shared" si="21"/>
        <v>10.87</v>
      </c>
      <c r="Q1287" s="3004">
        <v>1283</v>
      </c>
      <c r="R1287" s="2999" t="s">
        <v>5886</v>
      </c>
      <c r="S1287" s="3000">
        <v>61.88</v>
      </c>
      <c r="T1287" s="3000">
        <v>1</v>
      </c>
      <c r="U1287" s="3000">
        <v>17260</v>
      </c>
      <c r="V1287" s="3000">
        <v>107</v>
      </c>
    </row>
    <row r="1288" spans="4:22" ht="14.25" thickBot="1">
      <c r="D1288" s="2915">
        <v>1284</v>
      </c>
      <c r="E1288" s="2915"/>
      <c r="F1288" s="2914" t="s">
        <v>4395</v>
      </c>
      <c r="G1288" s="2915">
        <v>58.8</v>
      </c>
      <c r="H1288" s="2915">
        <f t="shared" si="21"/>
        <v>10.32</v>
      </c>
      <c r="Q1288" s="3004">
        <v>1284</v>
      </c>
      <c r="R1288" s="2999" t="s">
        <v>5887</v>
      </c>
      <c r="S1288" s="3000">
        <v>58.8</v>
      </c>
      <c r="T1288" s="3000">
        <v>1</v>
      </c>
      <c r="U1288" s="3000">
        <v>17260</v>
      </c>
      <c r="V1288" s="3000">
        <v>101</v>
      </c>
    </row>
    <row r="1289" spans="4:22" ht="14.25" thickBot="1">
      <c r="D1289" s="2915">
        <v>1285</v>
      </c>
      <c r="E1289" s="2915"/>
      <c r="F1289" s="2914" t="s">
        <v>4396</v>
      </c>
      <c r="G1289" s="2915">
        <v>60.21</v>
      </c>
      <c r="H1289" s="2915">
        <f t="shared" si="21"/>
        <v>10.57</v>
      </c>
      <c r="Q1289" s="3004">
        <v>1285</v>
      </c>
      <c r="R1289" s="2999" t="s">
        <v>5888</v>
      </c>
      <c r="S1289" s="3000">
        <v>60.21</v>
      </c>
      <c r="T1289" s="3000">
        <v>1</v>
      </c>
      <c r="U1289" s="3000">
        <v>17260</v>
      </c>
      <c r="V1289" s="3000">
        <v>104</v>
      </c>
    </row>
    <row r="1290" spans="4:22" ht="14.25" thickBot="1">
      <c r="D1290" s="2915">
        <v>1286</v>
      </c>
      <c r="E1290" s="2915"/>
      <c r="F1290" s="2914" t="s">
        <v>4397</v>
      </c>
      <c r="G1290" s="2915">
        <v>65.760000000000005</v>
      </c>
      <c r="H1290" s="2915">
        <f t="shared" si="21"/>
        <v>11.55</v>
      </c>
      <c r="Q1290" s="3004">
        <v>1286</v>
      </c>
      <c r="R1290" s="2999" t="s">
        <v>5889</v>
      </c>
      <c r="S1290" s="3000">
        <v>65.760000000000005</v>
      </c>
      <c r="T1290" s="3000">
        <v>1</v>
      </c>
      <c r="U1290" s="3000">
        <v>17260</v>
      </c>
      <c r="V1290" s="3000">
        <v>114</v>
      </c>
    </row>
    <row r="1291" spans="4:22" ht="14.25" thickBot="1">
      <c r="D1291" s="2915">
        <v>1287</v>
      </c>
      <c r="E1291" s="2915"/>
      <c r="F1291" s="2914" t="s">
        <v>4398</v>
      </c>
      <c r="G1291" s="2915">
        <v>59.41</v>
      </c>
      <c r="H1291" s="2915">
        <f t="shared" si="21"/>
        <v>10.43</v>
      </c>
      <c r="Q1291" s="3004">
        <v>1287</v>
      </c>
      <c r="R1291" s="2999" t="s">
        <v>5890</v>
      </c>
      <c r="S1291" s="3000">
        <v>59.41</v>
      </c>
      <c r="T1291" s="3000">
        <v>1</v>
      </c>
      <c r="U1291" s="3000">
        <v>17260</v>
      </c>
      <c r="V1291" s="3000">
        <v>103</v>
      </c>
    </row>
    <row r="1292" spans="4:22" ht="14.25" thickBot="1">
      <c r="D1292" s="2915">
        <v>1288</v>
      </c>
      <c r="E1292" s="2915"/>
      <c r="F1292" s="2914" t="s">
        <v>4399</v>
      </c>
      <c r="G1292" s="2915">
        <v>60.69</v>
      </c>
      <c r="H1292" s="2915">
        <f t="shared" si="21"/>
        <v>10.66</v>
      </c>
      <c r="Q1292" s="3004">
        <v>1288</v>
      </c>
      <c r="R1292" s="2999" t="s">
        <v>5891</v>
      </c>
      <c r="S1292" s="3000">
        <v>60.69</v>
      </c>
      <c r="T1292" s="3000">
        <v>1</v>
      </c>
      <c r="U1292" s="3000">
        <v>17260</v>
      </c>
      <c r="V1292" s="3000">
        <v>105</v>
      </c>
    </row>
    <row r="1293" spans="4:22" ht="14.25" thickBot="1">
      <c r="D1293" s="2915">
        <v>1289</v>
      </c>
      <c r="E1293" s="2915"/>
      <c r="F1293" s="2914" t="s">
        <v>4400</v>
      </c>
      <c r="G1293" s="2915">
        <v>60.69</v>
      </c>
      <c r="H1293" s="2915">
        <f t="shared" si="21"/>
        <v>10.66</v>
      </c>
      <c r="Q1293" s="3004">
        <v>1289</v>
      </c>
      <c r="R1293" s="2999" t="s">
        <v>5892</v>
      </c>
      <c r="S1293" s="3000">
        <v>60.69</v>
      </c>
      <c r="T1293" s="3000">
        <v>1</v>
      </c>
      <c r="U1293" s="3000">
        <v>17260</v>
      </c>
      <c r="V1293" s="3000">
        <v>105</v>
      </c>
    </row>
    <row r="1294" spans="4:22" ht="14.25" thickBot="1">
      <c r="D1294" s="2915">
        <v>1290</v>
      </c>
      <c r="E1294" s="2915"/>
      <c r="F1294" s="2914" t="s">
        <v>4401</v>
      </c>
      <c r="G1294" s="2915">
        <v>60.69</v>
      </c>
      <c r="H1294" s="2915">
        <f t="shared" si="21"/>
        <v>10.66</v>
      </c>
      <c r="Q1294" s="3004">
        <v>1290</v>
      </c>
      <c r="R1294" s="2999" t="s">
        <v>5893</v>
      </c>
      <c r="S1294" s="3000">
        <v>60.69</v>
      </c>
      <c r="T1294" s="3000">
        <v>1</v>
      </c>
      <c r="U1294" s="3000">
        <v>17260</v>
      </c>
      <c r="V1294" s="3000">
        <v>105</v>
      </c>
    </row>
    <row r="1295" spans="4:22" ht="14.25" thickBot="1">
      <c r="D1295" s="2915">
        <v>1291</v>
      </c>
      <c r="E1295" s="2915"/>
      <c r="F1295" s="2914" t="s">
        <v>4402</v>
      </c>
      <c r="G1295" s="2915">
        <v>60.69</v>
      </c>
      <c r="H1295" s="2915">
        <f t="shared" si="21"/>
        <v>10.66</v>
      </c>
      <c r="Q1295" s="3004">
        <v>1291</v>
      </c>
      <c r="R1295" s="2999" t="s">
        <v>5894</v>
      </c>
      <c r="S1295" s="3000">
        <v>60.69</v>
      </c>
      <c r="T1295" s="3000">
        <v>1</v>
      </c>
      <c r="U1295" s="3000">
        <v>17260</v>
      </c>
      <c r="V1295" s="3000">
        <v>105</v>
      </c>
    </row>
    <row r="1296" spans="4:22" ht="14.25" thickBot="1">
      <c r="D1296" s="2915">
        <v>1292</v>
      </c>
      <c r="E1296" s="2915"/>
      <c r="F1296" s="2914" t="s">
        <v>4403</v>
      </c>
      <c r="G1296" s="2915">
        <v>60.69</v>
      </c>
      <c r="H1296" s="2915">
        <f t="shared" si="21"/>
        <v>10.66</v>
      </c>
      <c r="Q1296" s="3004">
        <v>1292</v>
      </c>
      <c r="R1296" s="2999" t="s">
        <v>5895</v>
      </c>
      <c r="S1296" s="3000">
        <v>60.69</v>
      </c>
      <c r="T1296" s="3000">
        <v>1</v>
      </c>
      <c r="U1296" s="3000">
        <v>17260</v>
      </c>
      <c r="V1296" s="3000">
        <v>105</v>
      </c>
    </row>
    <row r="1297" spans="4:22" ht="14.25" thickBot="1">
      <c r="D1297" s="2915">
        <v>1293</v>
      </c>
      <c r="E1297" s="2915"/>
      <c r="F1297" s="2914" t="s">
        <v>4404</v>
      </c>
      <c r="G1297" s="2915">
        <v>60.69</v>
      </c>
      <c r="H1297" s="2915">
        <f t="shared" si="21"/>
        <v>10.66</v>
      </c>
      <c r="Q1297" s="3004">
        <v>1293</v>
      </c>
      <c r="R1297" s="2999" t="s">
        <v>5896</v>
      </c>
      <c r="S1297" s="3000">
        <v>60.69</v>
      </c>
      <c r="T1297" s="3000">
        <v>1</v>
      </c>
      <c r="U1297" s="3000">
        <v>17260</v>
      </c>
      <c r="V1297" s="3000">
        <v>105</v>
      </c>
    </row>
    <row r="1298" spans="4:22" ht="14.25" thickBot="1">
      <c r="D1298" s="2915">
        <v>1294</v>
      </c>
      <c r="E1298" s="2915"/>
      <c r="F1298" s="2914" t="s">
        <v>4405</v>
      </c>
      <c r="G1298" s="2915">
        <v>60.69</v>
      </c>
      <c r="H1298" s="2915">
        <f t="shared" si="21"/>
        <v>10.66</v>
      </c>
      <c r="Q1298" s="3004">
        <v>1294</v>
      </c>
      <c r="R1298" s="2999" t="s">
        <v>5897</v>
      </c>
      <c r="S1298" s="3000">
        <v>60.69</v>
      </c>
      <c r="T1298" s="3000">
        <v>1</v>
      </c>
      <c r="U1298" s="3000">
        <v>17260</v>
      </c>
      <c r="V1298" s="3000">
        <v>105</v>
      </c>
    </row>
    <row r="1299" spans="4:22" ht="14.25" thickBot="1">
      <c r="D1299" s="2915">
        <v>1295</v>
      </c>
      <c r="E1299" s="2915"/>
      <c r="F1299" s="2914" t="s">
        <v>4406</v>
      </c>
      <c r="G1299" s="2915">
        <v>60.69</v>
      </c>
      <c r="H1299" s="2915">
        <f t="shared" si="21"/>
        <v>10.66</v>
      </c>
      <c r="Q1299" s="3004">
        <v>1295</v>
      </c>
      <c r="R1299" s="2999" t="s">
        <v>5898</v>
      </c>
      <c r="S1299" s="3000">
        <v>60.69</v>
      </c>
      <c r="T1299" s="3000">
        <v>1</v>
      </c>
      <c r="U1299" s="3000">
        <v>17260</v>
      </c>
      <c r="V1299" s="3000">
        <v>105</v>
      </c>
    </row>
    <row r="1300" spans="4:22" ht="14.25" thickBot="1">
      <c r="D1300" s="2915">
        <v>1296</v>
      </c>
      <c r="E1300" s="2915"/>
      <c r="F1300" s="2914" t="s">
        <v>4407</v>
      </c>
      <c r="G1300" s="2915">
        <v>60.69</v>
      </c>
      <c r="H1300" s="2915">
        <f t="shared" si="21"/>
        <v>10.66</v>
      </c>
      <c r="Q1300" s="3004">
        <v>1296</v>
      </c>
      <c r="R1300" s="2999" t="s">
        <v>5899</v>
      </c>
      <c r="S1300" s="3000">
        <v>60.69</v>
      </c>
      <c r="T1300" s="3000">
        <v>1</v>
      </c>
      <c r="U1300" s="3000">
        <v>17260</v>
      </c>
      <c r="V1300" s="3000">
        <v>105</v>
      </c>
    </row>
    <row r="1301" spans="4:22" ht="14.25" thickBot="1">
      <c r="D1301" s="2915">
        <v>1297</v>
      </c>
      <c r="E1301" s="2915"/>
      <c r="F1301" s="2914" t="s">
        <v>4408</v>
      </c>
      <c r="G1301" s="2915">
        <v>54.3</v>
      </c>
      <c r="H1301" s="2915">
        <f t="shared" si="21"/>
        <v>9.5299999999999994</v>
      </c>
      <c r="Q1301" s="3004">
        <v>1297</v>
      </c>
      <c r="R1301" s="2999" t="s">
        <v>5900</v>
      </c>
      <c r="S1301" s="3000">
        <v>54.3</v>
      </c>
      <c r="T1301" s="3000">
        <v>1</v>
      </c>
      <c r="U1301" s="3000">
        <v>17260</v>
      </c>
      <c r="V1301" s="3000">
        <v>94</v>
      </c>
    </row>
    <row r="1302" spans="4:22" ht="14.25" thickBot="1">
      <c r="D1302" s="2915">
        <v>1298</v>
      </c>
      <c r="E1302" s="2915"/>
      <c r="F1302" s="2914" t="s">
        <v>4409</v>
      </c>
      <c r="G1302" s="2915">
        <v>60.68</v>
      </c>
      <c r="H1302" s="2915">
        <f t="shared" si="21"/>
        <v>10.65</v>
      </c>
      <c r="Q1302" s="3004">
        <v>1298</v>
      </c>
      <c r="R1302" s="2999" t="s">
        <v>5901</v>
      </c>
      <c r="S1302" s="3000">
        <v>60.68</v>
      </c>
      <c r="T1302" s="3000">
        <v>1</v>
      </c>
      <c r="U1302" s="3000">
        <v>17260</v>
      </c>
      <c r="V1302" s="3000">
        <v>105</v>
      </c>
    </row>
    <row r="1303" spans="4:22" ht="14.25" thickBot="1">
      <c r="D1303" s="2915">
        <v>1299</v>
      </c>
      <c r="E1303" s="2915"/>
      <c r="F1303" s="2914" t="s">
        <v>4410</v>
      </c>
      <c r="G1303" s="2915">
        <v>80.459999999999994</v>
      </c>
      <c r="H1303" s="2915">
        <f t="shared" si="21"/>
        <v>14.13</v>
      </c>
      <c r="Q1303" s="3004">
        <v>1299</v>
      </c>
      <c r="R1303" s="2999" t="s">
        <v>5902</v>
      </c>
      <c r="S1303" s="3000">
        <v>80.459999999999994</v>
      </c>
      <c r="T1303" s="3000">
        <v>1</v>
      </c>
      <c r="U1303" s="3000">
        <v>17260</v>
      </c>
      <c r="V1303" s="3000">
        <v>139</v>
      </c>
    </row>
    <row r="1304" spans="4:22" ht="14.25" thickBot="1">
      <c r="D1304" s="2915">
        <v>1300</v>
      </c>
      <c r="E1304" s="2915"/>
      <c r="F1304" s="2914" t="s">
        <v>4411</v>
      </c>
      <c r="G1304" s="2915">
        <v>80.45</v>
      </c>
      <c r="H1304" s="2915">
        <f t="shared" si="21"/>
        <v>14.13</v>
      </c>
      <c r="Q1304" s="3004">
        <v>1300</v>
      </c>
      <c r="R1304" s="2999" t="s">
        <v>5903</v>
      </c>
      <c r="S1304" s="3000">
        <v>80.45</v>
      </c>
      <c r="T1304" s="3000">
        <v>1</v>
      </c>
      <c r="U1304" s="3000">
        <v>17260</v>
      </c>
      <c r="V1304" s="3000">
        <v>139</v>
      </c>
    </row>
    <row r="1305" spans="4:22" ht="14.25" thickBot="1">
      <c r="D1305" s="2915">
        <v>1301</v>
      </c>
      <c r="E1305" s="2915"/>
      <c r="F1305" s="2914" t="s">
        <v>4412</v>
      </c>
      <c r="G1305" s="2915">
        <v>60.69</v>
      </c>
      <c r="H1305" s="2915">
        <f t="shared" si="21"/>
        <v>10.66</v>
      </c>
      <c r="Q1305" s="3004">
        <v>1301</v>
      </c>
      <c r="R1305" s="2999" t="s">
        <v>5904</v>
      </c>
      <c r="S1305" s="3000">
        <v>60.69</v>
      </c>
      <c r="T1305" s="3000">
        <v>1</v>
      </c>
      <c r="U1305" s="3000">
        <v>17260</v>
      </c>
      <c r="V1305" s="3000">
        <v>105</v>
      </c>
    </row>
    <row r="1306" spans="4:22" ht="14.25" thickBot="1">
      <c r="D1306" s="2915">
        <v>1302</v>
      </c>
      <c r="E1306" s="2915"/>
      <c r="F1306" s="2914" t="s">
        <v>4413</v>
      </c>
      <c r="G1306" s="2915">
        <v>60.69</v>
      </c>
      <c r="H1306" s="2915">
        <f t="shared" si="21"/>
        <v>10.66</v>
      </c>
      <c r="Q1306" s="3004">
        <v>1302</v>
      </c>
      <c r="R1306" s="2999" t="s">
        <v>5905</v>
      </c>
      <c r="S1306" s="3000">
        <v>60.69</v>
      </c>
      <c r="T1306" s="3000">
        <v>1</v>
      </c>
      <c r="U1306" s="3000">
        <v>17260</v>
      </c>
      <c r="V1306" s="3000">
        <v>105</v>
      </c>
    </row>
    <row r="1307" spans="4:22" ht="14.25" thickBot="1">
      <c r="D1307" s="2915">
        <v>1303</v>
      </c>
      <c r="E1307" s="2915"/>
      <c r="F1307" s="2914" t="s">
        <v>4414</v>
      </c>
      <c r="G1307" s="2915">
        <v>60.68</v>
      </c>
      <c r="H1307" s="2915">
        <f t="shared" si="21"/>
        <v>10.65</v>
      </c>
      <c r="Q1307" s="3004">
        <v>1303</v>
      </c>
      <c r="R1307" s="2999" t="s">
        <v>5906</v>
      </c>
      <c r="S1307" s="3000">
        <v>60.68</v>
      </c>
      <c r="T1307" s="3000">
        <v>1</v>
      </c>
      <c r="U1307" s="3000">
        <v>17260</v>
      </c>
      <c r="V1307" s="3000">
        <v>105</v>
      </c>
    </row>
    <row r="1308" spans="4:22" ht="14.25" thickBot="1">
      <c r="D1308" s="2915">
        <v>1304</v>
      </c>
      <c r="E1308" s="2915"/>
      <c r="F1308" s="2914" t="s">
        <v>4415</v>
      </c>
      <c r="G1308" s="2915">
        <v>60.69</v>
      </c>
      <c r="H1308" s="2915">
        <f t="shared" si="21"/>
        <v>10.66</v>
      </c>
      <c r="Q1308" s="3004">
        <v>1304</v>
      </c>
      <c r="R1308" s="2999" t="s">
        <v>5907</v>
      </c>
      <c r="S1308" s="3000">
        <v>60.69</v>
      </c>
      <c r="T1308" s="3000">
        <v>1</v>
      </c>
      <c r="U1308" s="3000">
        <v>17260</v>
      </c>
      <c r="V1308" s="3000">
        <v>105</v>
      </c>
    </row>
    <row r="1309" spans="4:22" ht="14.25" thickBot="1">
      <c r="D1309" s="2915">
        <v>1305</v>
      </c>
      <c r="E1309" s="2915"/>
      <c r="F1309" s="2914" t="s">
        <v>4416</v>
      </c>
      <c r="G1309" s="2915">
        <v>60.69</v>
      </c>
      <c r="H1309" s="2915">
        <f t="shared" si="21"/>
        <v>10.66</v>
      </c>
      <c r="Q1309" s="3004">
        <v>1305</v>
      </c>
      <c r="R1309" s="2999" t="s">
        <v>5908</v>
      </c>
      <c r="S1309" s="3000">
        <v>60.69</v>
      </c>
      <c r="T1309" s="3000">
        <v>1</v>
      </c>
      <c r="U1309" s="3000">
        <v>17260</v>
      </c>
      <c r="V1309" s="3000">
        <v>105</v>
      </c>
    </row>
    <row r="1310" spans="4:22" ht="14.25" thickBot="1">
      <c r="D1310" s="2915">
        <v>1306</v>
      </c>
      <c r="E1310" s="2915"/>
      <c r="F1310" s="2914" t="s">
        <v>4417</v>
      </c>
      <c r="G1310" s="2915">
        <v>60.69</v>
      </c>
      <c r="H1310" s="2915">
        <f t="shared" si="21"/>
        <v>10.66</v>
      </c>
      <c r="Q1310" s="3004">
        <v>1306</v>
      </c>
      <c r="R1310" s="2999" t="s">
        <v>5909</v>
      </c>
      <c r="S1310" s="3000">
        <v>60.69</v>
      </c>
      <c r="T1310" s="3000">
        <v>1</v>
      </c>
      <c r="U1310" s="3000">
        <v>17260</v>
      </c>
      <c r="V1310" s="3000">
        <v>105</v>
      </c>
    </row>
    <row r="1311" spans="4:22" ht="14.25" thickBot="1">
      <c r="D1311" s="2915">
        <v>1307</v>
      </c>
      <c r="E1311" s="2915"/>
      <c r="F1311" s="2914" t="s">
        <v>4418</v>
      </c>
      <c r="G1311" s="2915">
        <v>60.69</v>
      </c>
      <c r="H1311" s="2915">
        <f t="shared" si="21"/>
        <v>10.66</v>
      </c>
      <c r="Q1311" s="3004">
        <v>1307</v>
      </c>
      <c r="R1311" s="2999" t="s">
        <v>5910</v>
      </c>
      <c r="S1311" s="3000">
        <v>60.69</v>
      </c>
      <c r="T1311" s="3000">
        <v>1</v>
      </c>
      <c r="U1311" s="3000">
        <v>17260</v>
      </c>
      <c r="V1311" s="3000">
        <v>105</v>
      </c>
    </row>
    <row r="1312" spans="4:22" ht="14.25" thickBot="1">
      <c r="D1312" s="2915">
        <v>1308</v>
      </c>
      <c r="E1312" s="2915"/>
      <c r="F1312" s="2914" t="s">
        <v>4419</v>
      </c>
      <c r="G1312" s="2915">
        <v>60.69</v>
      </c>
      <c r="H1312" s="2915">
        <f t="shared" si="21"/>
        <v>10.66</v>
      </c>
      <c r="Q1312" s="3004">
        <v>1308</v>
      </c>
      <c r="R1312" s="2999" t="s">
        <v>5911</v>
      </c>
      <c r="S1312" s="3000">
        <v>60.69</v>
      </c>
      <c r="T1312" s="3000">
        <v>1</v>
      </c>
      <c r="U1312" s="3000">
        <v>17260</v>
      </c>
      <c r="V1312" s="3000">
        <v>105</v>
      </c>
    </row>
    <row r="1313" spans="4:22" ht="14.25" thickBot="1">
      <c r="D1313" s="2915">
        <v>1309</v>
      </c>
      <c r="E1313" s="2915"/>
      <c r="F1313" s="2914" t="s">
        <v>4420</v>
      </c>
      <c r="G1313" s="2915">
        <v>60.69</v>
      </c>
      <c r="H1313" s="2915">
        <f t="shared" si="21"/>
        <v>10.66</v>
      </c>
      <c r="Q1313" s="3004">
        <v>1309</v>
      </c>
      <c r="R1313" s="2999" t="s">
        <v>5912</v>
      </c>
      <c r="S1313" s="3000">
        <v>60.69</v>
      </c>
      <c r="T1313" s="3000">
        <v>1</v>
      </c>
      <c r="U1313" s="3000">
        <v>17260</v>
      </c>
      <c r="V1313" s="3000">
        <v>105</v>
      </c>
    </row>
    <row r="1314" spans="4:22" ht="14.25" thickBot="1">
      <c r="D1314" s="2915">
        <v>1310</v>
      </c>
      <c r="E1314" s="2915"/>
      <c r="F1314" s="2914" t="s">
        <v>4421</v>
      </c>
      <c r="G1314" s="2915">
        <v>60.69</v>
      </c>
      <c r="H1314" s="2915">
        <f t="shared" si="21"/>
        <v>10.66</v>
      </c>
      <c r="Q1314" s="3004">
        <v>1310</v>
      </c>
      <c r="R1314" s="2999" t="s">
        <v>5913</v>
      </c>
      <c r="S1314" s="3000">
        <v>60.69</v>
      </c>
      <c r="T1314" s="3000">
        <v>1</v>
      </c>
      <c r="U1314" s="3000">
        <v>17260</v>
      </c>
      <c r="V1314" s="3000">
        <v>105</v>
      </c>
    </row>
    <row r="1315" spans="4:22" ht="14.25" thickBot="1">
      <c r="D1315" s="2915">
        <v>1311</v>
      </c>
      <c r="E1315" s="2915"/>
      <c r="F1315" s="2914" t="s">
        <v>4422</v>
      </c>
      <c r="G1315" s="2915">
        <v>60.69</v>
      </c>
      <c r="H1315" s="2915">
        <f t="shared" si="21"/>
        <v>10.66</v>
      </c>
      <c r="Q1315" s="3004">
        <v>1311</v>
      </c>
      <c r="R1315" s="2999" t="s">
        <v>5914</v>
      </c>
      <c r="S1315" s="3000">
        <v>60.69</v>
      </c>
      <c r="T1315" s="3000">
        <v>1</v>
      </c>
      <c r="U1315" s="3000">
        <v>17260</v>
      </c>
      <c r="V1315" s="3000">
        <v>105</v>
      </c>
    </row>
    <row r="1316" spans="4:22" ht="14.25" thickBot="1">
      <c r="D1316" s="2915">
        <v>1312</v>
      </c>
      <c r="E1316" s="2915"/>
      <c r="F1316" s="2914" t="s">
        <v>4423</v>
      </c>
      <c r="G1316" s="2915">
        <v>104.53</v>
      </c>
      <c r="H1316" s="2915">
        <f t="shared" si="21"/>
        <v>18.350000000000001</v>
      </c>
      <c r="Q1316" s="3004">
        <v>1312</v>
      </c>
      <c r="R1316" s="2999" t="s">
        <v>5915</v>
      </c>
      <c r="S1316" s="3000">
        <v>104.53</v>
      </c>
      <c r="T1316" s="3000">
        <v>0.99</v>
      </c>
      <c r="U1316" s="3000">
        <v>17087</v>
      </c>
      <c r="V1316" s="3000">
        <v>179</v>
      </c>
    </row>
    <row r="1317" spans="4:22" ht="14.25" thickBot="1">
      <c r="D1317" s="2915">
        <v>1313</v>
      </c>
      <c r="E1317" s="2915"/>
      <c r="F1317" s="2914" t="s">
        <v>4424</v>
      </c>
      <c r="G1317" s="2915">
        <v>55.78</v>
      </c>
      <c r="H1317" s="2915">
        <f t="shared" si="21"/>
        <v>9.7899999999999991</v>
      </c>
      <c r="Q1317" s="3004">
        <v>1313</v>
      </c>
      <c r="R1317" s="2999" t="s">
        <v>5916</v>
      </c>
      <c r="S1317" s="3000">
        <v>55.78</v>
      </c>
      <c r="T1317" s="3000">
        <v>1</v>
      </c>
      <c r="U1317" s="3000">
        <v>17260</v>
      </c>
      <c r="V1317" s="3000">
        <v>96</v>
      </c>
    </row>
    <row r="1318" spans="4:22" ht="14.25" thickBot="1">
      <c r="D1318" s="2915">
        <v>1314</v>
      </c>
      <c r="E1318" s="2915"/>
      <c r="F1318" s="2914" t="s">
        <v>4425</v>
      </c>
      <c r="G1318" s="2915">
        <v>48.86</v>
      </c>
      <c r="H1318" s="2915">
        <f t="shared" si="21"/>
        <v>8.58</v>
      </c>
      <c r="Q1318" s="3004">
        <v>1314</v>
      </c>
      <c r="R1318" s="2999" t="s">
        <v>5917</v>
      </c>
      <c r="S1318" s="3000">
        <v>48.86</v>
      </c>
      <c r="T1318" s="3000">
        <v>1</v>
      </c>
      <c r="U1318" s="3000">
        <v>17260</v>
      </c>
      <c r="V1318" s="3000">
        <v>84</v>
      </c>
    </row>
    <row r="1319" spans="4:22" ht="14.25" thickBot="1">
      <c r="D1319" s="2915">
        <v>1315</v>
      </c>
      <c r="E1319" s="2915"/>
      <c r="F1319" s="2914" t="s">
        <v>4426</v>
      </c>
      <c r="G1319" s="2915">
        <v>48.86</v>
      </c>
      <c r="H1319" s="2915">
        <f t="shared" si="21"/>
        <v>8.58</v>
      </c>
      <c r="Q1319" s="3004">
        <v>1315</v>
      </c>
      <c r="R1319" s="2999" t="s">
        <v>5918</v>
      </c>
      <c r="S1319" s="3000">
        <v>48.86</v>
      </c>
      <c r="T1319" s="3000">
        <v>1</v>
      </c>
      <c r="U1319" s="3000">
        <v>17260</v>
      </c>
      <c r="V1319" s="3000">
        <v>84</v>
      </c>
    </row>
    <row r="1320" spans="4:22" ht="14.25" thickBot="1">
      <c r="D1320" s="2915">
        <v>1316</v>
      </c>
      <c r="E1320" s="2915"/>
      <c r="F1320" s="2914" t="s">
        <v>4427</v>
      </c>
      <c r="G1320" s="2915">
        <v>48.86</v>
      </c>
      <c r="H1320" s="2915">
        <f t="shared" si="21"/>
        <v>8.58</v>
      </c>
      <c r="Q1320" s="3004">
        <v>1316</v>
      </c>
      <c r="R1320" s="2999" t="s">
        <v>5919</v>
      </c>
      <c r="S1320" s="3000">
        <v>48.86</v>
      </c>
      <c r="T1320" s="3000">
        <v>1</v>
      </c>
      <c r="U1320" s="3000">
        <v>17260</v>
      </c>
      <c r="V1320" s="3000">
        <v>84</v>
      </c>
    </row>
    <row r="1321" spans="4:22" ht="14.25" thickBot="1">
      <c r="D1321" s="2915">
        <v>1317</v>
      </c>
      <c r="E1321" s="2915"/>
      <c r="F1321" s="2914" t="s">
        <v>4428</v>
      </c>
      <c r="G1321" s="2915">
        <v>54.5</v>
      </c>
      <c r="H1321" s="2915">
        <f t="shared" si="21"/>
        <v>9.57</v>
      </c>
      <c r="Q1321" s="3004">
        <v>1317</v>
      </c>
      <c r="R1321" s="2999" t="s">
        <v>5920</v>
      </c>
      <c r="S1321" s="3000">
        <v>54.5</v>
      </c>
      <c r="T1321" s="3000">
        <v>1</v>
      </c>
      <c r="U1321" s="3000">
        <v>17260</v>
      </c>
      <c r="V1321" s="3000">
        <v>94</v>
      </c>
    </row>
    <row r="1322" spans="4:22" ht="14.25" thickBot="1">
      <c r="D1322" s="2915">
        <v>1318</v>
      </c>
      <c r="E1322" s="2915"/>
      <c r="F1322" s="2914" t="s">
        <v>4429</v>
      </c>
      <c r="G1322" s="2915">
        <v>64.58</v>
      </c>
      <c r="H1322" s="2915">
        <f t="shared" si="21"/>
        <v>11.34</v>
      </c>
      <c r="Q1322" s="3004">
        <v>1318</v>
      </c>
      <c r="R1322" s="2999" t="s">
        <v>5921</v>
      </c>
      <c r="S1322" s="3000">
        <v>64.58</v>
      </c>
      <c r="T1322" s="3000">
        <v>1</v>
      </c>
      <c r="U1322" s="3000">
        <v>17260</v>
      </c>
      <c r="V1322" s="3000">
        <v>111</v>
      </c>
    </row>
    <row r="1323" spans="4:22" ht="14.25" thickBot="1">
      <c r="D1323" s="2915">
        <v>1319</v>
      </c>
      <c r="E1323" s="2915"/>
      <c r="F1323" s="2914" t="s">
        <v>4430</v>
      </c>
      <c r="G1323" s="2915">
        <v>45.32</v>
      </c>
      <c r="H1323" s="2915">
        <f t="shared" si="21"/>
        <v>7.96</v>
      </c>
      <c r="Q1323" s="3004">
        <v>1319</v>
      </c>
      <c r="R1323" s="2999" t="s">
        <v>5922</v>
      </c>
      <c r="S1323" s="3000">
        <v>45.32</v>
      </c>
      <c r="T1323" s="3000">
        <v>1</v>
      </c>
      <c r="U1323" s="3000">
        <v>17260</v>
      </c>
      <c r="V1323" s="3000">
        <v>78</v>
      </c>
    </row>
    <row r="1324" spans="4:22" ht="14.25" thickBot="1">
      <c r="D1324" s="2915">
        <v>1320</v>
      </c>
      <c r="E1324" s="2915"/>
      <c r="F1324" s="2914" t="s">
        <v>4431</v>
      </c>
      <c r="G1324" s="2915">
        <v>45.2</v>
      </c>
      <c r="H1324" s="2915">
        <f t="shared" si="21"/>
        <v>7.94</v>
      </c>
      <c r="Q1324" s="3004">
        <v>1320</v>
      </c>
      <c r="R1324" s="2999" t="s">
        <v>5923</v>
      </c>
      <c r="S1324" s="3000">
        <v>45.2</v>
      </c>
      <c r="T1324" s="3000">
        <v>1</v>
      </c>
      <c r="U1324" s="3000">
        <v>17260</v>
      </c>
      <c r="V1324" s="3000">
        <v>78</v>
      </c>
    </row>
    <row r="1325" spans="4:22" ht="14.25" thickBot="1">
      <c r="D1325" s="2915">
        <v>1321</v>
      </c>
      <c r="E1325" s="2915"/>
      <c r="F1325" s="2914" t="s">
        <v>4432</v>
      </c>
      <c r="G1325" s="2915">
        <v>45.32</v>
      </c>
      <c r="H1325" s="2915">
        <f t="shared" si="21"/>
        <v>7.96</v>
      </c>
      <c r="Q1325" s="3004">
        <v>1321</v>
      </c>
      <c r="R1325" s="2999" t="s">
        <v>5924</v>
      </c>
      <c r="S1325" s="3000">
        <v>45.32</v>
      </c>
      <c r="T1325" s="3000">
        <v>1</v>
      </c>
      <c r="U1325" s="3000">
        <v>17260</v>
      </c>
      <c r="V1325" s="3000">
        <v>78</v>
      </c>
    </row>
    <row r="1326" spans="4:22" ht="14.25" thickBot="1">
      <c r="D1326" s="2915">
        <v>1322</v>
      </c>
      <c r="E1326" s="2915"/>
      <c r="F1326" s="2914" t="s">
        <v>4433</v>
      </c>
      <c r="G1326" s="2915">
        <v>45.32</v>
      </c>
      <c r="H1326" s="2915">
        <f t="shared" si="21"/>
        <v>7.96</v>
      </c>
      <c r="Q1326" s="3004">
        <v>1322</v>
      </c>
      <c r="R1326" s="2999" t="s">
        <v>5925</v>
      </c>
      <c r="S1326" s="3000">
        <v>45.32</v>
      </c>
      <c r="T1326" s="3000">
        <v>1</v>
      </c>
      <c r="U1326" s="3000">
        <v>17260</v>
      </c>
      <c r="V1326" s="3000">
        <v>78</v>
      </c>
    </row>
    <row r="1327" spans="4:22" ht="14.25" thickBot="1">
      <c r="D1327" s="2915">
        <v>1323</v>
      </c>
      <c r="E1327" s="2915"/>
      <c r="F1327" s="2914" t="s">
        <v>4434</v>
      </c>
      <c r="G1327" s="2915">
        <v>48.86</v>
      </c>
      <c r="H1327" s="2915">
        <f t="shared" si="21"/>
        <v>8.58</v>
      </c>
      <c r="Q1327" s="3004">
        <v>1323</v>
      </c>
      <c r="R1327" s="2999" t="s">
        <v>5926</v>
      </c>
      <c r="S1327" s="3000">
        <v>48.86</v>
      </c>
      <c r="T1327" s="3000">
        <v>1</v>
      </c>
      <c r="U1327" s="3000">
        <v>17260</v>
      </c>
      <c r="V1327" s="3000">
        <v>84</v>
      </c>
    </row>
    <row r="1328" spans="4:22" ht="14.25" thickBot="1">
      <c r="D1328" s="2915">
        <v>1324</v>
      </c>
      <c r="E1328" s="2915"/>
      <c r="F1328" s="2914" t="s">
        <v>4435</v>
      </c>
      <c r="G1328" s="2915">
        <v>44.51</v>
      </c>
      <c r="H1328" s="2915">
        <f t="shared" si="21"/>
        <v>7.82</v>
      </c>
      <c r="Q1328" s="3004">
        <v>1324</v>
      </c>
      <c r="R1328" s="2999" t="s">
        <v>5927</v>
      </c>
      <c r="S1328" s="3000">
        <v>44.51</v>
      </c>
      <c r="T1328" s="3000">
        <v>1</v>
      </c>
      <c r="U1328" s="3000">
        <v>17260</v>
      </c>
      <c r="V1328" s="3000">
        <v>77</v>
      </c>
    </row>
    <row r="1329" spans="4:22" ht="14.25" thickBot="1">
      <c r="D1329" s="2915">
        <v>1325</v>
      </c>
      <c r="E1329" s="2915"/>
      <c r="F1329" s="2914" t="s">
        <v>4436</v>
      </c>
      <c r="G1329" s="2915">
        <v>54.67</v>
      </c>
      <c r="H1329" s="2915">
        <f t="shared" si="21"/>
        <v>9.6</v>
      </c>
      <c r="Q1329" s="3004">
        <v>1325</v>
      </c>
      <c r="R1329" s="2999" t="s">
        <v>5928</v>
      </c>
      <c r="S1329" s="3000">
        <v>54.67</v>
      </c>
      <c r="T1329" s="3000">
        <v>1</v>
      </c>
      <c r="U1329" s="3000">
        <v>17260</v>
      </c>
      <c r="V1329" s="3000">
        <v>94</v>
      </c>
    </row>
    <row r="1330" spans="4:22" ht="14.25" thickBot="1">
      <c r="D1330" s="2915">
        <v>1326</v>
      </c>
      <c r="E1330" s="2915"/>
      <c r="F1330" s="2914" t="s">
        <v>4437</v>
      </c>
      <c r="G1330" s="2915">
        <v>48.86</v>
      </c>
      <c r="H1330" s="2915">
        <f t="shared" si="21"/>
        <v>8.58</v>
      </c>
      <c r="Q1330" s="3004">
        <v>1326</v>
      </c>
      <c r="R1330" s="2999" t="s">
        <v>5929</v>
      </c>
      <c r="S1330" s="3000">
        <v>48.86</v>
      </c>
      <c r="T1330" s="3000">
        <v>1</v>
      </c>
      <c r="U1330" s="3000">
        <v>17260</v>
      </c>
      <c r="V1330" s="3000">
        <v>84</v>
      </c>
    </row>
    <row r="1331" spans="4:22" ht="14.25" thickBot="1">
      <c r="D1331" s="2915">
        <v>1327</v>
      </c>
      <c r="E1331" s="2915"/>
      <c r="F1331" s="2914" t="s">
        <v>4438</v>
      </c>
      <c r="G1331" s="2915">
        <v>48.86</v>
      </c>
      <c r="H1331" s="2915">
        <f t="shared" si="21"/>
        <v>8.58</v>
      </c>
      <c r="Q1331" s="3004">
        <v>1327</v>
      </c>
      <c r="R1331" s="2999" t="s">
        <v>5930</v>
      </c>
      <c r="S1331" s="3000">
        <v>48.86</v>
      </c>
      <c r="T1331" s="3000">
        <v>1</v>
      </c>
      <c r="U1331" s="3000">
        <v>17260</v>
      </c>
      <c r="V1331" s="3000">
        <v>84</v>
      </c>
    </row>
    <row r="1332" spans="4:22" ht="14.25" thickBot="1">
      <c r="D1332" s="2915">
        <v>1328</v>
      </c>
      <c r="E1332" s="2915"/>
      <c r="F1332" s="2914" t="s">
        <v>4439</v>
      </c>
      <c r="G1332" s="2915">
        <v>48.86</v>
      </c>
      <c r="H1332" s="2915">
        <f t="shared" si="21"/>
        <v>8.58</v>
      </c>
      <c r="Q1332" s="3004">
        <v>1328</v>
      </c>
      <c r="R1332" s="2999" t="s">
        <v>5931</v>
      </c>
      <c r="S1332" s="3000">
        <v>48.86</v>
      </c>
      <c r="T1332" s="3000">
        <v>1</v>
      </c>
      <c r="U1332" s="3000">
        <v>17260</v>
      </c>
      <c r="V1332" s="3000">
        <v>84</v>
      </c>
    </row>
    <row r="1333" spans="4:22" ht="14.25" thickBot="1">
      <c r="D1333" s="2915">
        <v>1329</v>
      </c>
      <c r="E1333" s="2915"/>
      <c r="F1333" s="2914" t="s">
        <v>4440</v>
      </c>
      <c r="G1333" s="2915">
        <v>54.87</v>
      </c>
      <c r="H1333" s="2915">
        <f t="shared" si="21"/>
        <v>9.6300000000000008</v>
      </c>
      <c r="Q1333" s="3004">
        <v>1329</v>
      </c>
      <c r="R1333" s="2999" t="s">
        <v>5932</v>
      </c>
      <c r="S1333" s="3000">
        <v>54.87</v>
      </c>
      <c r="T1333" s="3000">
        <v>1</v>
      </c>
      <c r="U1333" s="3000">
        <v>17260</v>
      </c>
      <c r="V1333" s="3000">
        <v>95</v>
      </c>
    </row>
    <row r="1334" spans="4:22" ht="14.25" thickBot="1">
      <c r="D1334" s="2915">
        <v>1330</v>
      </c>
      <c r="E1334" s="2915"/>
      <c r="F1334" s="2914" t="s">
        <v>4441</v>
      </c>
      <c r="G1334" s="2915">
        <v>88.13</v>
      </c>
      <c r="H1334" s="2915">
        <f t="shared" si="21"/>
        <v>15.47</v>
      </c>
      <c r="Q1334" s="3004">
        <v>1330</v>
      </c>
      <c r="R1334" s="2999" t="s">
        <v>5933</v>
      </c>
      <c r="S1334" s="3000">
        <v>88.13</v>
      </c>
      <c r="T1334" s="3000">
        <v>1</v>
      </c>
      <c r="U1334" s="3000">
        <v>17260</v>
      </c>
      <c r="V1334" s="3000">
        <v>152</v>
      </c>
    </row>
    <row r="1335" spans="4:22" ht="14.25" thickBot="1">
      <c r="D1335" s="2915">
        <v>1331</v>
      </c>
      <c r="E1335" s="2915"/>
      <c r="F1335" s="2914" t="s">
        <v>4442</v>
      </c>
      <c r="G1335" s="2915">
        <v>186.33</v>
      </c>
      <c r="H1335" s="2915">
        <f t="shared" si="21"/>
        <v>32.72</v>
      </c>
      <c r="Q1335" s="3004">
        <v>1331</v>
      </c>
      <c r="R1335" s="2999" t="s">
        <v>5934</v>
      </c>
      <c r="S1335" s="3000">
        <v>186.33</v>
      </c>
      <c r="T1335" s="3000">
        <v>0.99</v>
      </c>
      <c r="U1335" s="3000">
        <v>17087</v>
      </c>
      <c r="V1335" s="3000">
        <v>318</v>
      </c>
    </row>
    <row r="1336" spans="4:22" ht="14.25" thickBot="1">
      <c r="D1336" s="2915">
        <v>1332</v>
      </c>
      <c r="E1336" s="2915"/>
      <c r="F1336" s="2914" t="s">
        <v>4443</v>
      </c>
      <c r="G1336" s="2915">
        <v>188.39</v>
      </c>
      <c r="H1336" s="2915">
        <f t="shared" si="21"/>
        <v>33.08</v>
      </c>
      <c r="Q1336" s="3004">
        <v>1332</v>
      </c>
      <c r="R1336" s="2999" t="s">
        <v>5935</v>
      </c>
      <c r="S1336" s="3000">
        <v>188.39</v>
      </c>
      <c r="T1336" s="3000">
        <v>0.99</v>
      </c>
      <c r="U1336" s="3000">
        <v>17087</v>
      </c>
      <c r="V1336" s="3000">
        <v>322</v>
      </c>
    </row>
    <row r="1337" spans="4:22" ht="14.25" thickBot="1">
      <c r="D1337" s="2915">
        <v>1333</v>
      </c>
      <c r="E1337" s="2915"/>
      <c r="F1337" s="2914" t="s">
        <v>4444</v>
      </c>
      <c r="G1337" s="2915">
        <v>188.39</v>
      </c>
      <c r="H1337" s="2915">
        <f t="shared" si="21"/>
        <v>33.08</v>
      </c>
      <c r="Q1337" s="3004">
        <v>1333</v>
      </c>
      <c r="R1337" s="2999" t="s">
        <v>5936</v>
      </c>
      <c r="S1337" s="3000">
        <v>188.39</v>
      </c>
      <c r="T1337" s="3000">
        <v>0.99</v>
      </c>
      <c r="U1337" s="3000">
        <v>17087</v>
      </c>
      <c r="V1337" s="3000">
        <v>322</v>
      </c>
    </row>
    <row r="1338" spans="4:22" ht="14.25" thickBot="1">
      <c r="D1338" s="2915">
        <v>1334</v>
      </c>
      <c r="E1338" s="2915"/>
      <c r="F1338" s="2914" t="s">
        <v>4445</v>
      </c>
      <c r="G1338" s="2915">
        <v>188.39</v>
      </c>
      <c r="H1338" s="2915">
        <f t="shared" si="21"/>
        <v>33.08</v>
      </c>
      <c r="Q1338" s="3004">
        <v>1334</v>
      </c>
      <c r="R1338" s="2999" t="s">
        <v>5937</v>
      </c>
      <c r="S1338" s="3000">
        <v>188.39</v>
      </c>
      <c r="T1338" s="3000">
        <v>0.99</v>
      </c>
      <c r="U1338" s="3000">
        <v>17087</v>
      </c>
      <c r="V1338" s="3000">
        <v>322</v>
      </c>
    </row>
    <row r="1339" spans="4:22" ht="14.25" thickBot="1">
      <c r="D1339" s="2915">
        <v>1335</v>
      </c>
      <c r="E1339" s="2915"/>
      <c r="F1339" s="2914" t="s">
        <v>4446</v>
      </c>
      <c r="G1339" s="2915">
        <v>188.39</v>
      </c>
      <c r="H1339" s="2915">
        <f t="shared" si="21"/>
        <v>33.08</v>
      </c>
      <c r="Q1339" s="3004">
        <v>1335</v>
      </c>
      <c r="R1339" s="2999" t="s">
        <v>5938</v>
      </c>
      <c r="S1339" s="3000">
        <v>188.39</v>
      </c>
      <c r="T1339" s="3000">
        <v>0.99</v>
      </c>
      <c r="U1339" s="3000">
        <v>17087</v>
      </c>
      <c r="V1339" s="3000">
        <v>322</v>
      </c>
    </row>
    <row r="1340" spans="4:22" ht="14.25" thickBot="1">
      <c r="D1340" s="2915">
        <v>1336</v>
      </c>
      <c r="E1340" s="2915"/>
      <c r="F1340" s="2914" t="s">
        <v>4447</v>
      </c>
      <c r="G1340" s="2915">
        <v>188.39</v>
      </c>
      <c r="H1340" s="2915">
        <f t="shared" si="21"/>
        <v>33.08</v>
      </c>
      <c r="Q1340" s="3004">
        <v>1336</v>
      </c>
      <c r="R1340" s="2999" t="s">
        <v>5939</v>
      </c>
      <c r="S1340" s="3000">
        <v>188.39</v>
      </c>
      <c r="T1340" s="3000">
        <v>0.99</v>
      </c>
      <c r="U1340" s="3000">
        <v>17087</v>
      </c>
      <c r="V1340" s="3000">
        <v>322</v>
      </c>
    </row>
    <row r="1341" spans="4:22" ht="14.25" thickBot="1">
      <c r="D1341" s="2915">
        <v>1337</v>
      </c>
      <c r="E1341" s="2915"/>
      <c r="F1341" s="2914" t="s">
        <v>4448</v>
      </c>
      <c r="G1341" s="2915">
        <v>187.53</v>
      </c>
      <c r="H1341" s="2915">
        <f t="shared" si="21"/>
        <v>32.93</v>
      </c>
      <c r="Q1341" s="3004">
        <v>1337</v>
      </c>
      <c r="R1341" s="2999" t="s">
        <v>5940</v>
      </c>
      <c r="S1341" s="3000">
        <v>187.53</v>
      </c>
      <c r="T1341" s="3000">
        <v>0.99</v>
      </c>
      <c r="U1341" s="3000">
        <v>17087</v>
      </c>
      <c r="V1341" s="3000">
        <v>320</v>
      </c>
    </row>
    <row r="1342" spans="4:22" ht="14.25" thickBot="1">
      <c r="D1342" s="2915">
        <v>1338</v>
      </c>
      <c r="E1342" s="2915"/>
      <c r="F1342" s="2914" t="s">
        <v>4449</v>
      </c>
      <c r="G1342" s="2915">
        <v>210.19</v>
      </c>
      <c r="H1342" s="2915">
        <f t="shared" si="21"/>
        <v>36.909999999999997</v>
      </c>
      <c r="Q1342" s="3004">
        <v>1338</v>
      </c>
      <c r="R1342" s="2999" t="s">
        <v>5941</v>
      </c>
      <c r="S1342" s="3000">
        <v>210.19</v>
      </c>
      <c r="T1342" s="3000">
        <v>0.98</v>
      </c>
      <c r="U1342" s="3000">
        <v>16915</v>
      </c>
      <c r="V1342" s="3000">
        <v>356</v>
      </c>
    </row>
    <row r="1343" spans="4:22" ht="14.25" thickBot="1">
      <c r="D1343" s="2915">
        <v>1339</v>
      </c>
      <c r="E1343" s="2915"/>
      <c r="F1343" s="2914" t="s">
        <v>4450</v>
      </c>
      <c r="G1343" s="2915">
        <v>169.2</v>
      </c>
      <c r="H1343" s="2915">
        <f t="shared" si="21"/>
        <v>29.71</v>
      </c>
      <c r="Q1343" s="3004">
        <v>1339</v>
      </c>
      <c r="R1343" s="2999" t="s">
        <v>5942</v>
      </c>
      <c r="S1343" s="3000">
        <v>169.2</v>
      </c>
      <c r="T1343" s="3000">
        <v>0.99</v>
      </c>
      <c r="U1343" s="3000">
        <v>17087</v>
      </c>
      <c r="V1343" s="3000">
        <v>289</v>
      </c>
    </row>
    <row r="1344" spans="4:22" ht="14.25" thickBot="1">
      <c r="D1344" s="2915">
        <v>1340</v>
      </c>
      <c r="E1344" s="2915"/>
      <c r="F1344" s="2914" t="s">
        <v>4451</v>
      </c>
      <c r="G1344" s="2915">
        <v>178.35</v>
      </c>
      <c r="H1344" s="2915">
        <f t="shared" si="21"/>
        <v>31.32</v>
      </c>
      <c r="Q1344" s="3004">
        <v>1340</v>
      </c>
      <c r="R1344" s="2999" t="s">
        <v>5943</v>
      </c>
      <c r="S1344" s="3000">
        <v>178.35</v>
      </c>
      <c r="T1344" s="3000">
        <v>0.99</v>
      </c>
      <c r="U1344" s="3000">
        <v>17087</v>
      </c>
      <c r="V1344" s="3000">
        <v>305</v>
      </c>
    </row>
    <row r="1345" spans="4:22" ht="14.25" thickBot="1">
      <c r="D1345" s="2915">
        <v>1341</v>
      </c>
      <c r="E1345" s="2915"/>
      <c r="F1345" s="2914" t="s">
        <v>4452</v>
      </c>
      <c r="G1345" s="2915">
        <v>208.92</v>
      </c>
      <c r="H1345" s="2915">
        <f t="shared" si="21"/>
        <v>36.68</v>
      </c>
      <c r="Q1345" s="3004">
        <v>1341</v>
      </c>
      <c r="R1345" s="2999" t="s">
        <v>5944</v>
      </c>
      <c r="S1345" s="3000">
        <v>208.92</v>
      </c>
      <c r="T1345" s="3000">
        <v>0.98</v>
      </c>
      <c r="U1345" s="3000">
        <v>16915</v>
      </c>
      <c r="V1345" s="3000">
        <v>353</v>
      </c>
    </row>
    <row r="1346" spans="4:22" ht="14.25" thickBot="1">
      <c r="D1346" s="2915">
        <v>1342</v>
      </c>
      <c r="E1346" s="2915"/>
      <c r="F1346" s="2914" t="s">
        <v>4453</v>
      </c>
      <c r="G1346" s="2915">
        <v>188.35</v>
      </c>
      <c r="H1346" s="2915">
        <f t="shared" si="21"/>
        <v>33.07</v>
      </c>
      <c r="Q1346" s="3004">
        <v>1342</v>
      </c>
      <c r="R1346" s="2999" t="s">
        <v>5945</v>
      </c>
      <c r="S1346" s="3000">
        <v>188.35</v>
      </c>
      <c r="T1346" s="3000">
        <v>0.99</v>
      </c>
      <c r="U1346" s="3000">
        <v>17087</v>
      </c>
      <c r="V1346" s="3000">
        <v>322</v>
      </c>
    </row>
    <row r="1347" spans="4:22" ht="14.25" thickBot="1">
      <c r="D1347" s="2915">
        <v>1343</v>
      </c>
      <c r="E1347" s="2915"/>
      <c r="F1347" s="2914" t="s">
        <v>4454</v>
      </c>
      <c r="G1347" s="2915">
        <v>188.39</v>
      </c>
      <c r="H1347" s="2915">
        <f t="shared" si="21"/>
        <v>33.08</v>
      </c>
      <c r="Q1347" s="3004">
        <v>1343</v>
      </c>
      <c r="R1347" s="2999" t="s">
        <v>5946</v>
      </c>
      <c r="S1347" s="3000">
        <v>188.39</v>
      </c>
      <c r="T1347" s="3000">
        <v>0.99</v>
      </c>
      <c r="U1347" s="3000">
        <v>17087</v>
      </c>
      <c r="V1347" s="3000">
        <v>322</v>
      </c>
    </row>
    <row r="1348" spans="4:22" ht="14.25" thickBot="1">
      <c r="D1348" s="2915">
        <v>1344</v>
      </c>
      <c r="E1348" s="2915"/>
      <c r="F1348" s="2914" t="s">
        <v>4455</v>
      </c>
      <c r="G1348" s="2915">
        <v>188.39</v>
      </c>
      <c r="H1348" s="2915">
        <f t="shared" si="21"/>
        <v>33.08</v>
      </c>
      <c r="Q1348" s="3004">
        <v>1344</v>
      </c>
      <c r="R1348" s="2999" t="s">
        <v>5947</v>
      </c>
      <c r="S1348" s="3000">
        <v>188.39</v>
      </c>
      <c r="T1348" s="3000">
        <v>0.99</v>
      </c>
      <c r="U1348" s="3000">
        <v>17087</v>
      </c>
      <c r="V1348" s="3000">
        <v>322</v>
      </c>
    </row>
    <row r="1349" spans="4:22" ht="14.25" thickBot="1">
      <c r="D1349" s="2915">
        <v>1345</v>
      </c>
      <c r="E1349" s="2915"/>
      <c r="F1349" s="2914" t="s">
        <v>4456</v>
      </c>
      <c r="G1349" s="2915">
        <v>188.39</v>
      </c>
      <c r="H1349" s="2915">
        <f t="shared" si="21"/>
        <v>33.08</v>
      </c>
      <c r="Q1349" s="3004">
        <v>1345</v>
      </c>
      <c r="R1349" s="2999" t="s">
        <v>5948</v>
      </c>
      <c r="S1349" s="3000">
        <v>188.39</v>
      </c>
      <c r="T1349" s="3000">
        <v>0.99</v>
      </c>
      <c r="U1349" s="3000">
        <v>17087</v>
      </c>
      <c r="V1349" s="3000">
        <v>322</v>
      </c>
    </row>
    <row r="1350" spans="4:22" ht="14.25" thickBot="1">
      <c r="D1350" s="2915">
        <v>1346</v>
      </c>
      <c r="E1350" s="2915"/>
      <c r="F1350" s="2914" t="s">
        <v>4457</v>
      </c>
      <c r="G1350" s="2915">
        <v>188.39</v>
      </c>
      <c r="H1350" s="2915">
        <f t="shared" ref="H1350:H1413" si="22">ROUND(G1350/$N$7*$M$7,2)</f>
        <v>33.08</v>
      </c>
      <c r="Q1350" s="3004">
        <v>1346</v>
      </c>
      <c r="R1350" s="2999" t="s">
        <v>5949</v>
      </c>
      <c r="S1350" s="3000">
        <v>188.39</v>
      </c>
      <c r="T1350" s="3000">
        <v>0.99</v>
      </c>
      <c r="U1350" s="3000">
        <v>17087</v>
      </c>
      <c r="V1350" s="3000">
        <v>322</v>
      </c>
    </row>
    <row r="1351" spans="4:22" ht="14.25" thickBot="1">
      <c r="D1351" s="2915">
        <v>1347</v>
      </c>
      <c r="E1351" s="2915"/>
      <c r="F1351" s="2914" t="s">
        <v>4458</v>
      </c>
      <c r="G1351" s="2915">
        <v>188.39</v>
      </c>
      <c r="H1351" s="2915">
        <f t="shared" si="22"/>
        <v>33.08</v>
      </c>
      <c r="Q1351" s="3004">
        <v>1347</v>
      </c>
      <c r="R1351" s="2999" t="s">
        <v>5950</v>
      </c>
      <c r="S1351" s="3000">
        <v>188.39</v>
      </c>
      <c r="T1351" s="3000">
        <v>0.99</v>
      </c>
      <c r="U1351" s="3000">
        <v>17087</v>
      </c>
      <c r="V1351" s="3000">
        <v>322</v>
      </c>
    </row>
    <row r="1352" spans="4:22" ht="14.25" thickBot="1">
      <c r="D1352" s="2915">
        <v>1348</v>
      </c>
      <c r="E1352" s="2915"/>
      <c r="F1352" s="2914" t="s">
        <v>4459</v>
      </c>
      <c r="G1352" s="2915">
        <v>279.91000000000003</v>
      </c>
      <c r="H1352" s="2915">
        <f t="shared" si="22"/>
        <v>49.15</v>
      </c>
      <c r="Q1352" s="3004">
        <v>1348</v>
      </c>
      <c r="R1352" s="2999" t="s">
        <v>5951</v>
      </c>
      <c r="S1352" s="3000">
        <v>279.91000000000003</v>
      </c>
      <c r="T1352" s="3000">
        <v>0.98</v>
      </c>
      <c r="U1352" s="3000">
        <v>16915</v>
      </c>
      <c r="V1352" s="3000">
        <v>473</v>
      </c>
    </row>
    <row r="1353" spans="4:22" ht="14.25" thickBot="1">
      <c r="D1353" s="2915">
        <v>1349</v>
      </c>
      <c r="E1353" s="2915"/>
      <c r="F1353" s="2914" t="s">
        <v>4460</v>
      </c>
      <c r="G1353" s="2915">
        <v>175.75</v>
      </c>
      <c r="H1353" s="2915">
        <f t="shared" si="22"/>
        <v>30.86</v>
      </c>
      <c r="Q1353" s="3004">
        <v>1349</v>
      </c>
      <c r="R1353" s="2999" t="s">
        <v>5952</v>
      </c>
      <c r="S1353" s="3000">
        <v>175.75</v>
      </c>
      <c r="T1353" s="3000">
        <v>0.99</v>
      </c>
      <c r="U1353" s="3000">
        <v>17087</v>
      </c>
      <c r="V1353" s="3000">
        <v>300</v>
      </c>
    </row>
    <row r="1354" spans="4:22" ht="14.25" thickBot="1">
      <c r="D1354" s="2915">
        <v>1350</v>
      </c>
      <c r="E1354" s="2915"/>
      <c r="F1354" s="2914" t="s">
        <v>4461</v>
      </c>
      <c r="G1354" s="2915">
        <v>188.32</v>
      </c>
      <c r="H1354" s="2915">
        <f t="shared" si="22"/>
        <v>33.07</v>
      </c>
      <c r="Q1354" s="3004">
        <v>1350</v>
      </c>
      <c r="R1354" s="2999" t="s">
        <v>5953</v>
      </c>
      <c r="S1354" s="3000">
        <v>188.32</v>
      </c>
      <c r="T1354" s="3000">
        <v>0.99</v>
      </c>
      <c r="U1354" s="3000">
        <v>17087</v>
      </c>
      <c r="V1354" s="3000">
        <v>322</v>
      </c>
    </row>
    <row r="1355" spans="4:22" ht="14.25" thickBot="1">
      <c r="D1355" s="2915">
        <v>1351</v>
      </c>
      <c r="E1355" s="2915"/>
      <c r="F1355" s="2914" t="s">
        <v>4462</v>
      </c>
      <c r="G1355" s="2915">
        <v>210.22</v>
      </c>
      <c r="H1355" s="2915">
        <f t="shared" si="22"/>
        <v>36.909999999999997</v>
      </c>
      <c r="Q1355" s="3004">
        <v>1351</v>
      </c>
      <c r="R1355" s="2999" t="s">
        <v>5954</v>
      </c>
      <c r="S1355" s="3000">
        <v>210.22</v>
      </c>
      <c r="T1355" s="3000">
        <v>0.98</v>
      </c>
      <c r="U1355" s="3000">
        <v>16915</v>
      </c>
      <c r="V1355" s="3000">
        <v>356</v>
      </c>
    </row>
    <row r="1356" spans="4:22" ht="14.25" thickBot="1">
      <c r="D1356" s="2915">
        <v>1352</v>
      </c>
      <c r="E1356" s="2915"/>
      <c r="F1356" s="2914" t="s">
        <v>4463</v>
      </c>
      <c r="G1356" s="2915">
        <v>187.56</v>
      </c>
      <c r="H1356" s="2915">
        <f t="shared" si="22"/>
        <v>32.93</v>
      </c>
      <c r="Q1356" s="3004">
        <v>1352</v>
      </c>
      <c r="R1356" s="2999" t="s">
        <v>5955</v>
      </c>
      <c r="S1356" s="3000">
        <v>187.56</v>
      </c>
      <c r="T1356" s="3000">
        <v>0.99</v>
      </c>
      <c r="U1356" s="3000">
        <v>17087</v>
      </c>
      <c r="V1356" s="3000">
        <v>320</v>
      </c>
    </row>
    <row r="1357" spans="4:22" ht="14.25" thickBot="1">
      <c r="D1357" s="2915">
        <v>1353</v>
      </c>
      <c r="E1357" s="2915"/>
      <c r="F1357" s="2914" t="s">
        <v>4464</v>
      </c>
      <c r="G1357" s="2915">
        <v>188.42</v>
      </c>
      <c r="H1357" s="2915">
        <f t="shared" si="22"/>
        <v>33.08</v>
      </c>
      <c r="Q1357" s="3004">
        <v>1353</v>
      </c>
      <c r="R1357" s="2999" t="s">
        <v>5956</v>
      </c>
      <c r="S1357" s="3000">
        <v>188.42</v>
      </c>
      <c r="T1357" s="3000">
        <v>0.99</v>
      </c>
      <c r="U1357" s="3000">
        <v>17087</v>
      </c>
      <c r="V1357" s="3000">
        <v>322</v>
      </c>
    </row>
    <row r="1358" spans="4:22" ht="14.25" thickBot="1">
      <c r="D1358" s="2915">
        <v>1354</v>
      </c>
      <c r="E1358" s="2915"/>
      <c r="F1358" s="2914" t="s">
        <v>4465</v>
      </c>
      <c r="G1358" s="2915">
        <v>188.42</v>
      </c>
      <c r="H1358" s="2915">
        <f t="shared" si="22"/>
        <v>33.08</v>
      </c>
      <c r="Q1358" s="3004">
        <v>1354</v>
      </c>
      <c r="R1358" s="2999" t="s">
        <v>5957</v>
      </c>
      <c r="S1358" s="3000">
        <v>188.42</v>
      </c>
      <c r="T1358" s="3000">
        <v>0.99</v>
      </c>
      <c r="U1358" s="3000">
        <v>17087</v>
      </c>
      <c r="V1358" s="3000">
        <v>322</v>
      </c>
    </row>
    <row r="1359" spans="4:22" ht="14.25" thickBot="1">
      <c r="D1359" s="2915">
        <v>1355</v>
      </c>
      <c r="E1359" s="2915"/>
      <c r="F1359" s="2914" t="s">
        <v>4466</v>
      </c>
      <c r="G1359" s="2915">
        <v>188.42</v>
      </c>
      <c r="H1359" s="2915">
        <f t="shared" si="22"/>
        <v>33.08</v>
      </c>
      <c r="Q1359" s="3004">
        <v>1355</v>
      </c>
      <c r="R1359" s="2999" t="s">
        <v>5958</v>
      </c>
      <c r="S1359" s="3000">
        <v>188.42</v>
      </c>
      <c r="T1359" s="3000">
        <v>0.99</v>
      </c>
      <c r="U1359" s="3000">
        <v>17087</v>
      </c>
      <c r="V1359" s="3000">
        <v>322</v>
      </c>
    </row>
    <row r="1360" spans="4:22" ht="14.25" thickBot="1">
      <c r="D1360" s="2915">
        <v>1356</v>
      </c>
      <c r="E1360" s="2915"/>
      <c r="F1360" s="2914" t="s">
        <v>4467</v>
      </c>
      <c r="G1360" s="2915">
        <v>188.42</v>
      </c>
      <c r="H1360" s="2915">
        <f t="shared" si="22"/>
        <v>33.08</v>
      </c>
      <c r="Q1360" s="3004">
        <v>1356</v>
      </c>
      <c r="R1360" s="2999" t="s">
        <v>5959</v>
      </c>
      <c r="S1360" s="3000">
        <v>188.42</v>
      </c>
      <c r="T1360" s="3000">
        <v>0.99</v>
      </c>
      <c r="U1360" s="3000">
        <v>17087</v>
      </c>
      <c r="V1360" s="3000">
        <v>322</v>
      </c>
    </row>
    <row r="1361" spans="4:22" ht="14.25" thickBot="1">
      <c r="D1361" s="2915">
        <v>1357</v>
      </c>
      <c r="E1361" s="2915"/>
      <c r="F1361" s="2914" t="s">
        <v>4468</v>
      </c>
      <c r="G1361" s="2915">
        <v>188.42</v>
      </c>
      <c r="H1361" s="2915">
        <f t="shared" si="22"/>
        <v>33.08</v>
      </c>
      <c r="Q1361" s="3004">
        <v>1357</v>
      </c>
      <c r="R1361" s="2999" t="s">
        <v>5960</v>
      </c>
      <c r="S1361" s="3000">
        <v>188.42</v>
      </c>
      <c r="T1361" s="3000">
        <v>0.99</v>
      </c>
      <c r="U1361" s="3000">
        <v>17087</v>
      </c>
      <c r="V1361" s="3000">
        <v>322</v>
      </c>
    </row>
    <row r="1362" spans="4:22" ht="14.25" thickBot="1">
      <c r="D1362" s="2915">
        <v>1358</v>
      </c>
      <c r="E1362" s="2915"/>
      <c r="F1362" s="2914" t="s">
        <v>4469</v>
      </c>
      <c r="G1362" s="2915">
        <v>186.36</v>
      </c>
      <c r="H1362" s="2915">
        <f t="shared" si="22"/>
        <v>32.72</v>
      </c>
      <c r="Q1362" s="3004">
        <v>1358</v>
      </c>
      <c r="R1362" s="2999" t="s">
        <v>5961</v>
      </c>
      <c r="S1362" s="3000">
        <v>186.36</v>
      </c>
      <c r="T1362" s="3000">
        <v>0.99</v>
      </c>
      <c r="U1362" s="3000">
        <v>17087</v>
      </c>
      <c r="V1362" s="3000">
        <v>318</v>
      </c>
    </row>
    <row r="1363" spans="4:22" ht="14.25" thickBot="1">
      <c r="D1363" s="2915">
        <v>1359</v>
      </c>
      <c r="E1363" s="2915"/>
      <c r="F1363" s="2914" t="s">
        <v>4470</v>
      </c>
      <c r="G1363" s="2915">
        <v>188.36</v>
      </c>
      <c r="H1363" s="2915">
        <f t="shared" si="22"/>
        <v>33.07</v>
      </c>
      <c r="Q1363" s="3004">
        <v>1359</v>
      </c>
      <c r="R1363" s="2999" t="s">
        <v>5962</v>
      </c>
      <c r="S1363" s="3000">
        <v>188.36</v>
      </c>
      <c r="T1363" s="3000">
        <v>0.99</v>
      </c>
      <c r="U1363" s="3000">
        <v>17087</v>
      </c>
      <c r="V1363" s="3000">
        <v>322</v>
      </c>
    </row>
    <row r="1364" spans="4:22" ht="14.25" thickBot="1">
      <c r="D1364" s="2915">
        <v>1360</v>
      </c>
      <c r="E1364" s="2915"/>
      <c r="F1364" s="2914" t="s">
        <v>4471</v>
      </c>
      <c r="G1364" s="2915">
        <v>175.78</v>
      </c>
      <c r="H1364" s="2915">
        <f t="shared" si="22"/>
        <v>30.87</v>
      </c>
      <c r="Q1364" s="3004">
        <v>1360</v>
      </c>
      <c r="R1364" s="2999" t="s">
        <v>5963</v>
      </c>
      <c r="S1364" s="3000">
        <v>175.78</v>
      </c>
      <c r="T1364" s="3000">
        <v>0.99</v>
      </c>
      <c r="U1364" s="3000">
        <v>17087</v>
      </c>
      <c r="V1364" s="3000">
        <v>300</v>
      </c>
    </row>
    <row r="1365" spans="4:22" ht="14.25" thickBot="1">
      <c r="D1365" s="2915">
        <v>1361</v>
      </c>
      <c r="E1365" s="2915"/>
      <c r="F1365" s="2914" t="s">
        <v>4472</v>
      </c>
      <c r="G1365" s="2915">
        <v>279.95999999999998</v>
      </c>
      <c r="H1365" s="2915">
        <f t="shared" si="22"/>
        <v>49.16</v>
      </c>
      <c r="Q1365" s="3004">
        <v>1361</v>
      </c>
      <c r="R1365" s="2999" t="s">
        <v>5964</v>
      </c>
      <c r="S1365" s="3000">
        <v>279.95999999999998</v>
      </c>
      <c r="T1365" s="3000">
        <v>0.98</v>
      </c>
      <c r="U1365" s="3000">
        <v>16915</v>
      </c>
      <c r="V1365" s="3000">
        <v>474</v>
      </c>
    </row>
    <row r="1366" spans="4:22" ht="14.25" thickBot="1">
      <c r="D1366" s="2915">
        <v>1362</v>
      </c>
      <c r="E1366" s="2915"/>
      <c r="F1366" s="2914" t="s">
        <v>4473</v>
      </c>
      <c r="G1366" s="2915">
        <v>188.43</v>
      </c>
      <c r="H1366" s="2915">
        <f t="shared" si="22"/>
        <v>33.090000000000003</v>
      </c>
      <c r="Q1366" s="3004">
        <v>1362</v>
      </c>
      <c r="R1366" s="2999" t="s">
        <v>5965</v>
      </c>
      <c r="S1366" s="3000">
        <v>188.43</v>
      </c>
      <c r="T1366" s="3000">
        <v>0.99</v>
      </c>
      <c r="U1366" s="3000">
        <v>17087</v>
      </c>
      <c r="V1366" s="3000">
        <v>322</v>
      </c>
    </row>
    <row r="1367" spans="4:22" ht="14.25" thickBot="1">
      <c r="D1367" s="2915">
        <v>1363</v>
      </c>
      <c r="E1367" s="2915"/>
      <c r="F1367" s="2914" t="s">
        <v>4474</v>
      </c>
      <c r="G1367" s="2915">
        <v>188.43</v>
      </c>
      <c r="H1367" s="2915">
        <f t="shared" si="22"/>
        <v>33.090000000000003</v>
      </c>
      <c r="Q1367" s="3004">
        <v>1363</v>
      </c>
      <c r="R1367" s="2999" t="s">
        <v>5966</v>
      </c>
      <c r="S1367" s="3000">
        <v>188.43</v>
      </c>
      <c r="T1367" s="3000">
        <v>0.99</v>
      </c>
      <c r="U1367" s="3000">
        <v>17087</v>
      </c>
      <c r="V1367" s="3000">
        <v>322</v>
      </c>
    </row>
    <row r="1368" spans="4:22" ht="14.25" thickBot="1">
      <c r="D1368" s="2915">
        <v>1364</v>
      </c>
      <c r="E1368" s="2915"/>
      <c r="F1368" s="2914" t="s">
        <v>4475</v>
      </c>
      <c r="G1368" s="2915">
        <v>188.43</v>
      </c>
      <c r="H1368" s="2915">
        <f t="shared" si="22"/>
        <v>33.090000000000003</v>
      </c>
      <c r="Q1368" s="3004">
        <v>1364</v>
      </c>
      <c r="R1368" s="2999" t="s">
        <v>5967</v>
      </c>
      <c r="S1368" s="3000">
        <v>188.43</v>
      </c>
      <c r="T1368" s="3000">
        <v>0.99</v>
      </c>
      <c r="U1368" s="3000">
        <v>17087</v>
      </c>
      <c r="V1368" s="3000">
        <v>322</v>
      </c>
    </row>
    <row r="1369" spans="4:22" ht="14.25" thickBot="1">
      <c r="D1369" s="2915">
        <v>1365</v>
      </c>
      <c r="E1369" s="2915"/>
      <c r="F1369" s="2914" t="s">
        <v>4476</v>
      </c>
      <c r="G1369" s="2915">
        <v>188.43</v>
      </c>
      <c r="H1369" s="2915">
        <f t="shared" si="22"/>
        <v>33.090000000000003</v>
      </c>
      <c r="Q1369" s="3004">
        <v>1365</v>
      </c>
      <c r="R1369" s="2999" t="s">
        <v>5968</v>
      </c>
      <c r="S1369" s="3000">
        <v>188.43</v>
      </c>
      <c r="T1369" s="3000">
        <v>0.99</v>
      </c>
      <c r="U1369" s="3000">
        <v>17087</v>
      </c>
      <c r="V1369" s="3000">
        <v>322</v>
      </c>
    </row>
    <row r="1370" spans="4:22" ht="14.25" thickBot="1">
      <c r="D1370" s="2915">
        <v>1366</v>
      </c>
      <c r="E1370" s="2915"/>
      <c r="F1370" s="2914" t="s">
        <v>4477</v>
      </c>
      <c r="G1370" s="2915">
        <v>188.43</v>
      </c>
      <c r="H1370" s="2915">
        <f t="shared" si="22"/>
        <v>33.090000000000003</v>
      </c>
      <c r="Q1370" s="3004">
        <v>1366</v>
      </c>
      <c r="R1370" s="2999" t="s">
        <v>5969</v>
      </c>
      <c r="S1370" s="3000">
        <v>188.43</v>
      </c>
      <c r="T1370" s="3000">
        <v>0.99</v>
      </c>
      <c r="U1370" s="3000">
        <v>17087</v>
      </c>
      <c r="V1370" s="3000">
        <v>322</v>
      </c>
    </row>
    <row r="1371" spans="4:22" ht="14.25" thickBot="1">
      <c r="D1371" s="2915">
        <v>1367</v>
      </c>
      <c r="E1371" s="2915"/>
      <c r="F1371" s="2914" t="s">
        <v>4478</v>
      </c>
      <c r="G1371" s="2915">
        <v>188.38</v>
      </c>
      <c r="H1371" s="2915">
        <f t="shared" si="22"/>
        <v>33.08</v>
      </c>
      <c r="Q1371" s="3004">
        <v>1367</v>
      </c>
      <c r="R1371" s="2999" t="s">
        <v>5970</v>
      </c>
      <c r="S1371" s="3000">
        <v>188.38</v>
      </c>
      <c r="T1371" s="3000">
        <v>0.99</v>
      </c>
      <c r="U1371" s="3000">
        <v>17087</v>
      </c>
      <c r="V1371" s="3000">
        <v>322</v>
      </c>
    </row>
    <row r="1372" spans="4:22" ht="14.25" thickBot="1">
      <c r="D1372" s="2915">
        <v>1368</v>
      </c>
      <c r="E1372" s="2915"/>
      <c r="F1372" s="2914" t="s">
        <v>4479</v>
      </c>
      <c r="G1372" s="2915">
        <v>208.95</v>
      </c>
      <c r="H1372" s="2915">
        <f t="shared" si="22"/>
        <v>36.69</v>
      </c>
      <c r="Q1372" s="3004">
        <v>1368</v>
      </c>
      <c r="R1372" s="2999" t="s">
        <v>5971</v>
      </c>
      <c r="S1372" s="3000">
        <v>208.95</v>
      </c>
      <c r="T1372" s="3000">
        <v>0.98</v>
      </c>
      <c r="U1372" s="3000">
        <v>16915</v>
      </c>
      <c r="V1372" s="3000">
        <v>353</v>
      </c>
    </row>
    <row r="1373" spans="4:22" ht="14.25" thickBot="1">
      <c r="D1373" s="2915">
        <v>1369</v>
      </c>
      <c r="E1373" s="2915"/>
      <c r="F1373" s="2914" t="s">
        <v>4480</v>
      </c>
      <c r="G1373" s="2915">
        <v>189.85</v>
      </c>
      <c r="H1373" s="2915">
        <f t="shared" si="22"/>
        <v>33.340000000000003</v>
      </c>
      <c r="Q1373" s="3004">
        <v>1369</v>
      </c>
      <c r="R1373" s="2999" t="s">
        <v>5972</v>
      </c>
      <c r="S1373" s="3000">
        <v>189.85</v>
      </c>
      <c r="T1373" s="3000">
        <v>0.99</v>
      </c>
      <c r="U1373" s="3000">
        <v>17087</v>
      </c>
      <c r="V1373" s="3000">
        <v>324</v>
      </c>
    </row>
    <row r="1374" spans="4:22" ht="14.25" thickBot="1">
      <c r="D1374" s="2915">
        <v>1370</v>
      </c>
      <c r="E1374" s="2915"/>
      <c r="F1374" s="2914" t="s">
        <v>4481</v>
      </c>
      <c r="G1374" s="2915">
        <v>169.23</v>
      </c>
      <c r="H1374" s="2915">
        <f t="shared" si="22"/>
        <v>29.72</v>
      </c>
      <c r="Q1374" s="3004">
        <v>1370</v>
      </c>
      <c r="R1374" s="2999" t="s">
        <v>5973</v>
      </c>
      <c r="S1374" s="3000">
        <v>169.23</v>
      </c>
      <c r="T1374" s="3000">
        <v>0.99</v>
      </c>
      <c r="U1374" s="3000">
        <v>17087</v>
      </c>
      <c r="V1374" s="3000">
        <v>289</v>
      </c>
    </row>
    <row r="1375" spans="4:22" ht="14.25" thickBot="1">
      <c r="D1375" s="2915">
        <v>1371</v>
      </c>
      <c r="E1375" s="2915"/>
      <c r="F1375" s="2914" t="s">
        <v>4482</v>
      </c>
      <c r="G1375" s="2915">
        <v>55.7</v>
      </c>
      <c r="H1375" s="2915">
        <f t="shared" si="22"/>
        <v>9.7799999999999994</v>
      </c>
      <c r="Q1375" s="3004">
        <v>1371</v>
      </c>
      <c r="R1375" s="2999" t="s">
        <v>5974</v>
      </c>
      <c r="S1375" s="3000">
        <v>55.7</v>
      </c>
      <c r="T1375" s="3000">
        <v>1</v>
      </c>
      <c r="U1375" s="3000">
        <v>17260</v>
      </c>
      <c r="V1375" s="3000">
        <v>96</v>
      </c>
    </row>
    <row r="1376" spans="4:22" ht="14.25" thickBot="1">
      <c r="D1376" s="2915">
        <v>1372</v>
      </c>
      <c r="E1376" s="2915"/>
      <c r="F1376" s="2914" t="s">
        <v>4483</v>
      </c>
      <c r="G1376" s="2915">
        <v>49.53</v>
      </c>
      <c r="H1376" s="2915">
        <f t="shared" si="22"/>
        <v>8.6999999999999993</v>
      </c>
      <c r="Q1376" s="3004">
        <v>1372</v>
      </c>
      <c r="R1376" s="2999" t="s">
        <v>5975</v>
      </c>
      <c r="S1376" s="3000">
        <v>49.53</v>
      </c>
      <c r="T1376" s="3000">
        <v>1</v>
      </c>
      <c r="U1376" s="3000">
        <v>17260</v>
      </c>
      <c r="V1376" s="3000">
        <v>85</v>
      </c>
    </row>
    <row r="1377" spans="4:22" ht="14.25" thickBot="1">
      <c r="D1377" s="2915">
        <v>1373</v>
      </c>
      <c r="E1377" s="2915"/>
      <c r="F1377" s="2914" t="s">
        <v>4484</v>
      </c>
      <c r="G1377" s="2915">
        <v>50.63</v>
      </c>
      <c r="H1377" s="2915">
        <f t="shared" si="22"/>
        <v>8.89</v>
      </c>
      <c r="Q1377" s="3004">
        <v>1373</v>
      </c>
      <c r="R1377" s="2999" t="s">
        <v>5976</v>
      </c>
      <c r="S1377" s="3000">
        <v>50.63</v>
      </c>
      <c r="T1377" s="3000">
        <v>1</v>
      </c>
      <c r="U1377" s="3000">
        <v>17260</v>
      </c>
      <c r="V1377" s="3000">
        <v>87</v>
      </c>
    </row>
    <row r="1378" spans="4:22" ht="14.25" thickBot="1">
      <c r="D1378" s="2915">
        <v>1374</v>
      </c>
      <c r="E1378" s="2915"/>
      <c r="F1378" s="2914" t="s">
        <v>4485</v>
      </c>
      <c r="G1378" s="2915">
        <v>50.63</v>
      </c>
      <c r="H1378" s="2915">
        <f t="shared" si="22"/>
        <v>8.89</v>
      </c>
      <c r="Q1378" s="3004">
        <v>1374</v>
      </c>
      <c r="R1378" s="2999" t="s">
        <v>5977</v>
      </c>
      <c r="S1378" s="3000">
        <v>50.63</v>
      </c>
      <c r="T1378" s="3000">
        <v>1</v>
      </c>
      <c r="U1378" s="3000">
        <v>17260</v>
      </c>
      <c r="V1378" s="3000">
        <v>87</v>
      </c>
    </row>
    <row r="1379" spans="4:22" ht="14.25" thickBot="1">
      <c r="D1379" s="2915">
        <v>1375</v>
      </c>
      <c r="E1379" s="2915"/>
      <c r="F1379" s="2914" t="s">
        <v>4486</v>
      </c>
      <c r="G1379" s="2915">
        <v>50.63</v>
      </c>
      <c r="H1379" s="2915">
        <f t="shared" si="22"/>
        <v>8.89</v>
      </c>
      <c r="Q1379" s="3004">
        <v>1375</v>
      </c>
      <c r="R1379" s="2999" t="s">
        <v>5978</v>
      </c>
      <c r="S1379" s="3000">
        <v>50.63</v>
      </c>
      <c r="T1379" s="3000">
        <v>1</v>
      </c>
      <c r="U1379" s="3000">
        <v>17260</v>
      </c>
      <c r="V1379" s="3000">
        <v>87</v>
      </c>
    </row>
    <row r="1380" spans="4:22" ht="14.25" thickBot="1">
      <c r="D1380" s="2915">
        <v>1376</v>
      </c>
      <c r="E1380" s="2915"/>
      <c r="F1380" s="2914" t="s">
        <v>4487</v>
      </c>
      <c r="G1380" s="2915">
        <v>50.63</v>
      </c>
      <c r="H1380" s="2915">
        <f t="shared" si="22"/>
        <v>8.89</v>
      </c>
      <c r="Q1380" s="3004">
        <v>1376</v>
      </c>
      <c r="R1380" s="2999" t="s">
        <v>5979</v>
      </c>
      <c r="S1380" s="3000">
        <v>50.63</v>
      </c>
      <c r="T1380" s="3000">
        <v>1</v>
      </c>
      <c r="U1380" s="3000">
        <v>17260</v>
      </c>
      <c r="V1380" s="3000">
        <v>87</v>
      </c>
    </row>
    <row r="1381" spans="4:22" ht="14.25" thickBot="1">
      <c r="D1381" s="2915">
        <v>1377</v>
      </c>
      <c r="E1381" s="2915"/>
      <c r="F1381" s="2914" t="s">
        <v>4488</v>
      </c>
      <c r="G1381" s="2915">
        <v>50.63</v>
      </c>
      <c r="H1381" s="2915">
        <f t="shared" si="22"/>
        <v>8.89</v>
      </c>
      <c r="Q1381" s="3004">
        <v>1377</v>
      </c>
      <c r="R1381" s="2999" t="s">
        <v>5980</v>
      </c>
      <c r="S1381" s="3000">
        <v>50.63</v>
      </c>
      <c r="T1381" s="3000">
        <v>1</v>
      </c>
      <c r="U1381" s="3000">
        <v>17260</v>
      </c>
      <c r="V1381" s="3000">
        <v>87</v>
      </c>
    </row>
    <row r="1382" spans="4:22" ht="14.25" thickBot="1">
      <c r="D1382" s="2915">
        <v>1378</v>
      </c>
      <c r="E1382" s="2915"/>
      <c r="F1382" s="2914" t="s">
        <v>4489</v>
      </c>
      <c r="G1382" s="2915">
        <v>50.63</v>
      </c>
      <c r="H1382" s="2915">
        <f t="shared" si="22"/>
        <v>8.89</v>
      </c>
      <c r="Q1382" s="3004">
        <v>1378</v>
      </c>
      <c r="R1382" s="2999" t="s">
        <v>5981</v>
      </c>
      <c r="S1382" s="3000">
        <v>50.63</v>
      </c>
      <c r="T1382" s="3000">
        <v>1</v>
      </c>
      <c r="U1382" s="3000">
        <v>17260</v>
      </c>
      <c r="V1382" s="3000">
        <v>87</v>
      </c>
    </row>
    <row r="1383" spans="4:22" ht="14.25" thickBot="1">
      <c r="D1383" s="2915">
        <v>1379</v>
      </c>
      <c r="E1383" s="2915"/>
      <c r="F1383" s="2914" t="s">
        <v>4490</v>
      </c>
      <c r="G1383" s="2915">
        <v>50.63</v>
      </c>
      <c r="H1383" s="2915">
        <f t="shared" si="22"/>
        <v>8.89</v>
      </c>
      <c r="Q1383" s="3004">
        <v>1379</v>
      </c>
      <c r="R1383" s="2999" t="s">
        <v>5982</v>
      </c>
      <c r="S1383" s="3000">
        <v>50.63</v>
      </c>
      <c r="T1383" s="3000">
        <v>1</v>
      </c>
      <c r="U1383" s="3000">
        <v>17260</v>
      </c>
      <c r="V1383" s="3000">
        <v>87</v>
      </c>
    </row>
    <row r="1384" spans="4:22" ht="14.25" thickBot="1">
      <c r="D1384" s="2915">
        <v>1380</v>
      </c>
      <c r="E1384" s="2915"/>
      <c r="F1384" s="2914" t="s">
        <v>4491</v>
      </c>
      <c r="G1384" s="2915">
        <v>50.63</v>
      </c>
      <c r="H1384" s="2915">
        <f t="shared" si="22"/>
        <v>8.89</v>
      </c>
      <c r="Q1384" s="3004">
        <v>1380</v>
      </c>
      <c r="R1384" s="2999" t="s">
        <v>5983</v>
      </c>
      <c r="S1384" s="3000">
        <v>50.63</v>
      </c>
      <c r="T1384" s="3000">
        <v>1</v>
      </c>
      <c r="U1384" s="3000">
        <v>17260</v>
      </c>
      <c r="V1384" s="3000">
        <v>87</v>
      </c>
    </row>
    <row r="1385" spans="4:22" ht="14.25" thickBot="1">
      <c r="D1385" s="2915">
        <v>1381</v>
      </c>
      <c r="E1385" s="2915"/>
      <c r="F1385" s="2914" t="s">
        <v>4492</v>
      </c>
      <c r="G1385" s="2915">
        <v>50.63</v>
      </c>
      <c r="H1385" s="2915">
        <f t="shared" si="22"/>
        <v>8.89</v>
      </c>
      <c r="Q1385" s="3004">
        <v>1381</v>
      </c>
      <c r="R1385" s="2999" t="s">
        <v>5984</v>
      </c>
      <c r="S1385" s="3000">
        <v>50.63</v>
      </c>
      <c r="T1385" s="3000">
        <v>1</v>
      </c>
      <c r="U1385" s="3000">
        <v>17260</v>
      </c>
      <c r="V1385" s="3000">
        <v>87</v>
      </c>
    </row>
    <row r="1386" spans="4:22" ht="14.25" thickBot="1">
      <c r="D1386" s="2915">
        <v>1382</v>
      </c>
      <c r="E1386" s="2915"/>
      <c r="F1386" s="2914" t="s">
        <v>4493</v>
      </c>
      <c r="G1386" s="2915">
        <v>50.63</v>
      </c>
      <c r="H1386" s="2915">
        <f t="shared" si="22"/>
        <v>8.89</v>
      </c>
      <c r="Q1386" s="3004">
        <v>1382</v>
      </c>
      <c r="R1386" s="2999" t="s">
        <v>5985</v>
      </c>
      <c r="S1386" s="3000">
        <v>50.63</v>
      </c>
      <c r="T1386" s="3000">
        <v>1</v>
      </c>
      <c r="U1386" s="3000">
        <v>17260</v>
      </c>
      <c r="V1386" s="3000">
        <v>87</v>
      </c>
    </row>
    <row r="1387" spans="4:22" ht="14.25" thickBot="1">
      <c r="D1387" s="2915">
        <v>1383</v>
      </c>
      <c r="E1387" s="2915"/>
      <c r="F1387" s="2914" t="s">
        <v>4494</v>
      </c>
      <c r="G1387" s="2915">
        <v>49.61</v>
      </c>
      <c r="H1387" s="2915">
        <f t="shared" si="22"/>
        <v>8.7100000000000009</v>
      </c>
      <c r="Q1387" s="3004">
        <v>1383</v>
      </c>
      <c r="R1387" s="2999" t="s">
        <v>5986</v>
      </c>
      <c r="S1387" s="3000">
        <v>49.61</v>
      </c>
      <c r="T1387" s="3000">
        <v>1</v>
      </c>
      <c r="U1387" s="3000">
        <v>17260</v>
      </c>
      <c r="V1387" s="3000">
        <v>86</v>
      </c>
    </row>
    <row r="1388" spans="4:22" ht="14.25" thickBot="1">
      <c r="D1388" s="2915">
        <v>1384</v>
      </c>
      <c r="E1388" s="2915"/>
      <c r="F1388" s="2914" t="s">
        <v>4495</v>
      </c>
      <c r="G1388" s="2915">
        <v>46.31</v>
      </c>
      <c r="H1388" s="2915">
        <f t="shared" si="22"/>
        <v>8.1300000000000008</v>
      </c>
      <c r="Q1388" s="3004">
        <v>1384</v>
      </c>
      <c r="R1388" s="2999" t="s">
        <v>5987</v>
      </c>
      <c r="S1388" s="3000">
        <v>46.31</v>
      </c>
      <c r="T1388" s="3000">
        <v>1</v>
      </c>
      <c r="U1388" s="3000">
        <v>17260</v>
      </c>
      <c r="V1388" s="3000">
        <v>80</v>
      </c>
    </row>
    <row r="1389" spans="4:22" ht="14.25" thickBot="1">
      <c r="D1389" s="2915">
        <v>1385</v>
      </c>
      <c r="E1389" s="2915"/>
      <c r="F1389" s="2914" t="s">
        <v>4496</v>
      </c>
      <c r="G1389" s="2915">
        <v>50.63</v>
      </c>
      <c r="H1389" s="2915">
        <f t="shared" si="22"/>
        <v>8.89</v>
      </c>
      <c r="Q1389" s="3004">
        <v>1385</v>
      </c>
      <c r="R1389" s="2999" t="s">
        <v>5988</v>
      </c>
      <c r="S1389" s="3000">
        <v>50.63</v>
      </c>
      <c r="T1389" s="3000">
        <v>1</v>
      </c>
      <c r="U1389" s="3000">
        <v>17260</v>
      </c>
      <c r="V1389" s="3000">
        <v>87</v>
      </c>
    </row>
    <row r="1390" spans="4:22" ht="14.25" thickBot="1">
      <c r="D1390" s="2915">
        <v>1386</v>
      </c>
      <c r="E1390" s="2915"/>
      <c r="F1390" s="2914" t="s">
        <v>4497</v>
      </c>
      <c r="G1390" s="2915">
        <v>50.63</v>
      </c>
      <c r="H1390" s="2915">
        <f t="shared" si="22"/>
        <v>8.89</v>
      </c>
      <c r="Q1390" s="3004">
        <v>1386</v>
      </c>
      <c r="R1390" s="2999" t="s">
        <v>5989</v>
      </c>
      <c r="S1390" s="3000">
        <v>50.63</v>
      </c>
      <c r="T1390" s="3000">
        <v>1</v>
      </c>
      <c r="U1390" s="3000">
        <v>17260</v>
      </c>
      <c r="V1390" s="3000">
        <v>87</v>
      </c>
    </row>
    <row r="1391" spans="4:22" ht="14.25" thickBot="1">
      <c r="D1391" s="2915">
        <v>1387</v>
      </c>
      <c r="E1391" s="2915"/>
      <c r="F1391" s="2914" t="s">
        <v>4498</v>
      </c>
      <c r="G1391" s="2915">
        <v>62.54</v>
      </c>
      <c r="H1391" s="2915">
        <f t="shared" si="22"/>
        <v>10.98</v>
      </c>
      <c r="Q1391" s="3004">
        <v>1387</v>
      </c>
      <c r="R1391" s="2999" t="s">
        <v>5990</v>
      </c>
      <c r="S1391" s="3000">
        <v>62.54</v>
      </c>
      <c r="T1391" s="3000">
        <v>1</v>
      </c>
      <c r="U1391" s="3000">
        <v>17260</v>
      </c>
      <c r="V1391" s="3000">
        <v>108</v>
      </c>
    </row>
    <row r="1392" spans="4:22" ht="14.25" thickBot="1">
      <c r="D1392" s="2915">
        <v>1388</v>
      </c>
      <c r="E1392" s="2915"/>
      <c r="F1392" s="2914" t="s">
        <v>4499</v>
      </c>
      <c r="G1392" s="2915">
        <v>62.56</v>
      </c>
      <c r="H1392" s="2915">
        <f t="shared" si="22"/>
        <v>10.99</v>
      </c>
      <c r="Q1392" s="3004">
        <v>1388</v>
      </c>
      <c r="R1392" s="2999" t="s">
        <v>5991</v>
      </c>
      <c r="S1392" s="3000">
        <v>62.56</v>
      </c>
      <c r="T1392" s="3000">
        <v>1</v>
      </c>
      <c r="U1392" s="3000">
        <v>17260</v>
      </c>
      <c r="V1392" s="3000">
        <v>108</v>
      </c>
    </row>
    <row r="1393" spans="4:22" ht="14.25" thickBot="1">
      <c r="D1393" s="2915">
        <v>1389</v>
      </c>
      <c r="E1393" s="2915"/>
      <c r="F1393" s="2914" t="s">
        <v>4500</v>
      </c>
      <c r="G1393" s="2915">
        <v>62.56</v>
      </c>
      <c r="H1393" s="2915">
        <f t="shared" si="22"/>
        <v>10.99</v>
      </c>
      <c r="Q1393" s="3004">
        <v>1389</v>
      </c>
      <c r="R1393" s="2999" t="s">
        <v>5992</v>
      </c>
      <c r="S1393" s="3000">
        <v>62.56</v>
      </c>
      <c r="T1393" s="3000">
        <v>1</v>
      </c>
      <c r="U1393" s="3000">
        <v>17260</v>
      </c>
      <c r="V1393" s="3000">
        <v>108</v>
      </c>
    </row>
    <row r="1394" spans="4:22" ht="14.25" thickBot="1">
      <c r="D1394" s="2915">
        <v>1390</v>
      </c>
      <c r="E1394" s="2915"/>
      <c r="F1394" s="2914" t="s">
        <v>4501</v>
      </c>
      <c r="G1394" s="2915">
        <v>62.54</v>
      </c>
      <c r="H1394" s="2915">
        <f t="shared" si="22"/>
        <v>10.98</v>
      </c>
      <c r="Q1394" s="3004">
        <v>1390</v>
      </c>
      <c r="R1394" s="2999" t="s">
        <v>5993</v>
      </c>
      <c r="S1394" s="3000">
        <v>62.54</v>
      </c>
      <c r="T1394" s="3000">
        <v>1</v>
      </c>
      <c r="U1394" s="3000">
        <v>17260</v>
      </c>
      <c r="V1394" s="3000">
        <v>108</v>
      </c>
    </row>
    <row r="1395" spans="4:22" ht="14.25" thickBot="1">
      <c r="D1395" s="2915">
        <v>1391</v>
      </c>
      <c r="E1395" s="2915"/>
      <c r="F1395" s="2914" t="s">
        <v>4502</v>
      </c>
      <c r="G1395" s="2915">
        <v>50.63</v>
      </c>
      <c r="H1395" s="2915">
        <f t="shared" si="22"/>
        <v>8.89</v>
      </c>
      <c r="Q1395" s="3004">
        <v>1391</v>
      </c>
      <c r="R1395" s="2999" t="s">
        <v>5994</v>
      </c>
      <c r="S1395" s="3000">
        <v>50.63</v>
      </c>
      <c r="T1395" s="3000">
        <v>1</v>
      </c>
      <c r="U1395" s="3000">
        <v>17260</v>
      </c>
      <c r="V1395" s="3000">
        <v>87</v>
      </c>
    </row>
    <row r="1396" spans="4:22" ht="14.25" thickBot="1">
      <c r="D1396" s="2915">
        <v>1392</v>
      </c>
      <c r="E1396" s="2915"/>
      <c r="F1396" s="2914" t="s">
        <v>4503</v>
      </c>
      <c r="G1396" s="2915">
        <v>50.63</v>
      </c>
      <c r="H1396" s="2915">
        <f t="shared" si="22"/>
        <v>8.89</v>
      </c>
      <c r="Q1396" s="3004">
        <v>1392</v>
      </c>
      <c r="R1396" s="2999" t="s">
        <v>5995</v>
      </c>
      <c r="S1396" s="3000">
        <v>50.63</v>
      </c>
      <c r="T1396" s="3000">
        <v>1</v>
      </c>
      <c r="U1396" s="3000">
        <v>17260</v>
      </c>
      <c r="V1396" s="3000">
        <v>87</v>
      </c>
    </row>
    <row r="1397" spans="4:22" ht="14.25" thickBot="1">
      <c r="D1397" s="2915">
        <v>1393</v>
      </c>
      <c r="E1397" s="2915"/>
      <c r="F1397" s="2914" t="s">
        <v>4504</v>
      </c>
      <c r="G1397" s="2915">
        <v>50.63</v>
      </c>
      <c r="H1397" s="2915">
        <f t="shared" si="22"/>
        <v>8.89</v>
      </c>
      <c r="Q1397" s="3004">
        <v>1393</v>
      </c>
      <c r="R1397" s="2999" t="s">
        <v>5996</v>
      </c>
      <c r="S1397" s="3000">
        <v>50.63</v>
      </c>
      <c r="T1397" s="3000">
        <v>1</v>
      </c>
      <c r="U1397" s="3000">
        <v>17260</v>
      </c>
      <c r="V1397" s="3000">
        <v>87</v>
      </c>
    </row>
    <row r="1398" spans="4:22" ht="14.25" thickBot="1">
      <c r="D1398" s="2915">
        <v>1394</v>
      </c>
      <c r="E1398" s="2915"/>
      <c r="F1398" s="2914" t="s">
        <v>4505</v>
      </c>
      <c r="G1398" s="2915">
        <v>50.63</v>
      </c>
      <c r="H1398" s="2915">
        <f t="shared" si="22"/>
        <v>8.89</v>
      </c>
      <c r="Q1398" s="3004">
        <v>1394</v>
      </c>
      <c r="R1398" s="2999" t="s">
        <v>5997</v>
      </c>
      <c r="S1398" s="3000">
        <v>50.63</v>
      </c>
      <c r="T1398" s="3000">
        <v>1</v>
      </c>
      <c r="U1398" s="3000">
        <v>17260</v>
      </c>
      <c r="V1398" s="3000">
        <v>87</v>
      </c>
    </row>
    <row r="1399" spans="4:22" ht="14.25" thickBot="1">
      <c r="D1399" s="2915">
        <v>1395</v>
      </c>
      <c r="E1399" s="2915"/>
      <c r="F1399" s="2914" t="s">
        <v>4506</v>
      </c>
      <c r="G1399" s="2915">
        <v>50.63</v>
      </c>
      <c r="H1399" s="2915">
        <f t="shared" si="22"/>
        <v>8.89</v>
      </c>
      <c r="Q1399" s="3004">
        <v>1395</v>
      </c>
      <c r="R1399" s="2999" t="s">
        <v>5998</v>
      </c>
      <c r="S1399" s="3000">
        <v>50.63</v>
      </c>
      <c r="T1399" s="3000">
        <v>1</v>
      </c>
      <c r="U1399" s="3000">
        <v>17260</v>
      </c>
      <c r="V1399" s="3000">
        <v>87</v>
      </c>
    </row>
    <row r="1400" spans="4:22" ht="14.25" thickBot="1">
      <c r="D1400" s="2915">
        <v>1396</v>
      </c>
      <c r="E1400" s="2915"/>
      <c r="F1400" s="2914" t="s">
        <v>4507</v>
      </c>
      <c r="G1400" s="2915">
        <v>50.63</v>
      </c>
      <c r="H1400" s="2915">
        <f t="shared" si="22"/>
        <v>8.89</v>
      </c>
      <c r="Q1400" s="3004">
        <v>1396</v>
      </c>
      <c r="R1400" s="2999" t="s">
        <v>5999</v>
      </c>
      <c r="S1400" s="3000">
        <v>50.63</v>
      </c>
      <c r="T1400" s="3000">
        <v>1</v>
      </c>
      <c r="U1400" s="3000">
        <v>17260</v>
      </c>
      <c r="V1400" s="3000">
        <v>87</v>
      </c>
    </row>
    <row r="1401" spans="4:22" ht="14.25" thickBot="1">
      <c r="D1401" s="2915">
        <v>1397</v>
      </c>
      <c r="E1401" s="2915"/>
      <c r="F1401" s="2914" t="s">
        <v>4508</v>
      </c>
      <c r="G1401" s="2915">
        <v>50.63</v>
      </c>
      <c r="H1401" s="2915">
        <f t="shared" si="22"/>
        <v>8.89</v>
      </c>
      <c r="Q1401" s="3004">
        <v>1397</v>
      </c>
      <c r="R1401" s="2999" t="s">
        <v>6000</v>
      </c>
      <c r="S1401" s="3000">
        <v>50.63</v>
      </c>
      <c r="T1401" s="3000">
        <v>1</v>
      </c>
      <c r="U1401" s="3000">
        <v>17260</v>
      </c>
      <c r="V1401" s="3000">
        <v>87</v>
      </c>
    </row>
    <row r="1402" spans="4:22" ht="14.25" thickBot="1">
      <c r="D1402" s="2915">
        <v>1398</v>
      </c>
      <c r="E1402" s="2915"/>
      <c r="F1402" s="2914" t="s">
        <v>4509</v>
      </c>
      <c r="G1402" s="2915">
        <v>50.63</v>
      </c>
      <c r="H1402" s="2915">
        <f t="shared" si="22"/>
        <v>8.89</v>
      </c>
      <c r="Q1402" s="3004">
        <v>1398</v>
      </c>
      <c r="R1402" s="2999" t="s">
        <v>6001</v>
      </c>
      <c r="S1402" s="3000">
        <v>50.63</v>
      </c>
      <c r="T1402" s="3000">
        <v>1</v>
      </c>
      <c r="U1402" s="3000">
        <v>17260</v>
      </c>
      <c r="V1402" s="3000">
        <v>87</v>
      </c>
    </row>
    <row r="1403" spans="4:22" ht="14.25" thickBot="1">
      <c r="D1403" s="2915">
        <v>1399</v>
      </c>
      <c r="E1403" s="2915"/>
      <c r="F1403" s="2914" t="s">
        <v>4510</v>
      </c>
      <c r="G1403" s="2915">
        <v>50.63</v>
      </c>
      <c r="H1403" s="2915">
        <f t="shared" si="22"/>
        <v>8.89</v>
      </c>
      <c r="Q1403" s="3004">
        <v>1399</v>
      </c>
      <c r="R1403" s="2999" t="s">
        <v>6002</v>
      </c>
      <c r="S1403" s="3000">
        <v>50.63</v>
      </c>
      <c r="T1403" s="3000">
        <v>1</v>
      </c>
      <c r="U1403" s="3000">
        <v>17260</v>
      </c>
      <c r="V1403" s="3000">
        <v>87</v>
      </c>
    </row>
    <row r="1404" spans="4:22" ht="14.25" thickBot="1">
      <c r="D1404" s="2915">
        <v>1400</v>
      </c>
      <c r="E1404" s="2915"/>
      <c r="F1404" s="2914" t="s">
        <v>4511</v>
      </c>
      <c r="G1404" s="2915">
        <v>50.63</v>
      </c>
      <c r="H1404" s="2915">
        <f t="shared" si="22"/>
        <v>8.89</v>
      </c>
      <c r="Q1404" s="3004">
        <v>1400</v>
      </c>
      <c r="R1404" s="2999" t="s">
        <v>6003</v>
      </c>
      <c r="S1404" s="3000">
        <v>50.63</v>
      </c>
      <c r="T1404" s="3000">
        <v>1</v>
      </c>
      <c r="U1404" s="3000">
        <v>17260</v>
      </c>
      <c r="V1404" s="3000">
        <v>87</v>
      </c>
    </row>
    <row r="1405" spans="4:22" ht="14.25" thickBot="1">
      <c r="D1405" s="2915">
        <v>1401</v>
      </c>
      <c r="E1405" s="2915"/>
      <c r="F1405" s="2914" t="s">
        <v>4512</v>
      </c>
      <c r="G1405" s="2915">
        <v>50.63</v>
      </c>
      <c r="H1405" s="2915">
        <f t="shared" si="22"/>
        <v>8.89</v>
      </c>
      <c r="Q1405" s="3004">
        <v>1401</v>
      </c>
      <c r="R1405" s="2999" t="s">
        <v>6004</v>
      </c>
      <c r="S1405" s="3000">
        <v>50.63</v>
      </c>
      <c r="T1405" s="3000">
        <v>1</v>
      </c>
      <c r="U1405" s="3000">
        <v>17260</v>
      </c>
      <c r="V1405" s="3000">
        <v>87</v>
      </c>
    </row>
    <row r="1406" spans="4:22" ht="14.25" thickBot="1">
      <c r="D1406" s="2915">
        <v>1402</v>
      </c>
      <c r="E1406" s="2915"/>
      <c r="F1406" s="2914" t="s">
        <v>4513</v>
      </c>
      <c r="G1406" s="2915">
        <v>50.63</v>
      </c>
      <c r="H1406" s="2915">
        <f t="shared" si="22"/>
        <v>8.89</v>
      </c>
      <c r="Q1406" s="3004">
        <v>1402</v>
      </c>
      <c r="R1406" s="2999" t="s">
        <v>6005</v>
      </c>
      <c r="S1406" s="3000">
        <v>50.63</v>
      </c>
      <c r="T1406" s="3000">
        <v>1</v>
      </c>
      <c r="U1406" s="3000">
        <v>17260</v>
      </c>
      <c r="V1406" s="3000">
        <v>87</v>
      </c>
    </row>
    <row r="1407" spans="4:22" ht="14.25" thickBot="1">
      <c r="D1407" s="2915">
        <v>1403</v>
      </c>
      <c r="E1407" s="2915"/>
      <c r="F1407" s="2914" t="s">
        <v>4514</v>
      </c>
      <c r="G1407" s="2915">
        <v>50.38</v>
      </c>
      <c r="H1407" s="2915">
        <f t="shared" si="22"/>
        <v>8.85</v>
      </c>
      <c r="Q1407" s="3004">
        <v>1403</v>
      </c>
      <c r="R1407" s="2999" t="s">
        <v>6006</v>
      </c>
      <c r="S1407" s="3000">
        <v>50.38</v>
      </c>
      <c r="T1407" s="3000">
        <v>1</v>
      </c>
      <c r="U1407" s="3000">
        <v>17260</v>
      </c>
      <c r="V1407" s="3000">
        <v>87</v>
      </c>
    </row>
    <row r="1408" spans="4:22" ht="14.25" thickBot="1">
      <c r="D1408" s="2915">
        <v>1404</v>
      </c>
      <c r="E1408" s="2915"/>
      <c r="F1408" s="2914" t="s">
        <v>4515</v>
      </c>
      <c r="G1408" s="2915">
        <v>51.12</v>
      </c>
      <c r="H1408" s="2915">
        <f t="shared" si="22"/>
        <v>8.98</v>
      </c>
      <c r="Q1408" s="3004">
        <v>1404</v>
      </c>
      <c r="R1408" s="2999" t="s">
        <v>6007</v>
      </c>
      <c r="S1408" s="3000">
        <v>51.12</v>
      </c>
      <c r="T1408" s="3000">
        <v>1</v>
      </c>
      <c r="U1408" s="3000">
        <v>17260</v>
      </c>
      <c r="V1408" s="3000">
        <v>88</v>
      </c>
    </row>
    <row r="1409" spans="4:22" ht="14.25" thickBot="1">
      <c r="D1409" s="2915">
        <v>1405</v>
      </c>
      <c r="E1409" s="2915"/>
      <c r="F1409" s="2914" t="s">
        <v>4516</v>
      </c>
      <c r="G1409" s="2915">
        <v>68.760000000000005</v>
      </c>
      <c r="H1409" s="2915">
        <f t="shared" si="22"/>
        <v>12.07</v>
      </c>
      <c r="Q1409" s="3004">
        <v>1405</v>
      </c>
      <c r="R1409" s="2999" t="s">
        <v>6008</v>
      </c>
      <c r="S1409" s="3000">
        <v>68.760000000000005</v>
      </c>
      <c r="T1409" s="3000">
        <v>1</v>
      </c>
      <c r="U1409" s="3000">
        <v>17260</v>
      </c>
      <c r="V1409" s="3000">
        <v>119</v>
      </c>
    </row>
    <row r="1410" spans="4:22" ht="14.25" thickBot="1">
      <c r="D1410" s="2915">
        <v>1406</v>
      </c>
      <c r="E1410" s="2915"/>
      <c r="F1410" s="2914" t="s">
        <v>4517</v>
      </c>
      <c r="G1410" s="2915">
        <v>69.319999999999993</v>
      </c>
      <c r="H1410" s="2915">
        <f t="shared" si="22"/>
        <v>12.17</v>
      </c>
      <c r="Q1410" s="3004">
        <v>1406</v>
      </c>
      <c r="R1410" s="2999" t="s">
        <v>6009</v>
      </c>
      <c r="S1410" s="3000">
        <v>69.319999999999993</v>
      </c>
      <c r="T1410" s="3000">
        <v>1</v>
      </c>
      <c r="U1410" s="3000">
        <v>17260</v>
      </c>
      <c r="V1410" s="3000">
        <v>120</v>
      </c>
    </row>
    <row r="1411" spans="4:22" ht="14.25" thickBot="1">
      <c r="D1411" s="2915">
        <v>1407</v>
      </c>
      <c r="E1411" s="2915"/>
      <c r="F1411" s="2914" t="s">
        <v>4518</v>
      </c>
      <c r="G1411" s="2915">
        <v>61.41</v>
      </c>
      <c r="H1411" s="2915">
        <f t="shared" si="22"/>
        <v>10.78</v>
      </c>
      <c r="Q1411" s="3004">
        <v>1407</v>
      </c>
      <c r="R1411" s="2999" t="s">
        <v>6010</v>
      </c>
      <c r="S1411" s="3000">
        <v>61.41</v>
      </c>
      <c r="T1411" s="3000">
        <v>1</v>
      </c>
      <c r="U1411" s="3000">
        <v>17260</v>
      </c>
      <c r="V1411" s="3000">
        <v>106</v>
      </c>
    </row>
    <row r="1412" spans="4:22" ht="14.25" thickBot="1">
      <c r="D1412" s="2915">
        <v>1408</v>
      </c>
      <c r="E1412" s="2915"/>
      <c r="F1412" s="2914" t="s">
        <v>4519</v>
      </c>
      <c r="G1412" s="2915">
        <v>61.41</v>
      </c>
      <c r="H1412" s="2915">
        <f t="shared" si="22"/>
        <v>10.78</v>
      </c>
      <c r="Q1412" s="3004">
        <v>1408</v>
      </c>
      <c r="R1412" s="2999" t="s">
        <v>6011</v>
      </c>
      <c r="S1412" s="3000">
        <v>61.41</v>
      </c>
      <c r="T1412" s="3000">
        <v>1</v>
      </c>
      <c r="U1412" s="3000">
        <v>17260</v>
      </c>
      <c r="V1412" s="3000">
        <v>106</v>
      </c>
    </row>
    <row r="1413" spans="4:22" ht="14.25" thickBot="1">
      <c r="D1413" s="2915">
        <v>1409</v>
      </c>
      <c r="E1413" s="2915"/>
      <c r="F1413" s="2914" t="s">
        <v>4520</v>
      </c>
      <c r="G1413" s="2915">
        <v>61.41</v>
      </c>
      <c r="H1413" s="2915">
        <f t="shared" si="22"/>
        <v>10.78</v>
      </c>
      <c r="Q1413" s="3004">
        <v>1409</v>
      </c>
      <c r="R1413" s="2999" t="s">
        <v>6012</v>
      </c>
      <c r="S1413" s="3000">
        <v>61.41</v>
      </c>
      <c r="T1413" s="3000">
        <v>1</v>
      </c>
      <c r="U1413" s="3000">
        <v>17260</v>
      </c>
      <c r="V1413" s="3000">
        <v>106</v>
      </c>
    </row>
    <row r="1414" spans="4:22" ht="14.25" thickBot="1">
      <c r="D1414" s="2915">
        <v>1410</v>
      </c>
      <c r="E1414" s="2915"/>
      <c r="F1414" s="2914" t="s">
        <v>4521</v>
      </c>
      <c r="G1414" s="2915">
        <v>61.41</v>
      </c>
      <c r="H1414" s="2915">
        <f t="shared" ref="H1414:H1477" si="23">ROUND(G1414/$N$7*$M$7,2)</f>
        <v>10.78</v>
      </c>
      <c r="Q1414" s="3004">
        <v>1410</v>
      </c>
      <c r="R1414" s="2999" t="s">
        <v>6013</v>
      </c>
      <c r="S1414" s="3000">
        <v>61.41</v>
      </c>
      <c r="T1414" s="3000">
        <v>1</v>
      </c>
      <c r="U1414" s="3000">
        <v>17260</v>
      </c>
      <c r="V1414" s="3000">
        <v>106</v>
      </c>
    </row>
    <row r="1415" spans="4:22" ht="14.25" thickBot="1">
      <c r="D1415" s="2915">
        <v>1411</v>
      </c>
      <c r="E1415" s="2915"/>
      <c r="F1415" s="2914" t="s">
        <v>4522</v>
      </c>
      <c r="G1415" s="2915">
        <v>61.41</v>
      </c>
      <c r="H1415" s="2915">
        <f t="shared" si="23"/>
        <v>10.78</v>
      </c>
      <c r="Q1415" s="3004">
        <v>1411</v>
      </c>
      <c r="R1415" s="2999" t="s">
        <v>6014</v>
      </c>
      <c r="S1415" s="3000">
        <v>61.41</v>
      </c>
      <c r="T1415" s="3000">
        <v>1</v>
      </c>
      <c r="U1415" s="3000">
        <v>17260</v>
      </c>
      <c r="V1415" s="3000">
        <v>106</v>
      </c>
    </row>
    <row r="1416" spans="4:22" ht="14.25" thickBot="1">
      <c r="D1416" s="2915">
        <v>1412</v>
      </c>
      <c r="E1416" s="2915"/>
      <c r="F1416" s="2914" t="s">
        <v>4523</v>
      </c>
      <c r="G1416" s="2915">
        <v>72.87</v>
      </c>
      <c r="H1416" s="2915">
        <f t="shared" si="23"/>
        <v>12.8</v>
      </c>
      <c r="Q1416" s="3004">
        <v>1412</v>
      </c>
      <c r="R1416" s="2999" t="s">
        <v>6015</v>
      </c>
      <c r="S1416" s="3000">
        <v>72.87</v>
      </c>
      <c r="T1416" s="3000">
        <v>1</v>
      </c>
      <c r="U1416" s="3000">
        <v>17260</v>
      </c>
      <c r="V1416" s="3000">
        <v>126</v>
      </c>
    </row>
    <row r="1417" spans="4:22" ht="14.25" thickBot="1">
      <c r="D1417" s="2915">
        <v>1413</v>
      </c>
      <c r="E1417" s="2915"/>
      <c r="F1417" s="2914" t="s">
        <v>4524</v>
      </c>
      <c r="G1417" s="2915">
        <v>81.069999999999993</v>
      </c>
      <c r="H1417" s="2915">
        <f t="shared" si="23"/>
        <v>14.24</v>
      </c>
      <c r="Q1417" s="3004">
        <v>1413</v>
      </c>
      <c r="R1417" s="2999" t="s">
        <v>6016</v>
      </c>
      <c r="S1417" s="3000">
        <v>81.069999999999993</v>
      </c>
      <c r="T1417" s="3000">
        <v>1</v>
      </c>
      <c r="U1417" s="3000">
        <v>17260</v>
      </c>
      <c r="V1417" s="3000">
        <v>140</v>
      </c>
    </row>
    <row r="1418" spans="4:22" ht="14.25" thickBot="1">
      <c r="D1418" s="2915">
        <v>1414</v>
      </c>
      <c r="E1418" s="2915"/>
      <c r="F1418" s="2914" t="s">
        <v>4525</v>
      </c>
      <c r="G1418" s="2915">
        <v>61.41</v>
      </c>
      <c r="H1418" s="2915">
        <f t="shared" si="23"/>
        <v>10.78</v>
      </c>
      <c r="Q1418" s="3004">
        <v>1414</v>
      </c>
      <c r="R1418" s="2999" t="s">
        <v>6017</v>
      </c>
      <c r="S1418" s="3000">
        <v>61.41</v>
      </c>
      <c r="T1418" s="3000">
        <v>1</v>
      </c>
      <c r="U1418" s="3000">
        <v>17260</v>
      </c>
      <c r="V1418" s="3000">
        <v>106</v>
      </c>
    </row>
    <row r="1419" spans="4:22" ht="14.25" thickBot="1">
      <c r="D1419" s="2915">
        <v>1415</v>
      </c>
      <c r="E1419" s="2915"/>
      <c r="F1419" s="2914" t="s">
        <v>4526</v>
      </c>
      <c r="G1419" s="2915">
        <v>54.6</v>
      </c>
      <c r="H1419" s="2915">
        <f t="shared" si="23"/>
        <v>9.59</v>
      </c>
      <c r="Q1419" s="3004">
        <v>1415</v>
      </c>
      <c r="R1419" s="2999" t="s">
        <v>6018</v>
      </c>
      <c r="S1419" s="3000">
        <v>54.6</v>
      </c>
      <c r="T1419" s="3000">
        <v>1</v>
      </c>
      <c r="U1419" s="3000">
        <v>17260</v>
      </c>
      <c r="V1419" s="3000">
        <v>94</v>
      </c>
    </row>
    <row r="1420" spans="4:22" ht="14.25" thickBot="1">
      <c r="D1420" s="2915">
        <v>1416</v>
      </c>
      <c r="E1420" s="2915"/>
      <c r="F1420" s="2914" t="s">
        <v>4527</v>
      </c>
      <c r="G1420" s="2915">
        <v>71.23</v>
      </c>
      <c r="H1420" s="2915">
        <f t="shared" si="23"/>
        <v>12.51</v>
      </c>
      <c r="Q1420" s="3004">
        <v>1416</v>
      </c>
      <c r="R1420" s="2999" t="s">
        <v>6019</v>
      </c>
      <c r="S1420" s="3000">
        <v>71.23</v>
      </c>
      <c r="T1420" s="3000">
        <v>1</v>
      </c>
      <c r="U1420" s="3000">
        <v>17260</v>
      </c>
      <c r="V1420" s="3000">
        <v>123</v>
      </c>
    </row>
    <row r="1421" spans="4:22" ht="14.25" thickBot="1">
      <c r="D1421" s="2915">
        <v>1417</v>
      </c>
      <c r="E1421" s="2915"/>
      <c r="F1421" s="2914" t="s">
        <v>4528</v>
      </c>
      <c r="G1421" s="2915">
        <v>61.41</v>
      </c>
      <c r="H1421" s="2915">
        <f t="shared" si="23"/>
        <v>10.78</v>
      </c>
      <c r="Q1421" s="3004">
        <v>1417</v>
      </c>
      <c r="R1421" s="2999" t="s">
        <v>6020</v>
      </c>
      <c r="S1421" s="3000">
        <v>61.41</v>
      </c>
      <c r="T1421" s="3000">
        <v>1</v>
      </c>
      <c r="U1421" s="3000">
        <v>17260</v>
      </c>
      <c r="V1421" s="3000">
        <v>106</v>
      </c>
    </row>
    <row r="1422" spans="4:22" ht="14.25" thickBot="1">
      <c r="D1422" s="2915">
        <v>1418</v>
      </c>
      <c r="E1422" s="2915"/>
      <c r="F1422" s="2914" t="s">
        <v>4529</v>
      </c>
      <c r="G1422" s="2915">
        <v>61.41</v>
      </c>
      <c r="H1422" s="2915">
        <f t="shared" si="23"/>
        <v>10.78</v>
      </c>
      <c r="Q1422" s="3004">
        <v>1418</v>
      </c>
      <c r="R1422" s="2999" t="s">
        <v>6021</v>
      </c>
      <c r="S1422" s="3000">
        <v>61.41</v>
      </c>
      <c r="T1422" s="3000">
        <v>1</v>
      </c>
      <c r="U1422" s="3000">
        <v>17260</v>
      </c>
      <c r="V1422" s="3000">
        <v>106</v>
      </c>
    </row>
    <row r="1423" spans="4:22" ht="14.25" thickBot="1">
      <c r="D1423" s="2915">
        <v>1419</v>
      </c>
      <c r="E1423" s="2915"/>
      <c r="F1423" s="2914" t="s">
        <v>4530</v>
      </c>
      <c r="G1423" s="2915">
        <v>61.41</v>
      </c>
      <c r="H1423" s="2915">
        <f t="shared" si="23"/>
        <v>10.78</v>
      </c>
      <c r="Q1423" s="3004">
        <v>1419</v>
      </c>
      <c r="R1423" s="2999" t="s">
        <v>6022</v>
      </c>
      <c r="S1423" s="3000">
        <v>61.41</v>
      </c>
      <c r="T1423" s="3000">
        <v>1</v>
      </c>
      <c r="U1423" s="3000">
        <v>17260</v>
      </c>
      <c r="V1423" s="3000">
        <v>106</v>
      </c>
    </row>
    <row r="1424" spans="4:22" ht="14.25" thickBot="1">
      <c r="D1424" s="2915">
        <v>1420</v>
      </c>
      <c r="E1424" s="2915"/>
      <c r="F1424" s="2914" t="s">
        <v>4531</v>
      </c>
      <c r="G1424" s="2915">
        <v>61.88</v>
      </c>
      <c r="H1424" s="2915">
        <f t="shared" si="23"/>
        <v>10.87</v>
      </c>
      <c r="Q1424" s="3004">
        <v>1420</v>
      </c>
      <c r="R1424" s="2999" t="s">
        <v>6023</v>
      </c>
      <c r="S1424" s="3000">
        <v>61.88</v>
      </c>
      <c r="T1424" s="3000">
        <v>1</v>
      </c>
      <c r="U1424" s="3000">
        <v>17260</v>
      </c>
      <c r="V1424" s="3000">
        <v>107</v>
      </c>
    </row>
    <row r="1425" spans="4:22" ht="14.25" thickBot="1">
      <c r="D1425" s="2915">
        <v>1421</v>
      </c>
      <c r="E1425" s="2915"/>
      <c r="F1425" s="2914" t="s">
        <v>4532</v>
      </c>
      <c r="G1425" s="2915">
        <v>58.8</v>
      </c>
      <c r="H1425" s="2915">
        <f t="shared" si="23"/>
        <v>10.32</v>
      </c>
      <c r="Q1425" s="3004">
        <v>1421</v>
      </c>
      <c r="R1425" s="2999" t="s">
        <v>6024</v>
      </c>
      <c r="S1425" s="3000">
        <v>58.8</v>
      </c>
      <c r="T1425" s="3000">
        <v>1</v>
      </c>
      <c r="U1425" s="3000">
        <v>17260</v>
      </c>
      <c r="V1425" s="3000">
        <v>101</v>
      </c>
    </row>
    <row r="1426" spans="4:22" ht="14.25" thickBot="1">
      <c r="D1426" s="2915">
        <v>1422</v>
      </c>
      <c r="E1426" s="2915"/>
      <c r="F1426" s="2914" t="s">
        <v>4533</v>
      </c>
      <c r="G1426" s="2915">
        <v>60.21</v>
      </c>
      <c r="H1426" s="2915">
        <f t="shared" si="23"/>
        <v>10.57</v>
      </c>
      <c r="Q1426" s="3004">
        <v>1422</v>
      </c>
      <c r="R1426" s="2999" t="s">
        <v>6025</v>
      </c>
      <c r="S1426" s="3000">
        <v>60.21</v>
      </c>
      <c r="T1426" s="3000">
        <v>1</v>
      </c>
      <c r="U1426" s="3000">
        <v>17260</v>
      </c>
      <c r="V1426" s="3000">
        <v>104</v>
      </c>
    </row>
    <row r="1427" spans="4:22" ht="14.25" thickBot="1">
      <c r="D1427" s="2915">
        <v>1423</v>
      </c>
      <c r="E1427" s="2915"/>
      <c r="F1427" s="2914" t="s">
        <v>4534</v>
      </c>
      <c r="G1427" s="2915">
        <v>65.760000000000005</v>
      </c>
      <c r="H1427" s="2915">
        <f t="shared" si="23"/>
        <v>11.55</v>
      </c>
      <c r="Q1427" s="3004">
        <v>1423</v>
      </c>
      <c r="R1427" s="2999" t="s">
        <v>6026</v>
      </c>
      <c r="S1427" s="3000">
        <v>65.760000000000005</v>
      </c>
      <c r="T1427" s="3000">
        <v>1</v>
      </c>
      <c r="U1427" s="3000">
        <v>17260</v>
      </c>
      <c r="V1427" s="3000">
        <v>114</v>
      </c>
    </row>
    <row r="1428" spans="4:22" ht="14.25" thickBot="1">
      <c r="D1428" s="2915">
        <v>1424</v>
      </c>
      <c r="E1428" s="2915"/>
      <c r="F1428" s="2914" t="s">
        <v>4535</v>
      </c>
      <c r="G1428" s="2915">
        <v>59.41</v>
      </c>
      <c r="H1428" s="2915">
        <f t="shared" si="23"/>
        <v>10.43</v>
      </c>
      <c r="Q1428" s="3004">
        <v>1424</v>
      </c>
      <c r="R1428" s="2999" t="s">
        <v>6027</v>
      </c>
      <c r="S1428" s="3000">
        <v>59.41</v>
      </c>
      <c r="T1428" s="3000">
        <v>1</v>
      </c>
      <c r="U1428" s="3000">
        <v>17260</v>
      </c>
      <c r="V1428" s="3000">
        <v>103</v>
      </c>
    </row>
    <row r="1429" spans="4:22" ht="14.25" thickBot="1">
      <c r="D1429" s="2915">
        <v>1425</v>
      </c>
      <c r="E1429" s="2915"/>
      <c r="F1429" s="2914" t="s">
        <v>4536</v>
      </c>
      <c r="G1429" s="2915">
        <v>60.69</v>
      </c>
      <c r="H1429" s="2915">
        <f t="shared" si="23"/>
        <v>10.66</v>
      </c>
      <c r="Q1429" s="3004">
        <v>1425</v>
      </c>
      <c r="R1429" s="2999" t="s">
        <v>6028</v>
      </c>
      <c r="S1429" s="3000">
        <v>60.69</v>
      </c>
      <c r="T1429" s="3000">
        <v>1</v>
      </c>
      <c r="U1429" s="3000">
        <v>17260</v>
      </c>
      <c r="V1429" s="3000">
        <v>105</v>
      </c>
    </row>
    <row r="1430" spans="4:22" ht="14.25" thickBot="1">
      <c r="D1430" s="2915">
        <v>1426</v>
      </c>
      <c r="E1430" s="2915"/>
      <c r="F1430" s="2914" t="s">
        <v>4537</v>
      </c>
      <c r="G1430" s="2915">
        <v>60.69</v>
      </c>
      <c r="H1430" s="2915">
        <f t="shared" si="23"/>
        <v>10.66</v>
      </c>
      <c r="Q1430" s="3004">
        <v>1426</v>
      </c>
      <c r="R1430" s="2999" t="s">
        <v>6029</v>
      </c>
      <c r="S1430" s="3000">
        <v>60.69</v>
      </c>
      <c r="T1430" s="3000">
        <v>1</v>
      </c>
      <c r="U1430" s="3000">
        <v>17260</v>
      </c>
      <c r="V1430" s="3000">
        <v>105</v>
      </c>
    </row>
    <row r="1431" spans="4:22" ht="14.25" thickBot="1">
      <c r="D1431" s="2915">
        <v>1427</v>
      </c>
      <c r="E1431" s="2915"/>
      <c r="F1431" s="2914" t="s">
        <v>4538</v>
      </c>
      <c r="G1431" s="2915">
        <v>60.69</v>
      </c>
      <c r="H1431" s="2915">
        <f t="shared" si="23"/>
        <v>10.66</v>
      </c>
      <c r="Q1431" s="3004">
        <v>1427</v>
      </c>
      <c r="R1431" s="2999" t="s">
        <v>6030</v>
      </c>
      <c r="S1431" s="3000">
        <v>60.69</v>
      </c>
      <c r="T1431" s="3000">
        <v>1</v>
      </c>
      <c r="U1431" s="3000">
        <v>17260</v>
      </c>
      <c r="V1431" s="3000">
        <v>105</v>
      </c>
    </row>
    <row r="1432" spans="4:22" ht="14.25" thickBot="1">
      <c r="D1432" s="2915">
        <v>1428</v>
      </c>
      <c r="E1432" s="2915"/>
      <c r="F1432" s="2914" t="s">
        <v>4539</v>
      </c>
      <c r="G1432" s="2915">
        <v>60.69</v>
      </c>
      <c r="H1432" s="2915">
        <f t="shared" si="23"/>
        <v>10.66</v>
      </c>
      <c r="Q1432" s="3004">
        <v>1428</v>
      </c>
      <c r="R1432" s="2999" t="s">
        <v>6031</v>
      </c>
      <c r="S1432" s="3000">
        <v>60.69</v>
      </c>
      <c r="T1432" s="3000">
        <v>1</v>
      </c>
      <c r="U1432" s="3000">
        <v>17260</v>
      </c>
      <c r="V1432" s="3000">
        <v>105</v>
      </c>
    </row>
    <row r="1433" spans="4:22" ht="14.25" thickBot="1">
      <c r="D1433" s="2915">
        <v>1429</v>
      </c>
      <c r="E1433" s="2915"/>
      <c r="F1433" s="2914" t="s">
        <v>4540</v>
      </c>
      <c r="G1433" s="2915">
        <v>60.69</v>
      </c>
      <c r="H1433" s="2915">
        <f t="shared" si="23"/>
        <v>10.66</v>
      </c>
      <c r="Q1433" s="3004">
        <v>1429</v>
      </c>
      <c r="R1433" s="2999" t="s">
        <v>6032</v>
      </c>
      <c r="S1433" s="3000">
        <v>60.69</v>
      </c>
      <c r="T1433" s="3000">
        <v>1</v>
      </c>
      <c r="U1433" s="3000">
        <v>17260</v>
      </c>
      <c r="V1433" s="3000">
        <v>105</v>
      </c>
    </row>
    <row r="1434" spans="4:22" ht="14.25" thickBot="1">
      <c r="D1434" s="2915">
        <v>1430</v>
      </c>
      <c r="E1434" s="2915"/>
      <c r="F1434" s="2914" t="s">
        <v>4541</v>
      </c>
      <c r="G1434" s="2915">
        <v>60.69</v>
      </c>
      <c r="H1434" s="2915">
        <f t="shared" si="23"/>
        <v>10.66</v>
      </c>
      <c r="Q1434" s="3004">
        <v>1430</v>
      </c>
      <c r="R1434" s="2999" t="s">
        <v>6033</v>
      </c>
      <c r="S1434" s="3000">
        <v>60.69</v>
      </c>
      <c r="T1434" s="3000">
        <v>1</v>
      </c>
      <c r="U1434" s="3000">
        <v>17260</v>
      </c>
      <c r="V1434" s="3000">
        <v>105</v>
      </c>
    </row>
    <row r="1435" spans="4:22" ht="14.25" thickBot="1">
      <c r="D1435" s="2915">
        <v>1431</v>
      </c>
      <c r="E1435" s="2915"/>
      <c r="F1435" s="2914" t="s">
        <v>4542</v>
      </c>
      <c r="G1435" s="2915">
        <v>60.69</v>
      </c>
      <c r="H1435" s="2915">
        <f t="shared" si="23"/>
        <v>10.66</v>
      </c>
      <c r="Q1435" s="3004">
        <v>1431</v>
      </c>
      <c r="R1435" s="2999" t="s">
        <v>6034</v>
      </c>
      <c r="S1435" s="3000">
        <v>60.69</v>
      </c>
      <c r="T1435" s="3000">
        <v>1</v>
      </c>
      <c r="U1435" s="3000">
        <v>17260</v>
      </c>
      <c r="V1435" s="3000">
        <v>105</v>
      </c>
    </row>
    <row r="1436" spans="4:22" ht="14.25" thickBot="1">
      <c r="D1436" s="2915">
        <v>1432</v>
      </c>
      <c r="E1436" s="2915"/>
      <c r="F1436" s="2914" t="s">
        <v>4543</v>
      </c>
      <c r="G1436" s="2915">
        <v>60.69</v>
      </c>
      <c r="H1436" s="2915">
        <f t="shared" si="23"/>
        <v>10.66</v>
      </c>
      <c r="Q1436" s="3004">
        <v>1432</v>
      </c>
      <c r="R1436" s="2999" t="s">
        <v>6035</v>
      </c>
      <c r="S1436" s="3000">
        <v>60.69</v>
      </c>
      <c r="T1436" s="3000">
        <v>1</v>
      </c>
      <c r="U1436" s="3000">
        <v>17260</v>
      </c>
      <c r="V1436" s="3000">
        <v>105</v>
      </c>
    </row>
    <row r="1437" spans="4:22" ht="14.25" thickBot="1">
      <c r="D1437" s="2915">
        <v>1433</v>
      </c>
      <c r="E1437" s="2915"/>
      <c r="F1437" s="2914" t="s">
        <v>4544</v>
      </c>
      <c r="G1437" s="2915">
        <v>60.69</v>
      </c>
      <c r="H1437" s="2915">
        <f t="shared" si="23"/>
        <v>10.66</v>
      </c>
      <c r="Q1437" s="3004">
        <v>1433</v>
      </c>
      <c r="R1437" s="2999" t="s">
        <v>6036</v>
      </c>
      <c r="S1437" s="3000">
        <v>60.69</v>
      </c>
      <c r="T1437" s="3000">
        <v>1</v>
      </c>
      <c r="U1437" s="3000">
        <v>17260</v>
      </c>
      <c r="V1437" s="3000">
        <v>105</v>
      </c>
    </row>
    <row r="1438" spans="4:22" ht="14.25" thickBot="1">
      <c r="D1438" s="2915">
        <v>1434</v>
      </c>
      <c r="E1438" s="2915"/>
      <c r="F1438" s="2914" t="s">
        <v>4545</v>
      </c>
      <c r="G1438" s="2915">
        <v>54.3</v>
      </c>
      <c r="H1438" s="2915">
        <f t="shared" si="23"/>
        <v>9.5299999999999994</v>
      </c>
      <c r="Q1438" s="3004">
        <v>1434</v>
      </c>
      <c r="R1438" s="2999" t="s">
        <v>6037</v>
      </c>
      <c r="S1438" s="3000">
        <v>54.3</v>
      </c>
      <c r="T1438" s="3000">
        <v>1</v>
      </c>
      <c r="U1438" s="3000">
        <v>17260</v>
      </c>
      <c r="V1438" s="3000">
        <v>94</v>
      </c>
    </row>
    <row r="1439" spans="4:22" ht="14.25" thickBot="1">
      <c r="D1439" s="2915">
        <v>1435</v>
      </c>
      <c r="E1439" s="2915"/>
      <c r="F1439" s="2914" t="s">
        <v>4546</v>
      </c>
      <c r="G1439" s="2915">
        <v>60.68</v>
      </c>
      <c r="H1439" s="2915">
        <f t="shared" si="23"/>
        <v>10.65</v>
      </c>
      <c r="Q1439" s="3004">
        <v>1435</v>
      </c>
      <c r="R1439" s="2999" t="s">
        <v>6038</v>
      </c>
      <c r="S1439" s="3000">
        <v>60.68</v>
      </c>
      <c r="T1439" s="3000">
        <v>1</v>
      </c>
      <c r="U1439" s="3000">
        <v>17260</v>
      </c>
      <c r="V1439" s="3000">
        <v>105</v>
      </c>
    </row>
    <row r="1440" spans="4:22" ht="14.25" thickBot="1">
      <c r="D1440" s="2915">
        <v>1436</v>
      </c>
      <c r="E1440" s="2915"/>
      <c r="F1440" s="2914" t="s">
        <v>4547</v>
      </c>
      <c r="G1440" s="2915">
        <v>80.459999999999994</v>
      </c>
      <c r="H1440" s="2915">
        <f t="shared" si="23"/>
        <v>14.13</v>
      </c>
      <c r="Q1440" s="3004">
        <v>1436</v>
      </c>
      <c r="R1440" s="2999" t="s">
        <v>6039</v>
      </c>
      <c r="S1440" s="3000">
        <v>80.459999999999994</v>
      </c>
      <c r="T1440" s="3000">
        <v>1</v>
      </c>
      <c r="U1440" s="3000">
        <v>17260</v>
      </c>
      <c r="V1440" s="3000">
        <v>139</v>
      </c>
    </row>
    <row r="1441" spans="4:22" ht="14.25" thickBot="1">
      <c r="D1441" s="2915">
        <v>1437</v>
      </c>
      <c r="E1441" s="2915"/>
      <c r="F1441" s="2914" t="s">
        <v>4548</v>
      </c>
      <c r="G1441" s="2915">
        <v>80.45</v>
      </c>
      <c r="H1441" s="2915">
        <f t="shared" si="23"/>
        <v>14.13</v>
      </c>
      <c r="Q1441" s="3004">
        <v>1437</v>
      </c>
      <c r="R1441" s="2999" t="s">
        <v>6040</v>
      </c>
      <c r="S1441" s="3000">
        <v>80.45</v>
      </c>
      <c r="T1441" s="3000">
        <v>1</v>
      </c>
      <c r="U1441" s="3000">
        <v>17260</v>
      </c>
      <c r="V1441" s="3000">
        <v>139</v>
      </c>
    </row>
    <row r="1442" spans="4:22" ht="14.25" thickBot="1">
      <c r="D1442" s="2915">
        <v>1438</v>
      </c>
      <c r="E1442" s="2915"/>
      <c r="F1442" s="2914" t="s">
        <v>4549</v>
      </c>
      <c r="G1442" s="2915">
        <v>60.69</v>
      </c>
      <c r="H1442" s="2915">
        <f t="shared" si="23"/>
        <v>10.66</v>
      </c>
      <c r="Q1442" s="3004">
        <v>1438</v>
      </c>
      <c r="R1442" s="2999" t="s">
        <v>6041</v>
      </c>
      <c r="S1442" s="3000">
        <v>60.69</v>
      </c>
      <c r="T1442" s="3000">
        <v>1</v>
      </c>
      <c r="U1442" s="3000">
        <v>17260</v>
      </c>
      <c r="V1442" s="3000">
        <v>105</v>
      </c>
    </row>
    <row r="1443" spans="4:22" ht="14.25" thickBot="1">
      <c r="D1443" s="2915">
        <v>1439</v>
      </c>
      <c r="E1443" s="2915"/>
      <c r="F1443" s="2914" t="s">
        <v>4550</v>
      </c>
      <c r="G1443" s="2915">
        <v>60.69</v>
      </c>
      <c r="H1443" s="2915">
        <f t="shared" si="23"/>
        <v>10.66</v>
      </c>
      <c r="Q1443" s="3004">
        <v>1439</v>
      </c>
      <c r="R1443" s="2999" t="s">
        <v>6042</v>
      </c>
      <c r="S1443" s="3000">
        <v>60.69</v>
      </c>
      <c r="T1443" s="3000">
        <v>1</v>
      </c>
      <c r="U1443" s="3000">
        <v>17260</v>
      </c>
      <c r="V1443" s="3000">
        <v>105</v>
      </c>
    </row>
    <row r="1444" spans="4:22" ht="14.25" thickBot="1">
      <c r="D1444" s="2915">
        <v>1440</v>
      </c>
      <c r="E1444" s="2915"/>
      <c r="F1444" s="2914" t="s">
        <v>4551</v>
      </c>
      <c r="G1444" s="2915">
        <v>60.68</v>
      </c>
      <c r="H1444" s="2915">
        <f t="shared" si="23"/>
        <v>10.65</v>
      </c>
      <c r="Q1444" s="3004">
        <v>1440</v>
      </c>
      <c r="R1444" s="2999" t="s">
        <v>6043</v>
      </c>
      <c r="S1444" s="3000">
        <v>60.68</v>
      </c>
      <c r="T1444" s="3000">
        <v>1</v>
      </c>
      <c r="U1444" s="3000">
        <v>17260</v>
      </c>
      <c r="V1444" s="3000">
        <v>105</v>
      </c>
    </row>
    <row r="1445" spans="4:22" ht="14.25" thickBot="1">
      <c r="D1445" s="2915">
        <v>1441</v>
      </c>
      <c r="E1445" s="2915"/>
      <c r="F1445" s="2914" t="s">
        <v>4552</v>
      </c>
      <c r="G1445" s="2915">
        <v>60.69</v>
      </c>
      <c r="H1445" s="2915">
        <f t="shared" si="23"/>
        <v>10.66</v>
      </c>
      <c r="Q1445" s="3004">
        <v>1441</v>
      </c>
      <c r="R1445" s="2999" t="s">
        <v>6044</v>
      </c>
      <c r="S1445" s="3000">
        <v>60.69</v>
      </c>
      <c r="T1445" s="3000">
        <v>1</v>
      </c>
      <c r="U1445" s="3000">
        <v>17260</v>
      </c>
      <c r="V1445" s="3000">
        <v>105</v>
      </c>
    </row>
    <row r="1446" spans="4:22" ht="14.25" thickBot="1">
      <c r="D1446" s="2915">
        <v>1442</v>
      </c>
      <c r="E1446" s="2915"/>
      <c r="F1446" s="2914" t="s">
        <v>4553</v>
      </c>
      <c r="G1446" s="2915">
        <v>60.69</v>
      </c>
      <c r="H1446" s="2915">
        <f t="shared" si="23"/>
        <v>10.66</v>
      </c>
      <c r="Q1446" s="3004">
        <v>1442</v>
      </c>
      <c r="R1446" s="2999" t="s">
        <v>6045</v>
      </c>
      <c r="S1446" s="3000">
        <v>60.69</v>
      </c>
      <c r="T1446" s="3000">
        <v>1</v>
      </c>
      <c r="U1446" s="3000">
        <v>17260</v>
      </c>
      <c r="V1446" s="3000">
        <v>105</v>
      </c>
    </row>
    <row r="1447" spans="4:22" ht="14.25" thickBot="1">
      <c r="D1447" s="2915">
        <v>1443</v>
      </c>
      <c r="E1447" s="2915"/>
      <c r="F1447" s="2914" t="s">
        <v>4554</v>
      </c>
      <c r="G1447" s="2915">
        <v>60.69</v>
      </c>
      <c r="H1447" s="2915">
        <f t="shared" si="23"/>
        <v>10.66</v>
      </c>
      <c r="Q1447" s="3004">
        <v>1443</v>
      </c>
      <c r="R1447" s="2999" t="s">
        <v>6046</v>
      </c>
      <c r="S1447" s="3000">
        <v>60.69</v>
      </c>
      <c r="T1447" s="3000">
        <v>1</v>
      </c>
      <c r="U1447" s="3000">
        <v>17260</v>
      </c>
      <c r="V1447" s="3000">
        <v>105</v>
      </c>
    </row>
    <row r="1448" spans="4:22" ht="14.25" thickBot="1">
      <c r="D1448" s="2915">
        <v>1444</v>
      </c>
      <c r="E1448" s="2915"/>
      <c r="F1448" s="2914" t="s">
        <v>4555</v>
      </c>
      <c r="G1448" s="2915">
        <v>60.69</v>
      </c>
      <c r="H1448" s="2915">
        <f t="shared" si="23"/>
        <v>10.66</v>
      </c>
      <c r="Q1448" s="3004">
        <v>1444</v>
      </c>
      <c r="R1448" s="2999" t="s">
        <v>6047</v>
      </c>
      <c r="S1448" s="3000">
        <v>60.69</v>
      </c>
      <c r="T1448" s="3000">
        <v>1</v>
      </c>
      <c r="U1448" s="3000">
        <v>17260</v>
      </c>
      <c r="V1448" s="3000">
        <v>105</v>
      </c>
    </row>
    <row r="1449" spans="4:22" ht="14.25" thickBot="1">
      <c r="D1449" s="2915">
        <v>1445</v>
      </c>
      <c r="E1449" s="2915"/>
      <c r="F1449" s="2914" t="s">
        <v>4556</v>
      </c>
      <c r="G1449" s="2915">
        <v>60.69</v>
      </c>
      <c r="H1449" s="2915">
        <f t="shared" si="23"/>
        <v>10.66</v>
      </c>
      <c r="Q1449" s="3004">
        <v>1445</v>
      </c>
      <c r="R1449" s="2999" t="s">
        <v>6048</v>
      </c>
      <c r="S1449" s="3000">
        <v>60.69</v>
      </c>
      <c r="T1449" s="3000">
        <v>1</v>
      </c>
      <c r="U1449" s="3000">
        <v>17260</v>
      </c>
      <c r="V1449" s="3000">
        <v>105</v>
      </c>
    </row>
    <row r="1450" spans="4:22" ht="14.25" thickBot="1">
      <c r="D1450" s="2915">
        <v>1446</v>
      </c>
      <c r="E1450" s="2915"/>
      <c r="F1450" s="2914" t="s">
        <v>4557</v>
      </c>
      <c r="G1450" s="2915">
        <v>60.69</v>
      </c>
      <c r="H1450" s="2915">
        <f t="shared" si="23"/>
        <v>10.66</v>
      </c>
      <c r="Q1450" s="3004">
        <v>1446</v>
      </c>
      <c r="R1450" s="2999" t="s">
        <v>6049</v>
      </c>
      <c r="S1450" s="3000">
        <v>60.69</v>
      </c>
      <c r="T1450" s="3000">
        <v>1</v>
      </c>
      <c r="U1450" s="3000">
        <v>17260</v>
      </c>
      <c r="V1450" s="3000">
        <v>105</v>
      </c>
    </row>
    <row r="1451" spans="4:22" ht="14.25" thickBot="1">
      <c r="D1451" s="2915">
        <v>1447</v>
      </c>
      <c r="E1451" s="2915"/>
      <c r="F1451" s="2914" t="s">
        <v>4558</v>
      </c>
      <c r="G1451" s="2915">
        <v>60.69</v>
      </c>
      <c r="H1451" s="2915">
        <f t="shared" si="23"/>
        <v>10.66</v>
      </c>
      <c r="Q1451" s="3004">
        <v>1447</v>
      </c>
      <c r="R1451" s="2999" t="s">
        <v>6050</v>
      </c>
      <c r="S1451" s="3000">
        <v>60.69</v>
      </c>
      <c r="T1451" s="3000">
        <v>1</v>
      </c>
      <c r="U1451" s="3000">
        <v>17260</v>
      </c>
      <c r="V1451" s="3000">
        <v>105</v>
      </c>
    </row>
    <row r="1452" spans="4:22" ht="14.25" thickBot="1">
      <c r="D1452" s="2915">
        <v>1448</v>
      </c>
      <c r="E1452" s="2915"/>
      <c r="F1452" s="2914" t="s">
        <v>4559</v>
      </c>
      <c r="G1452" s="2915">
        <v>60.69</v>
      </c>
      <c r="H1452" s="2915">
        <f t="shared" si="23"/>
        <v>10.66</v>
      </c>
      <c r="Q1452" s="3004">
        <v>1448</v>
      </c>
      <c r="R1452" s="2999" t="s">
        <v>6051</v>
      </c>
      <c r="S1452" s="3000">
        <v>60.69</v>
      </c>
      <c r="T1452" s="3000">
        <v>1</v>
      </c>
      <c r="U1452" s="3000">
        <v>17260</v>
      </c>
      <c r="V1452" s="3000">
        <v>105</v>
      </c>
    </row>
    <row r="1453" spans="4:22" ht="14.25" thickBot="1">
      <c r="D1453" s="2915">
        <v>1449</v>
      </c>
      <c r="E1453" s="2915"/>
      <c r="F1453" s="2914" t="s">
        <v>4560</v>
      </c>
      <c r="G1453" s="2915">
        <v>104.53</v>
      </c>
      <c r="H1453" s="2915">
        <f t="shared" si="23"/>
        <v>18.350000000000001</v>
      </c>
      <c r="Q1453" s="3004">
        <v>1449</v>
      </c>
      <c r="R1453" s="2999" t="s">
        <v>6052</v>
      </c>
      <c r="S1453" s="3000">
        <v>104.53</v>
      </c>
      <c r="T1453" s="3000">
        <v>0.99</v>
      </c>
      <c r="U1453" s="3000">
        <v>17087</v>
      </c>
      <c r="V1453" s="3000">
        <v>179</v>
      </c>
    </row>
    <row r="1454" spans="4:22" ht="14.25" thickBot="1">
      <c r="D1454" s="2915">
        <v>1450</v>
      </c>
      <c r="E1454" s="2915"/>
      <c r="F1454" s="2914" t="s">
        <v>4561</v>
      </c>
      <c r="G1454" s="2915">
        <v>55.78</v>
      </c>
      <c r="H1454" s="2915">
        <f t="shared" si="23"/>
        <v>9.7899999999999991</v>
      </c>
      <c r="Q1454" s="3004">
        <v>1450</v>
      </c>
      <c r="R1454" s="2999" t="s">
        <v>6053</v>
      </c>
      <c r="S1454" s="3000">
        <v>55.78</v>
      </c>
      <c r="T1454" s="3000">
        <v>1</v>
      </c>
      <c r="U1454" s="3000">
        <v>17260</v>
      </c>
      <c r="V1454" s="3000">
        <v>96</v>
      </c>
    </row>
    <row r="1455" spans="4:22" ht="14.25" thickBot="1">
      <c r="D1455" s="2915">
        <v>1451</v>
      </c>
      <c r="E1455" s="2915"/>
      <c r="F1455" s="2914" t="s">
        <v>4562</v>
      </c>
      <c r="G1455" s="2915">
        <v>48.86</v>
      </c>
      <c r="H1455" s="2915">
        <f t="shared" si="23"/>
        <v>8.58</v>
      </c>
      <c r="Q1455" s="3004">
        <v>1451</v>
      </c>
      <c r="R1455" s="2999" t="s">
        <v>6054</v>
      </c>
      <c r="S1455" s="3000">
        <v>48.86</v>
      </c>
      <c r="T1455" s="3000">
        <v>1</v>
      </c>
      <c r="U1455" s="3000">
        <v>17260</v>
      </c>
      <c r="V1455" s="3000">
        <v>84</v>
      </c>
    </row>
    <row r="1456" spans="4:22" ht="14.25" thickBot="1">
      <c r="D1456" s="2915">
        <v>1452</v>
      </c>
      <c r="E1456" s="2915"/>
      <c r="F1456" s="2914" t="s">
        <v>4563</v>
      </c>
      <c r="G1456" s="2915">
        <v>48.86</v>
      </c>
      <c r="H1456" s="2915">
        <f t="shared" si="23"/>
        <v>8.58</v>
      </c>
      <c r="Q1456" s="3004">
        <v>1452</v>
      </c>
      <c r="R1456" s="2999" t="s">
        <v>6055</v>
      </c>
      <c r="S1456" s="3000">
        <v>48.86</v>
      </c>
      <c r="T1456" s="3000">
        <v>1</v>
      </c>
      <c r="U1456" s="3000">
        <v>17260</v>
      </c>
      <c r="V1456" s="3000">
        <v>84</v>
      </c>
    </row>
    <row r="1457" spans="4:22" ht="14.25" thickBot="1">
      <c r="D1457" s="2915">
        <v>1453</v>
      </c>
      <c r="E1457" s="2915"/>
      <c r="F1457" s="2914" t="s">
        <v>4564</v>
      </c>
      <c r="G1457" s="2915">
        <v>48.86</v>
      </c>
      <c r="H1457" s="2915">
        <f t="shared" si="23"/>
        <v>8.58</v>
      </c>
      <c r="Q1457" s="3004">
        <v>1453</v>
      </c>
      <c r="R1457" s="2999" t="s">
        <v>6056</v>
      </c>
      <c r="S1457" s="3000">
        <v>48.86</v>
      </c>
      <c r="T1457" s="3000">
        <v>1</v>
      </c>
      <c r="U1457" s="3000">
        <v>17260</v>
      </c>
      <c r="V1457" s="3000">
        <v>84</v>
      </c>
    </row>
    <row r="1458" spans="4:22" ht="14.25" thickBot="1">
      <c r="D1458" s="2915">
        <v>1454</v>
      </c>
      <c r="E1458" s="2915"/>
      <c r="F1458" s="2914" t="s">
        <v>4565</v>
      </c>
      <c r="G1458" s="2915">
        <v>54.5</v>
      </c>
      <c r="H1458" s="2915">
        <f t="shared" si="23"/>
        <v>9.57</v>
      </c>
      <c r="Q1458" s="3004">
        <v>1454</v>
      </c>
      <c r="R1458" s="2999" t="s">
        <v>6057</v>
      </c>
      <c r="S1458" s="3000">
        <v>54.5</v>
      </c>
      <c r="T1458" s="3000">
        <v>1</v>
      </c>
      <c r="U1458" s="3000">
        <v>17260</v>
      </c>
      <c r="V1458" s="3000">
        <v>94</v>
      </c>
    </row>
    <row r="1459" spans="4:22" ht="14.25" thickBot="1">
      <c r="D1459" s="2915">
        <v>1455</v>
      </c>
      <c r="E1459" s="2915"/>
      <c r="F1459" s="2914" t="s">
        <v>4566</v>
      </c>
      <c r="G1459" s="2915">
        <v>64.58</v>
      </c>
      <c r="H1459" s="2915">
        <f t="shared" si="23"/>
        <v>11.34</v>
      </c>
      <c r="Q1459" s="3004">
        <v>1455</v>
      </c>
      <c r="R1459" s="2999" t="s">
        <v>6058</v>
      </c>
      <c r="S1459" s="3000">
        <v>64.58</v>
      </c>
      <c r="T1459" s="3000">
        <v>1</v>
      </c>
      <c r="U1459" s="3000">
        <v>17260</v>
      </c>
      <c r="V1459" s="3000">
        <v>111</v>
      </c>
    </row>
    <row r="1460" spans="4:22" ht="14.25" thickBot="1">
      <c r="D1460" s="2915">
        <v>1456</v>
      </c>
      <c r="E1460" s="2915"/>
      <c r="F1460" s="2914" t="s">
        <v>4567</v>
      </c>
      <c r="G1460" s="2915">
        <v>45.32</v>
      </c>
      <c r="H1460" s="2915">
        <f t="shared" si="23"/>
        <v>7.96</v>
      </c>
      <c r="Q1460" s="3004">
        <v>1456</v>
      </c>
      <c r="R1460" s="2999" t="s">
        <v>6059</v>
      </c>
      <c r="S1460" s="3000">
        <v>45.32</v>
      </c>
      <c r="T1460" s="3000">
        <v>1</v>
      </c>
      <c r="U1460" s="3000">
        <v>17260</v>
      </c>
      <c r="V1460" s="3000">
        <v>78</v>
      </c>
    </row>
    <row r="1461" spans="4:22" ht="14.25" thickBot="1">
      <c r="D1461" s="2915">
        <v>1457</v>
      </c>
      <c r="E1461" s="2915"/>
      <c r="F1461" s="2914" t="s">
        <v>4568</v>
      </c>
      <c r="G1461" s="2915">
        <v>45.2</v>
      </c>
      <c r="H1461" s="2915">
        <f t="shared" si="23"/>
        <v>7.94</v>
      </c>
      <c r="Q1461" s="3004">
        <v>1457</v>
      </c>
      <c r="R1461" s="2999" t="s">
        <v>6060</v>
      </c>
      <c r="S1461" s="3000">
        <v>45.2</v>
      </c>
      <c r="T1461" s="3000">
        <v>1</v>
      </c>
      <c r="U1461" s="3000">
        <v>17260</v>
      </c>
      <c r="V1461" s="3000">
        <v>78</v>
      </c>
    </row>
    <row r="1462" spans="4:22" ht="14.25" thickBot="1">
      <c r="D1462" s="2915">
        <v>1458</v>
      </c>
      <c r="E1462" s="2915"/>
      <c r="F1462" s="2914" t="s">
        <v>4569</v>
      </c>
      <c r="G1462" s="2915">
        <v>45.32</v>
      </c>
      <c r="H1462" s="2915">
        <f t="shared" si="23"/>
        <v>7.96</v>
      </c>
      <c r="Q1462" s="3004">
        <v>1458</v>
      </c>
      <c r="R1462" s="2999" t="s">
        <v>6061</v>
      </c>
      <c r="S1462" s="3000">
        <v>45.32</v>
      </c>
      <c r="T1462" s="3000">
        <v>1</v>
      </c>
      <c r="U1462" s="3000">
        <v>17260</v>
      </c>
      <c r="V1462" s="3000">
        <v>78</v>
      </c>
    </row>
    <row r="1463" spans="4:22" ht="14.25" thickBot="1">
      <c r="D1463" s="2915">
        <v>1459</v>
      </c>
      <c r="E1463" s="2915"/>
      <c r="F1463" s="2914" t="s">
        <v>4570</v>
      </c>
      <c r="G1463" s="2915">
        <v>45.32</v>
      </c>
      <c r="H1463" s="2915">
        <f t="shared" si="23"/>
        <v>7.96</v>
      </c>
      <c r="Q1463" s="3004">
        <v>1459</v>
      </c>
      <c r="R1463" s="2999" t="s">
        <v>6062</v>
      </c>
      <c r="S1463" s="3000">
        <v>45.32</v>
      </c>
      <c r="T1463" s="3000">
        <v>1</v>
      </c>
      <c r="U1463" s="3000">
        <v>17260</v>
      </c>
      <c r="V1463" s="3000">
        <v>78</v>
      </c>
    </row>
    <row r="1464" spans="4:22" ht="14.25" thickBot="1">
      <c r="D1464" s="2915">
        <v>1460</v>
      </c>
      <c r="E1464" s="2915"/>
      <c r="F1464" s="2914" t="s">
        <v>4571</v>
      </c>
      <c r="G1464" s="2915">
        <v>48.86</v>
      </c>
      <c r="H1464" s="2915">
        <f t="shared" si="23"/>
        <v>8.58</v>
      </c>
      <c r="Q1464" s="3004">
        <v>1460</v>
      </c>
      <c r="R1464" s="2999" t="s">
        <v>6063</v>
      </c>
      <c r="S1464" s="3000">
        <v>48.86</v>
      </c>
      <c r="T1464" s="3000">
        <v>1</v>
      </c>
      <c r="U1464" s="3000">
        <v>17260</v>
      </c>
      <c r="V1464" s="3000">
        <v>84</v>
      </c>
    </row>
    <row r="1465" spans="4:22" ht="14.25" thickBot="1">
      <c r="D1465" s="2915">
        <v>1461</v>
      </c>
      <c r="E1465" s="2915"/>
      <c r="F1465" s="2914" t="s">
        <v>4572</v>
      </c>
      <c r="G1465" s="2915">
        <v>44.51</v>
      </c>
      <c r="H1465" s="2915">
        <f t="shared" si="23"/>
        <v>7.82</v>
      </c>
      <c r="Q1465" s="3004">
        <v>1461</v>
      </c>
      <c r="R1465" s="2999" t="s">
        <v>6064</v>
      </c>
      <c r="S1465" s="3000">
        <v>44.51</v>
      </c>
      <c r="T1465" s="3000">
        <v>1</v>
      </c>
      <c r="U1465" s="3000">
        <v>17260</v>
      </c>
      <c r="V1465" s="3000">
        <v>77</v>
      </c>
    </row>
    <row r="1466" spans="4:22" ht="14.25" thickBot="1">
      <c r="D1466" s="2915">
        <v>1462</v>
      </c>
      <c r="E1466" s="2915"/>
      <c r="F1466" s="2914" t="s">
        <v>4573</v>
      </c>
      <c r="G1466" s="2915">
        <v>54.67</v>
      </c>
      <c r="H1466" s="2915">
        <f t="shared" si="23"/>
        <v>9.6</v>
      </c>
      <c r="Q1466" s="3004">
        <v>1462</v>
      </c>
      <c r="R1466" s="2999" t="s">
        <v>6065</v>
      </c>
      <c r="S1466" s="3000">
        <v>54.67</v>
      </c>
      <c r="T1466" s="3000">
        <v>1</v>
      </c>
      <c r="U1466" s="3000">
        <v>17260</v>
      </c>
      <c r="V1466" s="3000">
        <v>94</v>
      </c>
    </row>
    <row r="1467" spans="4:22" ht="14.25" thickBot="1">
      <c r="D1467" s="2915">
        <v>1463</v>
      </c>
      <c r="E1467" s="2915"/>
      <c r="F1467" s="2914" t="s">
        <v>4574</v>
      </c>
      <c r="G1467" s="2915">
        <v>48.86</v>
      </c>
      <c r="H1467" s="2915">
        <f t="shared" si="23"/>
        <v>8.58</v>
      </c>
      <c r="Q1467" s="3004">
        <v>1463</v>
      </c>
      <c r="R1467" s="2999" t="s">
        <v>6066</v>
      </c>
      <c r="S1467" s="3000">
        <v>48.86</v>
      </c>
      <c r="T1467" s="3000">
        <v>1</v>
      </c>
      <c r="U1467" s="3000">
        <v>17260</v>
      </c>
      <c r="V1467" s="3000">
        <v>84</v>
      </c>
    </row>
    <row r="1468" spans="4:22" ht="14.25" thickBot="1">
      <c r="D1468" s="2915">
        <v>1464</v>
      </c>
      <c r="E1468" s="2915"/>
      <c r="F1468" s="2914" t="s">
        <v>4575</v>
      </c>
      <c r="G1468" s="2915">
        <v>48.86</v>
      </c>
      <c r="H1468" s="2915">
        <f t="shared" si="23"/>
        <v>8.58</v>
      </c>
      <c r="Q1468" s="3004">
        <v>1464</v>
      </c>
      <c r="R1468" s="2999" t="s">
        <v>6067</v>
      </c>
      <c r="S1468" s="3000">
        <v>48.86</v>
      </c>
      <c r="T1468" s="3000">
        <v>1</v>
      </c>
      <c r="U1468" s="3000">
        <v>17260</v>
      </c>
      <c r="V1468" s="3000">
        <v>84</v>
      </c>
    </row>
    <row r="1469" spans="4:22" ht="14.25" thickBot="1">
      <c r="D1469" s="2915">
        <v>1465</v>
      </c>
      <c r="E1469" s="2915"/>
      <c r="F1469" s="2914" t="s">
        <v>4576</v>
      </c>
      <c r="G1469" s="2915">
        <v>48.86</v>
      </c>
      <c r="H1469" s="2915">
        <f t="shared" si="23"/>
        <v>8.58</v>
      </c>
      <c r="Q1469" s="3004">
        <v>1465</v>
      </c>
      <c r="R1469" s="2999" t="s">
        <v>6068</v>
      </c>
      <c r="S1469" s="3000">
        <v>48.86</v>
      </c>
      <c r="T1469" s="3000">
        <v>1</v>
      </c>
      <c r="U1469" s="3000">
        <v>17260</v>
      </c>
      <c r="V1469" s="3000">
        <v>84</v>
      </c>
    </row>
    <row r="1470" spans="4:22" ht="14.25" thickBot="1">
      <c r="D1470" s="2915">
        <v>1466</v>
      </c>
      <c r="E1470" s="2915"/>
      <c r="F1470" s="2914" t="s">
        <v>4577</v>
      </c>
      <c r="G1470" s="2915">
        <v>54.87</v>
      </c>
      <c r="H1470" s="2915">
        <f t="shared" si="23"/>
        <v>9.6300000000000008</v>
      </c>
      <c r="Q1470" s="3004">
        <v>1466</v>
      </c>
      <c r="R1470" s="2999" t="s">
        <v>6069</v>
      </c>
      <c r="S1470" s="3000">
        <v>54.87</v>
      </c>
      <c r="T1470" s="3000">
        <v>1</v>
      </c>
      <c r="U1470" s="3000">
        <v>17260</v>
      </c>
      <c r="V1470" s="3000">
        <v>95</v>
      </c>
    </row>
    <row r="1471" spans="4:22" ht="14.25" thickBot="1">
      <c r="D1471" s="2915">
        <v>1467</v>
      </c>
      <c r="E1471" s="2915"/>
      <c r="F1471" s="2914" t="s">
        <v>4578</v>
      </c>
      <c r="G1471" s="2915">
        <v>88.13</v>
      </c>
      <c r="H1471" s="2915">
        <f t="shared" si="23"/>
        <v>15.47</v>
      </c>
      <c r="Q1471" s="3004">
        <v>1467</v>
      </c>
      <c r="R1471" s="2999" t="s">
        <v>6070</v>
      </c>
      <c r="S1471" s="3000">
        <v>88.13</v>
      </c>
      <c r="T1471" s="3000">
        <v>1</v>
      </c>
      <c r="U1471" s="3000">
        <v>17260</v>
      </c>
      <c r="V1471" s="3000">
        <v>152</v>
      </c>
    </row>
    <row r="1472" spans="4:22" ht="14.25" thickBot="1">
      <c r="D1472" s="2915">
        <v>1468</v>
      </c>
      <c r="E1472" s="2915"/>
      <c r="F1472" s="2914" t="s">
        <v>4579</v>
      </c>
      <c r="G1472" s="2915">
        <v>185.75</v>
      </c>
      <c r="H1472" s="2915">
        <f t="shared" si="23"/>
        <v>32.619999999999997</v>
      </c>
      <c r="Q1472" s="3004">
        <v>1468</v>
      </c>
      <c r="R1472" s="2999" t="s">
        <v>6071</v>
      </c>
      <c r="S1472" s="3000">
        <v>185.75</v>
      </c>
      <c r="T1472" s="3000">
        <v>0.99</v>
      </c>
      <c r="U1472" s="3000">
        <v>17087</v>
      </c>
      <c r="V1472" s="3000">
        <v>317</v>
      </c>
    </row>
    <row r="1473" spans="4:22" ht="14.25" thickBot="1">
      <c r="D1473" s="2915">
        <v>1469</v>
      </c>
      <c r="E1473" s="2915"/>
      <c r="F1473" s="2914" t="s">
        <v>4580</v>
      </c>
      <c r="G1473" s="2915">
        <v>188.39</v>
      </c>
      <c r="H1473" s="2915">
        <f t="shared" si="23"/>
        <v>33.08</v>
      </c>
      <c r="Q1473" s="3004">
        <v>1469</v>
      </c>
      <c r="R1473" s="2999" t="s">
        <v>6072</v>
      </c>
      <c r="S1473" s="3000">
        <v>188.39</v>
      </c>
      <c r="T1473" s="3000">
        <v>0.99</v>
      </c>
      <c r="U1473" s="3000">
        <v>17087</v>
      </c>
      <c r="V1473" s="3000">
        <v>322</v>
      </c>
    </row>
    <row r="1474" spans="4:22" ht="14.25" thickBot="1">
      <c r="D1474" s="2915">
        <v>1470</v>
      </c>
      <c r="E1474" s="2915"/>
      <c r="F1474" s="2914" t="s">
        <v>4581</v>
      </c>
      <c r="G1474" s="2915">
        <v>188.39</v>
      </c>
      <c r="H1474" s="2915">
        <f t="shared" si="23"/>
        <v>33.08</v>
      </c>
      <c r="Q1474" s="3004">
        <v>1470</v>
      </c>
      <c r="R1474" s="2999" t="s">
        <v>6073</v>
      </c>
      <c r="S1474" s="3000">
        <v>188.39</v>
      </c>
      <c r="T1474" s="3000">
        <v>0.99</v>
      </c>
      <c r="U1474" s="3000">
        <v>17087</v>
      </c>
      <c r="V1474" s="3000">
        <v>322</v>
      </c>
    </row>
    <row r="1475" spans="4:22" ht="14.25" thickBot="1">
      <c r="D1475" s="2915">
        <v>1471</v>
      </c>
      <c r="E1475" s="2915"/>
      <c r="F1475" s="2914" t="s">
        <v>4582</v>
      </c>
      <c r="G1475" s="2915">
        <v>188.39</v>
      </c>
      <c r="H1475" s="2915">
        <f t="shared" si="23"/>
        <v>33.08</v>
      </c>
      <c r="Q1475" s="3004">
        <v>1471</v>
      </c>
      <c r="R1475" s="2999" t="s">
        <v>6074</v>
      </c>
      <c r="S1475" s="3000">
        <v>188.39</v>
      </c>
      <c r="T1475" s="3000">
        <v>0.99</v>
      </c>
      <c r="U1475" s="3000">
        <v>17087</v>
      </c>
      <c r="V1475" s="3000">
        <v>322</v>
      </c>
    </row>
    <row r="1476" spans="4:22" ht="14.25" thickBot="1">
      <c r="D1476" s="2915">
        <v>1472</v>
      </c>
      <c r="E1476" s="2915"/>
      <c r="F1476" s="2914" t="s">
        <v>4583</v>
      </c>
      <c r="G1476" s="2915">
        <v>188.39</v>
      </c>
      <c r="H1476" s="2915">
        <f t="shared" si="23"/>
        <v>33.08</v>
      </c>
      <c r="Q1476" s="3004">
        <v>1472</v>
      </c>
      <c r="R1476" s="2999" t="s">
        <v>6075</v>
      </c>
      <c r="S1476" s="3000">
        <v>188.39</v>
      </c>
      <c r="T1476" s="3000">
        <v>0.99</v>
      </c>
      <c r="U1476" s="3000">
        <v>17087</v>
      </c>
      <c r="V1476" s="3000">
        <v>322</v>
      </c>
    </row>
    <row r="1477" spans="4:22" ht="14.25" thickBot="1">
      <c r="D1477" s="2915">
        <v>1473</v>
      </c>
      <c r="E1477" s="2915"/>
      <c r="F1477" s="2914" t="s">
        <v>4584</v>
      </c>
      <c r="G1477" s="2915">
        <v>188.39</v>
      </c>
      <c r="H1477" s="2915">
        <f t="shared" si="23"/>
        <v>33.08</v>
      </c>
      <c r="Q1477" s="3004">
        <v>1473</v>
      </c>
      <c r="R1477" s="2999" t="s">
        <v>6076</v>
      </c>
      <c r="S1477" s="3000">
        <v>188.39</v>
      </c>
      <c r="T1477" s="3000">
        <v>0.99</v>
      </c>
      <c r="U1477" s="3000">
        <v>17087</v>
      </c>
      <c r="V1477" s="3000">
        <v>322</v>
      </c>
    </row>
    <row r="1478" spans="4:22" ht="14.25" thickBot="1">
      <c r="D1478" s="2915">
        <v>1474</v>
      </c>
      <c r="E1478" s="2915"/>
      <c r="F1478" s="2914" t="s">
        <v>4585</v>
      </c>
      <c r="G1478" s="2915">
        <v>187.51</v>
      </c>
      <c r="H1478" s="2915">
        <f t="shared" ref="H1478:H1541" si="24">ROUND(G1478/$N$7*$M$7,2)</f>
        <v>32.93</v>
      </c>
      <c r="Q1478" s="3004">
        <v>1474</v>
      </c>
      <c r="R1478" s="2999" t="s">
        <v>6077</v>
      </c>
      <c r="S1478" s="3000">
        <v>187.51</v>
      </c>
      <c r="T1478" s="3000">
        <v>0.99</v>
      </c>
      <c r="U1478" s="3000">
        <v>17087</v>
      </c>
      <c r="V1478" s="3000">
        <v>320</v>
      </c>
    </row>
    <row r="1479" spans="4:22" ht="14.25" thickBot="1">
      <c r="D1479" s="2915">
        <v>1475</v>
      </c>
      <c r="E1479" s="2915"/>
      <c r="F1479" s="2914" t="s">
        <v>4586</v>
      </c>
      <c r="G1479" s="2915">
        <v>210.22</v>
      </c>
      <c r="H1479" s="2915">
        <f t="shared" si="24"/>
        <v>36.909999999999997</v>
      </c>
      <c r="Q1479" s="3004">
        <v>1475</v>
      </c>
      <c r="R1479" s="2999" t="s">
        <v>6078</v>
      </c>
      <c r="S1479" s="3000">
        <v>210.22</v>
      </c>
      <c r="T1479" s="3000">
        <v>0.98</v>
      </c>
      <c r="U1479" s="3000">
        <v>16915</v>
      </c>
      <c r="V1479" s="3000">
        <v>356</v>
      </c>
    </row>
    <row r="1480" spans="4:22" ht="14.25" thickBot="1">
      <c r="D1480" s="2915">
        <v>1476</v>
      </c>
      <c r="E1480" s="2915"/>
      <c r="F1480" s="2914" t="s">
        <v>4587</v>
      </c>
      <c r="G1480" s="2915">
        <v>169.2</v>
      </c>
      <c r="H1480" s="2915">
        <f t="shared" si="24"/>
        <v>29.71</v>
      </c>
      <c r="Q1480" s="3004">
        <v>1476</v>
      </c>
      <c r="R1480" s="2999" t="s">
        <v>6079</v>
      </c>
      <c r="S1480" s="3000">
        <v>169.2</v>
      </c>
      <c r="T1480" s="3000">
        <v>0.99</v>
      </c>
      <c r="U1480" s="3000">
        <v>17087</v>
      </c>
      <c r="V1480" s="3000">
        <v>289</v>
      </c>
    </row>
    <row r="1481" spans="4:22" ht="14.25" thickBot="1">
      <c r="D1481" s="2915">
        <v>1477</v>
      </c>
      <c r="E1481" s="2915"/>
      <c r="F1481" s="2914" t="s">
        <v>4588</v>
      </c>
      <c r="G1481" s="2915">
        <v>178.35</v>
      </c>
      <c r="H1481" s="2915">
        <f t="shared" si="24"/>
        <v>31.32</v>
      </c>
      <c r="Q1481" s="3004">
        <v>1477</v>
      </c>
      <c r="R1481" s="2999" t="s">
        <v>6080</v>
      </c>
      <c r="S1481" s="3000">
        <v>178.35</v>
      </c>
      <c r="T1481" s="3000">
        <v>0.99</v>
      </c>
      <c r="U1481" s="3000">
        <v>17087</v>
      </c>
      <c r="V1481" s="3000">
        <v>305</v>
      </c>
    </row>
    <row r="1482" spans="4:22" ht="14.25" thickBot="1">
      <c r="D1482" s="2915">
        <v>1478</v>
      </c>
      <c r="E1482" s="2915"/>
      <c r="F1482" s="2914" t="s">
        <v>4589</v>
      </c>
      <c r="G1482" s="2915">
        <v>125.64</v>
      </c>
      <c r="H1482" s="2915">
        <f t="shared" si="24"/>
        <v>22.06</v>
      </c>
      <c r="Q1482" s="3004">
        <v>1478</v>
      </c>
      <c r="R1482" s="2999" t="s">
        <v>6081</v>
      </c>
      <c r="S1482" s="3000">
        <v>125.64</v>
      </c>
      <c r="T1482" s="3000">
        <v>0.99</v>
      </c>
      <c r="U1482" s="3000">
        <v>17087</v>
      </c>
      <c r="V1482" s="3000">
        <v>215</v>
      </c>
    </row>
    <row r="1483" spans="4:22" ht="14.25" thickBot="1">
      <c r="D1483" s="2915">
        <v>1479</v>
      </c>
      <c r="E1483" s="2915"/>
      <c r="F1483" s="2914" t="s">
        <v>4590</v>
      </c>
      <c r="G1483" s="2915">
        <v>96.87</v>
      </c>
      <c r="H1483" s="2915">
        <f t="shared" si="24"/>
        <v>17.010000000000002</v>
      </c>
      <c r="Q1483" s="3004">
        <v>1479</v>
      </c>
      <c r="R1483" s="2999" t="s">
        <v>6082</v>
      </c>
      <c r="S1483" s="3000">
        <v>96.87</v>
      </c>
      <c r="T1483" s="3000">
        <v>1</v>
      </c>
      <c r="U1483" s="3000">
        <v>17260</v>
      </c>
      <c r="V1483" s="3000">
        <v>167</v>
      </c>
    </row>
    <row r="1484" spans="4:22" ht="14.25" thickBot="1">
      <c r="D1484" s="2915">
        <v>1480</v>
      </c>
      <c r="E1484" s="2915"/>
      <c r="F1484" s="2914" t="s">
        <v>4591</v>
      </c>
      <c r="G1484" s="2915">
        <v>188.39</v>
      </c>
      <c r="H1484" s="2915">
        <f t="shared" si="24"/>
        <v>33.08</v>
      </c>
      <c r="Q1484" s="3004">
        <v>1480</v>
      </c>
      <c r="R1484" s="2999" t="s">
        <v>6083</v>
      </c>
      <c r="S1484" s="3000">
        <v>188.39</v>
      </c>
      <c r="T1484" s="3000">
        <v>0.99</v>
      </c>
      <c r="U1484" s="3000">
        <v>17087</v>
      </c>
      <c r="V1484" s="3000">
        <v>322</v>
      </c>
    </row>
    <row r="1485" spans="4:22" ht="14.25" thickBot="1">
      <c r="D1485" s="2915">
        <v>1481</v>
      </c>
      <c r="E1485" s="2915"/>
      <c r="F1485" s="2914" t="s">
        <v>4592</v>
      </c>
      <c r="G1485" s="2915">
        <v>188.39</v>
      </c>
      <c r="H1485" s="2915">
        <f t="shared" si="24"/>
        <v>33.08</v>
      </c>
      <c r="Q1485" s="3004">
        <v>1481</v>
      </c>
      <c r="R1485" s="2999" t="s">
        <v>6084</v>
      </c>
      <c r="S1485" s="3000">
        <v>188.39</v>
      </c>
      <c r="T1485" s="3000">
        <v>0.99</v>
      </c>
      <c r="U1485" s="3000">
        <v>17087</v>
      </c>
      <c r="V1485" s="3000">
        <v>322</v>
      </c>
    </row>
    <row r="1486" spans="4:22" ht="14.25" thickBot="1">
      <c r="D1486" s="2915">
        <v>1482</v>
      </c>
      <c r="E1486" s="2915"/>
      <c r="F1486" s="2914" t="s">
        <v>4593</v>
      </c>
      <c r="G1486" s="2915">
        <v>188.39</v>
      </c>
      <c r="H1486" s="2915">
        <f t="shared" si="24"/>
        <v>33.08</v>
      </c>
      <c r="Q1486" s="3004">
        <v>1482</v>
      </c>
      <c r="R1486" s="2999" t="s">
        <v>6085</v>
      </c>
      <c r="S1486" s="3000">
        <v>188.39</v>
      </c>
      <c r="T1486" s="3000">
        <v>0.99</v>
      </c>
      <c r="U1486" s="3000">
        <v>17087</v>
      </c>
      <c r="V1486" s="3000">
        <v>322</v>
      </c>
    </row>
    <row r="1487" spans="4:22" ht="14.25" thickBot="1">
      <c r="D1487" s="2915">
        <v>1483</v>
      </c>
      <c r="E1487" s="2915"/>
      <c r="F1487" s="2914" t="s">
        <v>4594</v>
      </c>
      <c r="G1487" s="2915">
        <v>188.39</v>
      </c>
      <c r="H1487" s="2915">
        <f t="shared" si="24"/>
        <v>33.08</v>
      </c>
      <c r="Q1487" s="3004">
        <v>1483</v>
      </c>
      <c r="R1487" s="2999" t="s">
        <v>6086</v>
      </c>
      <c r="S1487" s="3000">
        <v>188.39</v>
      </c>
      <c r="T1487" s="3000">
        <v>0.99</v>
      </c>
      <c r="U1487" s="3000">
        <v>17087</v>
      </c>
      <c r="V1487" s="3000">
        <v>322</v>
      </c>
    </row>
    <row r="1488" spans="4:22" ht="14.25" thickBot="1">
      <c r="D1488" s="2915">
        <v>1484</v>
      </c>
      <c r="E1488" s="2915"/>
      <c r="F1488" s="2914" t="s">
        <v>4595</v>
      </c>
      <c r="G1488" s="2915">
        <v>188.39</v>
      </c>
      <c r="H1488" s="2915">
        <f t="shared" si="24"/>
        <v>33.08</v>
      </c>
      <c r="Q1488" s="3004">
        <v>1484</v>
      </c>
      <c r="R1488" s="2999" t="s">
        <v>6087</v>
      </c>
      <c r="S1488" s="3000">
        <v>188.39</v>
      </c>
      <c r="T1488" s="3000">
        <v>0.99</v>
      </c>
      <c r="U1488" s="3000">
        <v>17087</v>
      </c>
      <c r="V1488" s="3000">
        <v>322</v>
      </c>
    </row>
    <row r="1489" spans="4:22" ht="14.25" thickBot="1">
      <c r="D1489" s="2915">
        <v>1485</v>
      </c>
      <c r="E1489" s="2915"/>
      <c r="F1489" s="2914" t="s">
        <v>4596</v>
      </c>
      <c r="G1489" s="2915">
        <v>279.91000000000003</v>
      </c>
      <c r="H1489" s="2915">
        <f t="shared" si="24"/>
        <v>49.15</v>
      </c>
      <c r="Q1489" s="3004">
        <v>1485</v>
      </c>
      <c r="R1489" s="2999" t="s">
        <v>6088</v>
      </c>
      <c r="S1489" s="3000">
        <v>279.91000000000003</v>
      </c>
      <c r="T1489" s="3000">
        <v>0.98</v>
      </c>
      <c r="U1489" s="3000">
        <v>16915</v>
      </c>
      <c r="V1489" s="3000">
        <v>473</v>
      </c>
    </row>
    <row r="1490" spans="4:22" ht="14.25" thickBot="1">
      <c r="D1490" s="2915">
        <v>1486</v>
      </c>
      <c r="E1490" s="2915"/>
      <c r="F1490" s="2914" t="s">
        <v>4597</v>
      </c>
      <c r="G1490" s="2915">
        <v>175.75</v>
      </c>
      <c r="H1490" s="2915">
        <f t="shared" si="24"/>
        <v>30.86</v>
      </c>
      <c r="Q1490" s="3004">
        <v>1486</v>
      </c>
      <c r="R1490" s="2999" t="s">
        <v>6089</v>
      </c>
      <c r="S1490" s="3000">
        <v>175.75</v>
      </c>
      <c r="T1490" s="3000">
        <v>0.99</v>
      </c>
      <c r="U1490" s="3000">
        <v>17087</v>
      </c>
      <c r="V1490" s="3000">
        <v>300</v>
      </c>
    </row>
    <row r="1491" spans="4:22" ht="14.25" thickBot="1">
      <c r="D1491" s="2915">
        <v>1487</v>
      </c>
      <c r="E1491" s="2915"/>
      <c r="F1491" s="2914" t="s">
        <v>4598</v>
      </c>
      <c r="G1491" s="2915">
        <v>188.32</v>
      </c>
      <c r="H1491" s="2915">
        <f t="shared" si="24"/>
        <v>33.07</v>
      </c>
      <c r="Q1491" s="3004">
        <v>1487</v>
      </c>
      <c r="R1491" s="2999" t="s">
        <v>6090</v>
      </c>
      <c r="S1491" s="3000">
        <v>188.32</v>
      </c>
      <c r="T1491" s="3000">
        <v>0.99</v>
      </c>
      <c r="U1491" s="3000">
        <v>17087</v>
      </c>
      <c r="V1491" s="3000">
        <v>322</v>
      </c>
    </row>
    <row r="1492" spans="4:22" ht="14.25" thickBot="1">
      <c r="D1492" s="2915">
        <v>1488</v>
      </c>
      <c r="E1492" s="2915"/>
      <c r="F1492" s="2914" t="s">
        <v>4599</v>
      </c>
      <c r="G1492" s="2915">
        <v>210.22</v>
      </c>
      <c r="H1492" s="2915">
        <f t="shared" si="24"/>
        <v>36.909999999999997</v>
      </c>
      <c r="Q1492" s="3004">
        <v>1488</v>
      </c>
      <c r="R1492" s="2999" t="s">
        <v>6091</v>
      </c>
      <c r="S1492" s="3000">
        <v>210.22</v>
      </c>
      <c r="T1492" s="3000">
        <v>0.98</v>
      </c>
      <c r="U1492" s="3000">
        <v>16915</v>
      </c>
      <c r="V1492" s="3000">
        <v>356</v>
      </c>
    </row>
    <row r="1493" spans="4:22" ht="14.25" thickBot="1">
      <c r="D1493" s="2915">
        <v>1489</v>
      </c>
      <c r="E1493" s="2915"/>
      <c r="F1493" s="2914" t="s">
        <v>4600</v>
      </c>
      <c r="G1493" s="2915">
        <v>187.56</v>
      </c>
      <c r="H1493" s="2915">
        <f t="shared" si="24"/>
        <v>32.93</v>
      </c>
      <c r="Q1493" s="3004">
        <v>1489</v>
      </c>
      <c r="R1493" s="2999" t="s">
        <v>6092</v>
      </c>
      <c r="S1493" s="3000">
        <v>187.56</v>
      </c>
      <c r="T1493" s="3000">
        <v>0.99</v>
      </c>
      <c r="U1493" s="3000">
        <v>17087</v>
      </c>
      <c r="V1493" s="3000">
        <v>320</v>
      </c>
    </row>
    <row r="1494" spans="4:22" ht="14.25" thickBot="1">
      <c r="D1494" s="2915">
        <v>1490</v>
      </c>
      <c r="E1494" s="2915"/>
      <c r="F1494" s="2914" t="s">
        <v>4601</v>
      </c>
      <c r="G1494" s="2915">
        <v>188.42</v>
      </c>
      <c r="H1494" s="2915">
        <f t="shared" si="24"/>
        <v>33.08</v>
      </c>
      <c r="Q1494" s="3004">
        <v>1490</v>
      </c>
      <c r="R1494" s="2999" t="s">
        <v>6093</v>
      </c>
      <c r="S1494" s="3000">
        <v>188.42</v>
      </c>
      <c r="T1494" s="3000">
        <v>0.99</v>
      </c>
      <c r="U1494" s="3000">
        <v>17087</v>
      </c>
      <c r="V1494" s="3000">
        <v>322</v>
      </c>
    </row>
    <row r="1495" spans="4:22" ht="14.25" thickBot="1">
      <c r="D1495" s="2915">
        <v>1491</v>
      </c>
      <c r="E1495" s="2915"/>
      <c r="F1495" s="2914" t="s">
        <v>4602</v>
      </c>
      <c r="G1495" s="2915">
        <v>188.42</v>
      </c>
      <c r="H1495" s="2915">
        <f t="shared" si="24"/>
        <v>33.08</v>
      </c>
      <c r="Q1495" s="3004">
        <v>1491</v>
      </c>
      <c r="R1495" s="2999" t="s">
        <v>6094</v>
      </c>
      <c r="S1495" s="3000">
        <v>188.42</v>
      </c>
      <c r="T1495" s="3000">
        <v>0.99</v>
      </c>
      <c r="U1495" s="3000">
        <v>17087</v>
      </c>
      <c r="V1495" s="3000">
        <v>322</v>
      </c>
    </row>
    <row r="1496" spans="4:22" ht="14.25" thickBot="1">
      <c r="D1496" s="2915">
        <v>1492</v>
      </c>
      <c r="E1496" s="2915"/>
      <c r="F1496" s="2914" t="s">
        <v>4603</v>
      </c>
      <c r="G1496" s="2915">
        <v>188.42</v>
      </c>
      <c r="H1496" s="2915">
        <f t="shared" si="24"/>
        <v>33.08</v>
      </c>
      <c r="Q1496" s="3004">
        <v>1492</v>
      </c>
      <c r="R1496" s="2999" t="s">
        <v>6095</v>
      </c>
      <c r="S1496" s="3000">
        <v>188.42</v>
      </c>
      <c r="T1496" s="3000">
        <v>0.99</v>
      </c>
      <c r="U1496" s="3000">
        <v>17087</v>
      </c>
      <c r="V1496" s="3000">
        <v>322</v>
      </c>
    </row>
    <row r="1497" spans="4:22" ht="14.25" thickBot="1">
      <c r="D1497" s="2915">
        <v>1493</v>
      </c>
      <c r="E1497" s="2915"/>
      <c r="F1497" s="2914" t="s">
        <v>4604</v>
      </c>
      <c r="G1497" s="2915">
        <v>188.42</v>
      </c>
      <c r="H1497" s="2915">
        <f t="shared" si="24"/>
        <v>33.08</v>
      </c>
      <c r="Q1497" s="3004">
        <v>1493</v>
      </c>
      <c r="R1497" s="2999" t="s">
        <v>6096</v>
      </c>
      <c r="S1497" s="3000">
        <v>188.42</v>
      </c>
      <c r="T1497" s="3000">
        <v>0.99</v>
      </c>
      <c r="U1497" s="3000">
        <v>17087</v>
      </c>
      <c r="V1497" s="3000">
        <v>322</v>
      </c>
    </row>
    <row r="1498" spans="4:22" ht="14.25" thickBot="1">
      <c r="D1498" s="2915">
        <v>1494</v>
      </c>
      <c r="E1498" s="2915"/>
      <c r="F1498" s="2914" t="s">
        <v>4605</v>
      </c>
      <c r="G1498" s="2915">
        <v>188.42</v>
      </c>
      <c r="H1498" s="2915">
        <f t="shared" si="24"/>
        <v>33.08</v>
      </c>
      <c r="Q1498" s="3004">
        <v>1494</v>
      </c>
      <c r="R1498" s="2999" t="s">
        <v>6097</v>
      </c>
      <c r="S1498" s="3000">
        <v>188.42</v>
      </c>
      <c r="T1498" s="3000">
        <v>0.99</v>
      </c>
      <c r="U1498" s="3000">
        <v>17087</v>
      </c>
      <c r="V1498" s="3000">
        <v>322</v>
      </c>
    </row>
    <row r="1499" spans="4:22" ht="14.25" thickBot="1">
      <c r="D1499" s="2915">
        <v>1495</v>
      </c>
      <c r="E1499" s="2915"/>
      <c r="F1499" s="2914" t="s">
        <v>4606</v>
      </c>
      <c r="G1499" s="2915">
        <v>186.36</v>
      </c>
      <c r="H1499" s="2915">
        <f t="shared" si="24"/>
        <v>32.72</v>
      </c>
      <c r="Q1499" s="3004">
        <v>1495</v>
      </c>
      <c r="R1499" s="2999" t="s">
        <v>6098</v>
      </c>
      <c r="S1499" s="3000">
        <v>186.36</v>
      </c>
      <c r="T1499" s="3000">
        <v>0.99</v>
      </c>
      <c r="U1499" s="3000">
        <v>17087</v>
      </c>
      <c r="V1499" s="3000">
        <v>318</v>
      </c>
    </row>
    <row r="1500" spans="4:22" ht="14.25" thickBot="1">
      <c r="D1500" s="2915">
        <v>1496</v>
      </c>
      <c r="E1500" s="2915"/>
      <c r="F1500" s="2914" t="s">
        <v>4607</v>
      </c>
      <c r="G1500" s="2915">
        <v>188.36</v>
      </c>
      <c r="H1500" s="2915">
        <f t="shared" si="24"/>
        <v>33.07</v>
      </c>
      <c r="Q1500" s="3004">
        <v>1496</v>
      </c>
      <c r="R1500" s="2999" t="s">
        <v>6099</v>
      </c>
      <c r="S1500" s="3000">
        <v>188.36</v>
      </c>
      <c r="T1500" s="3000">
        <v>0.99</v>
      </c>
      <c r="U1500" s="3000">
        <v>17087</v>
      </c>
      <c r="V1500" s="3000">
        <v>322</v>
      </c>
    </row>
    <row r="1501" spans="4:22" ht="14.25" thickBot="1">
      <c r="D1501" s="2915">
        <v>1497</v>
      </c>
      <c r="E1501" s="2915"/>
      <c r="F1501" s="2914" t="s">
        <v>4608</v>
      </c>
      <c r="G1501" s="2915">
        <v>175.78</v>
      </c>
      <c r="H1501" s="2915">
        <f t="shared" si="24"/>
        <v>30.87</v>
      </c>
      <c r="Q1501" s="3004">
        <v>1497</v>
      </c>
      <c r="R1501" s="2999" t="s">
        <v>6100</v>
      </c>
      <c r="S1501" s="3000">
        <v>175.78</v>
      </c>
      <c r="T1501" s="3000">
        <v>0.99</v>
      </c>
      <c r="U1501" s="3000">
        <v>17087</v>
      </c>
      <c r="V1501" s="3000">
        <v>300</v>
      </c>
    </row>
    <row r="1502" spans="4:22" ht="14.25" thickBot="1">
      <c r="D1502" s="2915">
        <v>1498</v>
      </c>
      <c r="E1502" s="2915"/>
      <c r="F1502" s="2914" t="s">
        <v>4609</v>
      </c>
      <c r="G1502" s="2915">
        <v>279.95999999999998</v>
      </c>
      <c r="H1502" s="2915">
        <f t="shared" si="24"/>
        <v>49.16</v>
      </c>
      <c r="Q1502" s="3004">
        <v>1498</v>
      </c>
      <c r="R1502" s="2999" t="s">
        <v>6101</v>
      </c>
      <c r="S1502" s="3000">
        <v>279.95999999999998</v>
      </c>
      <c r="T1502" s="3000">
        <v>0.98</v>
      </c>
      <c r="U1502" s="3000">
        <v>16915</v>
      </c>
      <c r="V1502" s="3000">
        <v>474</v>
      </c>
    </row>
    <row r="1503" spans="4:22" ht="14.25" thickBot="1">
      <c r="D1503" s="2915">
        <v>1499</v>
      </c>
      <c r="E1503" s="2915"/>
      <c r="F1503" s="2914" t="s">
        <v>4610</v>
      </c>
      <c r="G1503" s="2915">
        <v>188.43</v>
      </c>
      <c r="H1503" s="2915">
        <f t="shared" si="24"/>
        <v>33.090000000000003</v>
      </c>
      <c r="Q1503" s="3004">
        <v>1499</v>
      </c>
      <c r="R1503" s="2999" t="s">
        <v>6102</v>
      </c>
      <c r="S1503" s="3000">
        <v>188.43</v>
      </c>
      <c r="T1503" s="3000">
        <v>0.99</v>
      </c>
      <c r="U1503" s="3000">
        <v>17087</v>
      </c>
      <c r="V1503" s="3000">
        <v>322</v>
      </c>
    </row>
    <row r="1504" spans="4:22" ht="14.25" thickBot="1">
      <c r="D1504" s="2915">
        <v>1500</v>
      </c>
      <c r="E1504" s="2915"/>
      <c r="F1504" s="2914" t="s">
        <v>4611</v>
      </c>
      <c r="G1504" s="2915">
        <v>188.43</v>
      </c>
      <c r="H1504" s="2915">
        <f t="shared" si="24"/>
        <v>33.090000000000003</v>
      </c>
      <c r="Q1504" s="3004">
        <v>1500</v>
      </c>
      <c r="R1504" s="2999" t="s">
        <v>6103</v>
      </c>
      <c r="S1504" s="3000">
        <v>188.43</v>
      </c>
      <c r="T1504" s="3000">
        <v>0.99</v>
      </c>
      <c r="U1504" s="3000">
        <v>17087</v>
      </c>
      <c r="V1504" s="3000">
        <v>322</v>
      </c>
    </row>
    <row r="1505" spans="4:22" ht="14.25" thickBot="1">
      <c r="D1505" s="2915">
        <v>1501</v>
      </c>
      <c r="E1505" s="2915"/>
      <c r="F1505" s="2914" t="s">
        <v>4612</v>
      </c>
      <c r="G1505" s="2915">
        <v>188.43</v>
      </c>
      <c r="H1505" s="2915">
        <f t="shared" si="24"/>
        <v>33.090000000000003</v>
      </c>
      <c r="Q1505" s="3004">
        <v>1501</v>
      </c>
      <c r="R1505" s="2999" t="s">
        <v>6104</v>
      </c>
      <c r="S1505" s="3000">
        <v>188.43</v>
      </c>
      <c r="T1505" s="3000">
        <v>0.99</v>
      </c>
      <c r="U1505" s="3000">
        <v>17087</v>
      </c>
      <c r="V1505" s="3000">
        <v>322</v>
      </c>
    </row>
    <row r="1506" spans="4:22" ht="14.25" thickBot="1">
      <c r="D1506" s="2915">
        <v>1502</v>
      </c>
      <c r="E1506" s="2915"/>
      <c r="F1506" s="2914" t="s">
        <v>4613</v>
      </c>
      <c r="G1506" s="2915">
        <v>188.43</v>
      </c>
      <c r="H1506" s="2915">
        <f t="shared" si="24"/>
        <v>33.090000000000003</v>
      </c>
      <c r="Q1506" s="3004">
        <v>1502</v>
      </c>
      <c r="R1506" s="2999" t="s">
        <v>6105</v>
      </c>
      <c r="S1506" s="3000">
        <v>188.43</v>
      </c>
      <c r="T1506" s="3000">
        <v>0.99</v>
      </c>
      <c r="U1506" s="3000">
        <v>17087</v>
      </c>
      <c r="V1506" s="3000">
        <v>322</v>
      </c>
    </row>
    <row r="1507" spans="4:22" ht="14.25" thickBot="1">
      <c r="D1507" s="2915">
        <v>1503</v>
      </c>
      <c r="E1507" s="2915"/>
      <c r="F1507" s="2914" t="s">
        <v>4614</v>
      </c>
      <c r="G1507" s="2915">
        <v>188.43</v>
      </c>
      <c r="H1507" s="2915">
        <f t="shared" si="24"/>
        <v>33.090000000000003</v>
      </c>
      <c r="Q1507" s="3004">
        <v>1503</v>
      </c>
      <c r="R1507" s="2999" t="s">
        <v>6106</v>
      </c>
      <c r="S1507" s="3000">
        <v>188.43</v>
      </c>
      <c r="T1507" s="3000">
        <v>0.99</v>
      </c>
      <c r="U1507" s="3000">
        <v>17087</v>
      </c>
      <c r="V1507" s="3000">
        <v>322</v>
      </c>
    </row>
    <row r="1508" spans="4:22" ht="14.25" thickBot="1">
      <c r="D1508" s="2915">
        <v>1504</v>
      </c>
      <c r="E1508" s="2915"/>
      <c r="F1508" s="2914" t="s">
        <v>4615</v>
      </c>
      <c r="G1508" s="2915">
        <v>188.38</v>
      </c>
      <c r="H1508" s="2915">
        <f t="shared" si="24"/>
        <v>33.08</v>
      </c>
      <c r="Q1508" s="3004">
        <v>1504</v>
      </c>
      <c r="R1508" s="2999" t="s">
        <v>6107</v>
      </c>
      <c r="S1508" s="3000">
        <v>188.38</v>
      </c>
      <c r="T1508" s="3000">
        <v>0.99</v>
      </c>
      <c r="U1508" s="3000">
        <v>17087</v>
      </c>
      <c r="V1508" s="3000">
        <v>322</v>
      </c>
    </row>
    <row r="1509" spans="4:22" ht="14.25" thickBot="1">
      <c r="D1509" s="2915">
        <v>1505</v>
      </c>
      <c r="E1509" s="2915"/>
      <c r="F1509" s="2914" t="s">
        <v>4616</v>
      </c>
      <c r="G1509" s="2915">
        <v>208.95</v>
      </c>
      <c r="H1509" s="2915">
        <f t="shared" si="24"/>
        <v>36.69</v>
      </c>
      <c r="Q1509" s="3004">
        <v>1505</v>
      </c>
      <c r="R1509" s="2999" t="s">
        <v>6108</v>
      </c>
      <c r="S1509" s="3000">
        <v>208.95</v>
      </c>
      <c r="T1509" s="3000">
        <v>0.98</v>
      </c>
      <c r="U1509" s="3000">
        <v>16915</v>
      </c>
      <c r="V1509" s="3000">
        <v>353</v>
      </c>
    </row>
    <row r="1510" spans="4:22" ht="14.25" thickBot="1">
      <c r="D1510" s="2915">
        <v>1506</v>
      </c>
      <c r="E1510" s="2915"/>
      <c r="F1510" s="2914" t="s">
        <v>4617</v>
      </c>
      <c r="G1510" s="2915">
        <v>189.85</v>
      </c>
      <c r="H1510" s="2915">
        <f t="shared" si="24"/>
        <v>33.340000000000003</v>
      </c>
      <c r="Q1510" s="3004">
        <v>1506</v>
      </c>
      <c r="R1510" s="2999" t="s">
        <v>6109</v>
      </c>
      <c r="S1510" s="3000">
        <v>189.85</v>
      </c>
      <c r="T1510" s="3000">
        <v>0.99</v>
      </c>
      <c r="U1510" s="3000">
        <v>17087</v>
      </c>
      <c r="V1510" s="3000">
        <v>324</v>
      </c>
    </row>
    <row r="1511" spans="4:22" ht="14.25" thickBot="1">
      <c r="D1511" s="2915">
        <v>1507</v>
      </c>
      <c r="E1511" s="2915"/>
      <c r="F1511" s="2914" t="s">
        <v>4618</v>
      </c>
      <c r="G1511" s="2915">
        <v>169.23</v>
      </c>
      <c r="H1511" s="2915">
        <f t="shared" si="24"/>
        <v>29.72</v>
      </c>
      <c r="Q1511" s="3004">
        <v>1507</v>
      </c>
      <c r="R1511" s="2999" t="s">
        <v>6110</v>
      </c>
      <c r="S1511" s="3000">
        <v>169.23</v>
      </c>
      <c r="T1511" s="3000">
        <v>0.99</v>
      </c>
      <c r="U1511" s="3000">
        <v>17087</v>
      </c>
      <c r="V1511" s="3000">
        <v>289</v>
      </c>
    </row>
    <row r="1512" spans="4:22" ht="14.25" thickBot="1">
      <c r="D1512" s="2915">
        <v>1508</v>
      </c>
      <c r="E1512" s="2915"/>
      <c r="F1512" s="2914" t="s">
        <v>4619</v>
      </c>
      <c r="G1512" s="2915">
        <v>65.760000000000005</v>
      </c>
      <c r="H1512" s="2915">
        <f t="shared" si="24"/>
        <v>11.55</v>
      </c>
      <c r="Q1512" s="3004">
        <v>1508</v>
      </c>
      <c r="R1512" s="2999" t="s">
        <v>6111</v>
      </c>
      <c r="S1512" s="3000">
        <v>65.760000000000005</v>
      </c>
      <c r="T1512" s="3000">
        <v>1</v>
      </c>
      <c r="U1512" s="3000">
        <v>17260</v>
      </c>
      <c r="V1512" s="3000">
        <v>114</v>
      </c>
    </row>
    <row r="1513" spans="4:22" ht="14.25" thickBot="1">
      <c r="D1513" s="2915">
        <v>1509</v>
      </c>
      <c r="E1513" s="2915"/>
      <c r="F1513" s="2914" t="s">
        <v>4620</v>
      </c>
      <c r="G1513" s="2915">
        <v>59.41</v>
      </c>
      <c r="H1513" s="2915">
        <f t="shared" si="24"/>
        <v>10.43</v>
      </c>
      <c r="Q1513" s="3004">
        <v>1509</v>
      </c>
      <c r="R1513" s="2999" t="s">
        <v>6112</v>
      </c>
      <c r="S1513" s="3000">
        <v>59.41</v>
      </c>
      <c r="T1513" s="3000">
        <v>1</v>
      </c>
      <c r="U1513" s="3000">
        <v>17260</v>
      </c>
      <c r="V1513" s="3000">
        <v>103</v>
      </c>
    </row>
    <row r="1514" spans="4:22" ht="14.25" thickBot="1">
      <c r="D1514" s="2915">
        <v>1510</v>
      </c>
      <c r="E1514" s="2915"/>
      <c r="F1514" s="2914" t="s">
        <v>4621</v>
      </c>
      <c r="G1514" s="2915">
        <v>60.69</v>
      </c>
      <c r="H1514" s="2915">
        <f t="shared" si="24"/>
        <v>10.66</v>
      </c>
      <c r="Q1514" s="3004">
        <v>1510</v>
      </c>
      <c r="R1514" s="2999" t="s">
        <v>6113</v>
      </c>
      <c r="S1514" s="3000">
        <v>60.69</v>
      </c>
      <c r="T1514" s="3000">
        <v>1</v>
      </c>
      <c r="U1514" s="3000">
        <v>17260</v>
      </c>
      <c r="V1514" s="3000">
        <v>105</v>
      </c>
    </row>
    <row r="1515" spans="4:22" ht="14.25" thickBot="1">
      <c r="D1515" s="2915">
        <v>1511</v>
      </c>
      <c r="E1515" s="2915"/>
      <c r="F1515" s="2914" t="s">
        <v>4622</v>
      </c>
      <c r="G1515" s="2915">
        <v>60.69</v>
      </c>
      <c r="H1515" s="2915">
        <f t="shared" si="24"/>
        <v>10.66</v>
      </c>
      <c r="Q1515" s="3004">
        <v>1511</v>
      </c>
      <c r="R1515" s="2999" t="s">
        <v>6114</v>
      </c>
      <c r="S1515" s="3000">
        <v>60.69</v>
      </c>
      <c r="T1515" s="3000">
        <v>1</v>
      </c>
      <c r="U1515" s="3000">
        <v>17260</v>
      </c>
      <c r="V1515" s="3000">
        <v>105</v>
      </c>
    </row>
    <row r="1516" spans="4:22" ht="14.25" thickBot="1">
      <c r="D1516" s="2915">
        <v>1512</v>
      </c>
      <c r="E1516" s="2915"/>
      <c r="F1516" s="2914" t="s">
        <v>4623</v>
      </c>
      <c r="G1516" s="2915">
        <v>60.69</v>
      </c>
      <c r="H1516" s="2915">
        <f t="shared" si="24"/>
        <v>10.66</v>
      </c>
      <c r="Q1516" s="3004">
        <v>1512</v>
      </c>
      <c r="R1516" s="2999" t="s">
        <v>6115</v>
      </c>
      <c r="S1516" s="3000">
        <v>60.69</v>
      </c>
      <c r="T1516" s="3000">
        <v>1</v>
      </c>
      <c r="U1516" s="3000">
        <v>17260</v>
      </c>
      <c r="V1516" s="3000">
        <v>105</v>
      </c>
    </row>
    <row r="1517" spans="4:22" ht="14.25" thickBot="1">
      <c r="D1517" s="2915">
        <v>1513</v>
      </c>
      <c r="E1517" s="2915"/>
      <c r="F1517" s="2914" t="s">
        <v>4624</v>
      </c>
      <c r="G1517" s="2915">
        <v>60.69</v>
      </c>
      <c r="H1517" s="2915">
        <f t="shared" si="24"/>
        <v>10.66</v>
      </c>
      <c r="Q1517" s="3004">
        <v>1513</v>
      </c>
      <c r="R1517" s="2999" t="s">
        <v>6116</v>
      </c>
      <c r="S1517" s="3000">
        <v>60.69</v>
      </c>
      <c r="T1517" s="3000">
        <v>1</v>
      </c>
      <c r="U1517" s="3000">
        <v>17260</v>
      </c>
      <c r="V1517" s="3000">
        <v>105</v>
      </c>
    </row>
    <row r="1518" spans="4:22" ht="14.25" thickBot="1">
      <c r="D1518" s="2915">
        <v>1514</v>
      </c>
      <c r="E1518" s="2915"/>
      <c r="F1518" s="2914" t="s">
        <v>4625</v>
      </c>
      <c r="G1518" s="2915">
        <v>60.69</v>
      </c>
      <c r="H1518" s="2915">
        <f t="shared" si="24"/>
        <v>10.66</v>
      </c>
      <c r="Q1518" s="3004">
        <v>1514</v>
      </c>
      <c r="R1518" s="2999" t="s">
        <v>6117</v>
      </c>
      <c r="S1518" s="3000">
        <v>60.69</v>
      </c>
      <c r="T1518" s="3000">
        <v>1</v>
      </c>
      <c r="U1518" s="3000">
        <v>17260</v>
      </c>
      <c r="V1518" s="3000">
        <v>105</v>
      </c>
    </row>
    <row r="1519" spans="4:22" ht="14.25" thickBot="1">
      <c r="D1519" s="2915">
        <v>1515</v>
      </c>
      <c r="E1519" s="2915"/>
      <c r="F1519" s="2914" t="s">
        <v>4626</v>
      </c>
      <c r="G1519" s="2915">
        <v>60.69</v>
      </c>
      <c r="H1519" s="2915">
        <f t="shared" si="24"/>
        <v>10.66</v>
      </c>
      <c r="Q1519" s="3004">
        <v>1515</v>
      </c>
      <c r="R1519" s="2999" t="s">
        <v>6118</v>
      </c>
      <c r="S1519" s="3000">
        <v>60.69</v>
      </c>
      <c r="T1519" s="3000">
        <v>1</v>
      </c>
      <c r="U1519" s="3000">
        <v>17260</v>
      </c>
      <c r="V1519" s="3000">
        <v>105</v>
      </c>
    </row>
    <row r="1520" spans="4:22" ht="14.25" thickBot="1">
      <c r="D1520" s="2915">
        <v>1516</v>
      </c>
      <c r="E1520" s="2915"/>
      <c r="F1520" s="2914" t="s">
        <v>4627</v>
      </c>
      <c r="G1520" s="2915">
        <v>60.69</v>
      </c>
      <c r="H1520" s="2915">
        <f t="shared" si="24"/>
        <v>10.66</v>
      </c>
      <c r="Q1520" s="3004">
        <v>1516</v>
      </c>
      <c r="R1520" s="2999" t="s">
        <v>6119</v>
      </c>
      <c r="S1520" s="3000">
        <v>60.69</v>
      </c>
      <c r="T1520" s="3000">
        <v>1</v>
      </c>
      <c r="U1520" s="3000">
        <v>17260</v>
      </c>
      <c r="V1520" s="3000">
        <v>105</v>
      </c>
    </row>
    <row r="1521" spans="4:22" ht="14.25" thickBot="1">
      <c r="D1521" s="2915">
        <v>1517</v>
      </c>
      <c r="E1521" s="2915"/>
      <c r="F1521" s="2914" t="s">
        <v>4628</v>
      </c>
      <c r="G1521" s="2915">
        <v>60.69</v>
      </c>
      <c r="H1521" s="2915">
        <f t="shared" si="24"/>
        <v>10.66</v>
      </c>
      <c r="Q1521" s="3004">
        <v>1517</v>
      </c>
      <c r="R1521" s="2999" t="s">
        <v>6120</v>
      </c>
      <c r="S1521" s="3000">
        <v>60.69</v>
      </c>
      <c r="T1521" s="3000">
        <v>1</v>
      </c>
      <c r="U1521" s="3000">
        <v>17260</v>
      </c>
      <c r="V1521" s="3000">
        <v>105</v>
      </c>
    </row>
    <row r="1522" spans="4:22" ht="14.25" thickBot="1">
      <c r="D1522" s="2915">
        <v>1518</v>
      </c>
      <c r="E1522" s="2915"/>
      <c r="F1522" s="2914" t="s">
        <v>4629</v>
      </c>
      <c r="G1522" s="2915">
        <v>60.69</v>
      </c>
      <c r="H1522" s="2915">
        <f t="shared" si="24"/>
        <v>10.66</v>
      </c>
      <c r="Q1522" s="3004">
        <v>1518</v>
      </c>
      <c r="R1522" s="2999" t="s">
        <v>6121</v>
      </c>
      <c r="S1522" s="3000">
        <v>60.69</v>
      </c>
      <c r="T1522" s="3000">
        <v>1</v>
      </c>
      <c r="U1522" s="3000">
        <v>17260</v>
      </c>
      <c r="V1522" s="3000">
        <v>105</v>
      </c>
    </row>
    <row r="1523" spans="4:22" ht="14.25" thickBot="1">
      <c r="D1523" s="2915">
        <v>1519</v>
      </c>
      <c r="E1523" s="2915"/>
      <c r="F1523" s="2914" t="s">
        <v>4630</v>
      </c>
      <c r="G1523" s="2915">
        <v>54.3</v>
      </c>
      <c r="H1523" s="2915">
        <f t="shared" si="24"/>
        <v>9.5299999999999994</v>
      </c>
      <c r="Q1523" s="3004">
        <v>1519</v>
      </c>
      <c r="R1523" s="2999" t="s">
        <v>6122</v>
      </c>
      <c r="S1523" s="3000">
        <v>54.3</v>
      </c>
      <c r="T1523" s="3000">
        <v>1</v>
      </c>
      <c r="U1523" s="3000">
        <v>17260</v>
      </c>
      <c r="V1523" s="3000">
        <v>94</v>
      </c>
    </row>
    <row r="1524" spans="4:22" ht="14.25" thickBot="1">
      <c r="D1524" s="2915">
        <v>1520</v>
      </c>
      <c r="E1524" s="2915"/>
      <c r="F1524" s="2914" t="s">
        <v>4631</v>
      </c>
      <c r="G1524" s="2915">
        <v>60.68</v>
      </c>
      <c r="H1524" s="2915">
        <f t="shared" si="24"/>
        <v>10.65</v>
      </c>
      <c r="Q1524" s="3004">
        <v>1520</v>
      </c>
      <c r="R1524" s="2999" t="s">
        <v>6123</v>
      </c>
      <c r="S1524" s="3000">
        <v>60.68</v>
      </c>
      <c r="T1524" s="3000">
        <v>1</v>
      </c>
      <c r="U1524" s="3000">
        <v>17260</v>
      </c>
      <c r="V1524" s="3000">
        <v>105</v>
      </c>
    </row>
    <row r="1525" spans="4:22" ht="14.25" thickBot="1">
      <c r="D1525" s="2915">
        <v>1521</v>
      </c>
      <c r="E1525" s="2915"/>
      <c r="F1525" s="2914" t="s">
        <v>4632</v>
      </c>
      <c r="G1525" s="2915">
        <v>80.459999999999994</v>
      </c>
      <c r="H1525" s="2915">
        <f t="shared" si="24"/>
        <v>14.13</v>
      </c>
      <c r="Q1525" s="3004">
        <v>1521</v>
      </c>
      <c r="R1525" s="2999" t="s">
        <v>6124</v>
      </c>
      <c r="S1525" s="3000">
        <v>80.459999999999994</v>
      </c>
      <c r="T1525" s="3000">
        <v>1</v>
      </c>
      <c r="U1525" s="3000">
        <v>17260</v>
      </c>
      <c r="V1525" s="3000">
        <v>139</v>
      </c>
    </row>
    <row r="1526" spans="4:22" ht="14.25" thickBot="1">
      <c r="D1526" s="2915">
        <v>1522</v>
      </c>
      <c r="E1526" s="2915"/>
      <c r="F1526" s="2914" t="s">
        <v>4633</v>
      </c>
      <c r="G1526" s="2915">
        <v>80.45</v>
      </c>
      <c r="H1526" s="2915">
        <f t="shared" si="24"/>
        <v>14.13</v>
      </c>
      <c r="Q1526" s="3004">
        <v>1522</v>
      </c>
      <c r="R1526" s="2999" t="s">
        <v>6125</v>
      </c>
      <c r="S1526" s="3000">
        <v>80.45</v>
      </c>
      <c r="T1526" s="3000">
        <v>1</v>
      </c>
      <c r="U1526" s="3000">
        <v>17260</v>
      </c>
      <c r="V1526" s="3000">
        <v>139</v>
      </c>
    </row>
    <row r="1527" spans="4:22" ht="14.25" thickBot="1">
      <c r="D1527" s="2915">
        <v>1523</v>
      </c>
      <c r="E1527" s="2915"/>
      <c r="F1527" s="2914" t="s">
        <v>4634</v>
      </c>
      <c r="G1527" s="2915">
        <v>60.69</v>
      </c>
      <c r="H1527" s="2915">
        <f t="shared" si="24"/>
        <v>10.66</v>
      </c>
      <c r="Q1527" s="3004">
        <v>1523</v>
      </c>
      <c r="R1527" s="2999" t="s">
        <v>6126</v>
      </c>
      <c r="S1527" s="3000">
        <v>60.69</v>
      </c>
      <c r="T1527" s="3000">
        <v>1</v>
      </c>
      <c r="U1527" s="3000">
        <v>17260</v>
      </c>
      <c r="V1527" s="3000">
        <v>105</v>
      </c>
    </row>
    <row r="1528" spans="4:22" ht="14.25" thickBot="1">
      <c r="D1528" s="2915">
        <v>1524</v>
      </c>
      <c r="E1528" s="2915"/>
      <c r="F1528" s="2914" t="s">
        <v>4635</v>
      </c>
      <c r="G1528" s="2915">
        <v>60.69</v>
      </c>
      <c r="H1528" s="2915">
        <f t="shared" si="24"/>
        <v>10.66</v>
      </c>
      <c r="Q1528" s="3004">
        <v>1524</v>
      </c>
      <c r="R1528" s="2999" t="s">
        <v>6127</v>
      </c>
      <c r="S1528" s="3000">
        <v>60.69</v>
      </c>
      <c r="T1528" s="3000">
        <v>1</v>
      </c>
      <c r="U1528" s="3000">
        <v>17260</v>
      </c>
      <c r="V1528" s="3000">
        <v>105</v>
      </c>
    </row>
    <row r="1529" spans="4:22" ht="14.25" thickBot="1">
      <c r="D1529" s="2915">
        <v>1525</v>
      </c>
      <c r="E1529" s="2915"/>
      <c r="F1529" s="2914" t="s">
        <v>4636</v>
      </c>
      <c r="G1529" s="2915">
        <v>60.68</v>
      </c>
      <c r="H1529" s="2915">
        <f t="shared" si="24"/>
        <v>10.65</v>
      </c>
      <c r="Q1529" s="3004">
        <v>1525</v>
      </c>
      <c r="R1529" s="2999" t="s">
        <v>6128</v>
      </c>
      <c r="S1529" s="3000">
        <v>60.68</v>
      </c>
      <c r="T1529" s="3000">
        <v>1</v>
      </c>
      <c r="U1529" s="3000">
        <v>17260</v>
      </c>
      <c r="V1529" s="3000">
        <v>105</v>
      </c>
    </row>
    <row r="1530" spans="4:22" ht="14.25" thickBot="1">
      <c r="D1530" s="2915">
        <v>1526</v>
      </c>
      <c r="E1530" s="2915"/>
      <c r="F1530" s="2914" t="s">
        <v>4637</v>
      </c>
      <c r="G1530" s="2915">
        <v>60.69</v>
      </c>
      <c r="H1530" s="2915">
        <f t="shared" si="24"/>
        <v>10.66</v>
      </c>
      <c r="Q1530" s="3004">
        <v>1526</v>
      </c>
      <c r="R1530" s="2999" t="s">
        <v>6129</v>
      </c>
      <c r="S1530" s="3000">
        <v>60.69</v>
      </c>
      <c r="T1530" s="3000">
        <v>1</v>
      </c>
      <c r="U1530" s="3000">
        <v>17260</v>
      </c>
      <c r="V1530" s="3000">
        <v>105</v>
      </c>
    </row>
    <row r="1531" spans="4:22" ht="14.25" thickBot="1">
      <c r="D1531" s="2915">
        <v>1527</v>
      </c>
      <c r="E1531" s="2915"/>
      <c r="F1531" s="2914" t="s">
        <v>4638</v>
      </c>
      <c r="G1531" s="2915">
        <v>60.69</v>
      </c>
      <c r="H1531" s="2915">
        <f t="shared" si="24"/>
        <v>10.66</v>
      </c>
      <c r="Q1531" s="3004">
        <v>1527</v>
      </c>
      <c r="R1531" s="2999" t="s">
        <v>6130</v>
      </c>
      <c r="S1531" s="3000">
        <v>60.69</v>
      </c>
      <c r="T1531" s="3000">
        <v>1</v>
      </c>
      <c r="U1531" s="3000">
        <v>17260</v>
      </c>
      <c r="V1531" s="3000">
        <v>105</v>
      </c>
    </row>
    <row r="1532" spans="4:22" ht="14.25" thickBot="1">
      <c r="D1532" s="2915">
        <v>1528</v>
      </c>
      <c r="E1532" s="2915"/>
      <c r="F1532" s="2914" t="s">
        <v>4639</v>
      </c>
      <c r="G1532" s="2915">
        <v>60.69</v>
      </c>
      <c r="H1532" s="2915">
        <f t="shared" si="24"/>
        <v>10.66</v>
      </c>
      <c r="Q1532" s="3004">
        <v>1528</v>
      </c>
      <c r="R1532" s="2999" t="s">
        <v>6131</v>
      </c>
      <c r="S1532" s="3000">
        <v>60.69</v>
      </c>
      <c r="T1532" s="3000">
        <v>1</v>
      </c>
      <c r="U1532" s="3000">
        <v>17260</v>
      </c>
      <c r="V1532" s="3000">
        <v>105</v>
      </c>
    </row>
    <row r="1533" spans="4:22" ht="14.25" thickBot="1">
      <c r="D1533" s="2915">
        <v>1529</v>
      </c>
      <c r="E1533" s="2915"/>
      <c r="F1533" s="2914" t="s">
        <v>4640</v>
      </c>
      <c r="G1533" s="2915">
        <v>60.69</v>
      </c>
      <c r="H1533" s="2915">
        <f t="shared" si="24"/>
        <v>10.66</v>
      </c>
      <c r="Q1533" s="3004">
        <v>1529</v>
      </c>
      <c r="R1533" s="2999" t="s">
        <v>6132</v>
      </c>
      <c r="S1533" s="3000">
        <v>60.69</v>
      </c>
      <c r="T1533" s="3000">
        <v>1</v>
      </c>
      <c r="U1533" s="3000">
        <v>17260</v>
      </c>
      <c r="V1533" s="3000">
        <v>105</v>
      </c>
    </row>
    <row r="1534" spans="4:22" ht="14.25" thickBot="1">
      <c r="D1534" s="2915">
        <v>1530</v>
      </c>
      <c r="E1534" s="2915"/>
      <c r="F1534" s="2914" t="s">
        <v>4641</v>
      </c>
      <c r="G1534" s="2915">
        <v>60.69</v>
      </c>
      <c r="H1534" s="2915">
        <f t="shared" si="24"/>
        <v>10.66</v>
      </c>
      <c r="Q1534" s="3004">
        <v>1530</v>
      </c>
      <c r="R1534" s="2999" t="s">
        <v>6133</v>
      </c>
      <c r="S1534" s="3000">
        <v>60.69</v>
      </c>
      <c r="T1534" s="3000">
        <v>1</v>
      </c>
      <c r="U1534" s="3000">
        <v>17260</v>
      </c>
      <c r="V1534" s="3000">
        <v>105</v>
      </c>
    </row>
    <row r="1535" spans="4:22" ht="14.25" thickBot="1">
      <c r="D1535" s="2915">
        <v>1531</v>
      </c>
      <c r="E1535" s="2915"/>
      <c r="F1535" s="2914" t="s">
        <v>4642</v>
      </c>
      <c r="G1535" s="2915">
        <v>60.69</v>
      </c>
      <c r="H1535" s="2915">
        <f t="shared" si="24"/>
        <v>10.66</v>
      </c>
      <c r="Q1535" s="3004">
        <v>1531</v>
      </c>
      <c r="R1535" s="2999" t="s">
        <v>6134</v>
      </c>
      <c r="S1535" s="3000">
        <v>60.69</v>
      </c>
      <c r="T1535" s="3000">
        <v>1</v>
      </c>
      <c r="U1535" s="3000">
        <v>17260</v>
      </c>
      <c r="V1535" s="3000">
        <v>105</v>
      </c>
    </row>
    <row r="1536" spans="4:22" ht="14.25" thickBot="1">
      <c r="D1536" s="2915">
        <v>1532</v>
      </c>
      <c r="E1536" s="2915"/>
      <c r="F1536" s="2914" t="s">
        <v>4643</v>
      </c>
      <c r="G1536" s="2915">
        <v>60.69</v>
      </c>
      <c r="H1536" s="2915">
        <f t="shared" si="24"/>
        <v>10.66</v>
      </c>
      <c r="Q1536" s="3004">
        <v>1532</v>
      </c>
      <c r="R1536" s="2999" t="s">
        <v>6135</v>
      </c>
      <c r="S1536" s="3000">
        <v>60.69</v>
      </c>
      <c r="T1536" s="3000">
        <v>1</v>
      </c>
      <c r="U1536" s="3000">
        <v>17260</v>
      </c>
      <c r="V1536" s="3000">
        <v>105</v>
      </c>
    </row>
    <row r="1537" spans="4:22" ht="14.25" thickBot="1">
      <c r="D1537" s="2915">
        <v>1533</v>
      </c>
      <c r="E1537" s="2915"/>
      <c r="F1537" s="2914" t="s">
        <v>4644</v>
      </c>
      <c r="G1537" s="2915">
        <v>60.69</v>
      </c>
      <c r="H1537" s="2915">
        <f t="shared" si="24"/>
        <v>10.66</v>
      </c>
      <c r="Q1537" s="3004">
        <v>1533</v>
      </c>
      <c r="R1537" s="2999" t="s">
        <v>6136</v>
      </c>
      <c r="S1537" s="3000">
        <v>60.69</v>
      </c>
      <c r="T1537" s="3000">
        <v>1</v>
      </c>
      <c r="U1537" s="3000">
        <v>17260</v>
      </c>
      <c r="V1537" s="3000">
        <v>105</v>
      </c>
    </row>
    <row r="1538" spans="4:22" ht="14.25" thickBot="1">
      <c r="D1538" s="2915">
        <v>1534</v>
      </c>
      <c r="E1538" s="2915"/>
      <c r="F1538" s="2914" t="s">
        <v>4645</v>
      </c>
      <c r="G1538" s="2915">
        <v>104.53</v>
      </c>
      <c r="H1538" s="2915">
        <f t="shared" si="24"/>
        <v>18.350000000000001</v>
      </c>
      <c r="Q1538" s="3004">
        <v>1534</v>
      </c>
      <c r="R1538" s="2999" t="s">
        <v>6137</v>
      </c>
      <c r="S1538" s="3000">
        <v>104.53</v>
      </c>
      <c r="T1538" s="3000">
        <v>0.99</v>
      </c>
      <c r="U1538" s="3000">
        <v>17087</v>
      </c>
      <c r="V1538" s="3000">
        <v>179</v>
      </c>
    </row>
    <row r="1539" spans="4:22" ht="14.25" thickBot="1">
      <c r="D1539" s="2915">
        <v>1535</v>
      </c>
      <c r="E1539" s="2915"/>
      <c r="F1539" s="2914" t="s">
        <v>4646</v>
      </c>
      <c r="G1539" s="2915">
        <v>55.78</v>
      </c>
      <c r="H1539" s="2915">
        <f t="shared" si="24"/>
        <v>9.7899999999999991</v>
      </c>
      <c r="Q1539" s="3004">
        <v>1535</v>
      </c>
      <c r="R1539" s="2999" t="s">
        <v>6138</v>
      </c>
      <c r="S1539" s="3000">
        <v>55.78</v>
      </c>
      <c r="T1539" s="3000">
        <v>1</v>
      </c>
      <c r="U1539" s="3000">
        <v>17260</v>
      </c>
      <c r="V1539" s="3000">
        <v>96</v>
      </c>
    </row>
    <row r="1540" spans="4:22" ht="14.25" thickBot="1">
      <c r="D1540" s="2915">
        <v>1536</v>
      </c>
      <c r="E1540" s="2915"/>
      <c r="F1540" s="2914" t="s">
        <v>4647</v>
      </c>
      <c r="G1540" s="2915">
        <v>48.86</v>
      </c>
      <c r="H1540" s="2915">
        <f t="shared" si="24"/>
        <v>8.58</v>
      </c>
      <c r="Q1540" s="3004">
        <v>1536</v>
      </c>
      <c r="R1540" s="2999" t="s">
        <v>6139</v>
      </c>
      <c r="S1540" s="3000">
        <v>48.86</v>
      </c>
      <c r="T1540" s="3000">
        <v>1</v>
      </c>
      <c r="U1540" s="3000">
        <v>17260</v>
      </c>
      <c r="V1540" s="3000">
        <v>84</v>
      </c>
    </row>
    <row r="1541" spans="4:22" ht="14.25" thickBot="1">
      <c r="D1541" s="2915">
        <v>1537</v>
      </c>
      <c r="E1541" s="2915"/>
      <c r="F1541" s="2914" t="s">
        <v>4648</v>
      </c>
      <c r="G1541" s="2915">
        <v>48.86</v>
      </c>
      <c r="H1541" s="2915">
        <f t="shared" si="24"/>
        <v>8.58</v>
      </c>
      <c r="Q1541" s="3004">
        <v>1537</v>
      </c>
      <c r="R1541" s="2999" t="s">
        <v>6140</v>
      </c>
      <c r="S1541" s="3000">
        <v>48.86</v>
      </c>
      <c r="T1541" s="3000">
        <v>1</v>
      </c>
      <c r="U1541" s="3000">
        <v>17260</v>
      </c>
      <c r="V1541" s="3000">
        <v>84</v>
      </c>
    </row>
    <row r="1542" spans="4:22" ht="14.25" thickBot="1">
      <c r="D1542" s="2915">
        <v>1538</v>
      </c>
      <c r="E1542" s="2915"/>
      <c r="F1542" s="2914" t="s">
        <v>4649</v>
      </c>
      <c r="G1542" s="2915">
        <v>48.86</v>
      </c>
      <c r="H1542" s="2915">
        <f t="shared" ref="H1542:H1556" si="25">ROUND(G1542/$N$7*$M$7,2)</f>
        <v>8.58</v>
      </c>
      <c r="Q1542" s="3004">
        <v>1538</v>
      </c>
      <c r="R1542" s="2999" t="s">
        <v>6141</v>
      </c>
      <c r="S1542" s="3000">
        <v>48.86</v>
      </c>
      <c r="T1542" s="3000">
        <v>1</v>
      </c>
      <c r="U1542" s="3000">
        <v>17260</v>
      </c>
      <c r="V1542" s="3000">
        <v>84</v>
      </c>
    </row>
    <row r="1543" spans="4:22" ht="14.25" thickBot="1">
      <c r="D1543" s="2915">
        <v>1539</v>
      </c>
      <c r="E1543" s="2915"/>
      <c r="F1543" s="2914" t="s">
        <v>4650</v>
      </c>
      <c r="G1543" s="2915">
        <v>54.5</v>
      </c>
      <c r="H1543" s="2915">
        <f t="shared" si="25"/>
        <v>9.57</v>
      </c>
      <c r="Q1543" s="3004">
        <v>1539</v>
      </c>
      <c r="R1543" s="2999" t="s">
        <v>6142</v>
      </c>
      <c r="S1543" s="3000">
        <v>54.5</v>
      </c>
      <c r="T1543" s="3000">
        <v>1</v>
      </c>
      <c r="U1543" s="3000">
        <v>17260</v>
      </c>
      <c r="V1543" s="3000">
        <v>94</v>
      </c>
    </row>
    <row r="1544" spans="4:22" ht="14.25" thickBot="1">
      <c r="D1544" s="2915">
        <v>1540</v>
      </c>
      <c r="E1544" s="2915"/>
      <c r="F1544" s="2914" t="s">
        <v>4651</v>
      </c>
      <c r="G1544" s="2915">
        <v>64.58</v>
      </c>
      <c r="H1544" s="2915">
        <f t="shared" si="25"/>
        <v>11.34</v>
      </c>
      <c r="Q1544" s="3004">
        <v>1540</v>
      </c>
      <c r="R1544" s="2999" t="s">
        <v>6143</v>
      </c>
      <c r="S1544" s="3000">
        <v>64.58</v>
      </c>
      <c r="T1544" s="3000">
        <v>1</v>
      </c>
      <c r="U1544" s="3000">
        <v>17260</v>
      </c>
      <c r="V1544" s="3000">
        <v>111</v>
      </c>
    </row>
    <row r="1545" spans="4:22" ht="14.25" thickBot="1">
      <c r="D1545" s="2915">
        <v>1541</v>
      </c>
      <c r="E1545" s="2915"/>
      <c r="F1545" s="2914" t="s">
        <v>4652</v>
      </c>
      <c r="G1545" s="2915">
        <v>45.32</v>
      </c>
      <c r="H1545" s="2915">
        <f t="shared" si="25"/>
        <v>7.96</v>
      </c>
      <c r="Q1545" s="3004">
        <v>1541</v>
      </c>
      <c r="R1545" s="2999" t="s">
        <v>6144</v>
      </c>
      <c r="S1545" s="3000">
        <v>45.32</v>
      </c>
      <c r="T1545" s="3000">
        <v>1</v>
      </c>
      <c r="U1545" s="3000">
        <v>17260</v>
      </c>
      <c r="V1545" s="3000">
        <v>78</v>
      </c>
    </row>
    <row r="1546" spans="4:22" ht="14.25" thickBot="1">
      <c r="D1546" s="2915">
        <v>1542</v>
      </c>
      <c r="E1546" s="2915"/>
      <c r="F1546" s="2914" t="s">
        <v>4653</v>
      </c>
      <c r="G1546" s="2915">
        <v>45.2</v>
      </c>
      <c r="H1546" s="2915">
        <f t="shared" si="25"/>
        <v>7.94</v>
      </c>
      <c r="Q1546" s="3004">
        <v>1542</v>
      </c>
      <c r="R1546" s="2999" t="s">
        <v>6145</v>
      </c>
      <c r="S1546" s="3000">
        <v>45.2</v>
      </c>
      <c r="T1546" s="3000">
        <v>1</v>
      </c>
      <c r="U1546" s="3000">
        <v>17260</v>
      </c>
      <c r="V1546" s="3000">
        <v>78</v>
      </c>
    </row>
    <row r="1547" spans="4:22" ht="15" customHeight="1" thickBot="1">
      <c r="D1547" s="2915">
        <v>1543</v>
      </c>
      <c r="E1547" s="2915"/>
      <c r="F1547" s="2914" t="s">
        <v>4654</v>
      </c>
      <c r="G1547" s="2915">
        <v>45.32</v>
      </c>
      <c r="H1547" s="2915">
        <f t="shared" si="25"/>
        <v>7.96</v>
      </c>
      <c r="Q1547" s="3004">
        <v>1543</v>
      </c>
      <c r="R1547" s="2999" t="s">
        <v>6146</v>
      </c>
      <c r="S1547" s="3000">
        <v>45.32</v>
      </c>
      <c r="T1547" s="3000">
        <v>1</v>
      </c>
      <c r="U1547" s="3000">
        <v>17260</v>
      </c>
      <c r="V1547" s="3000">
        <v>78</v>
      </c>
    </row>
    <row r="1548" spans="4:22" ht="14.25" thickBot="1">
      <c r="D1548" s="2915">
        <v>1544</v>
      </c>
      <c r="E1548" s="2915"/>
      <c r="F1548" s="2914" t="s">
        <v>4655</v>
      </c>
      <c r="G1548" s="2915">
        <v>45.32</v>
      </c>
      <c r="H1548" s="2915">
        <f t="shared" si="25"/>
        <v>7.96</v>
      </c>
      <c r="Q1548" s="3004">
        <v>1544</v>
      </c>
      <c r="R1548" s="2999" t="s">
        <v>6147</v>
      </c>
      <c r="S1548" s="3000">
        <v>45.32</v>
      </c>
      <c r="T1548" s="3000">
        <v>1</v>
      </c>
      <c r="U1548" s="3000">
        <v>17260</v>
      </c>
      <c r="V1548" s="3000">
        <v>78</v>
      </c>
    </row>
    <row r="1549" spans="4:22" ht="14.25" thickBot="1">
      <c r="D1549" s="2915">
        <v>1545</v>
      </c>
      <c r="E1549" s="2915"/>
      <c r="F1549" s="2914" t="s">
        <v>4656</v>
      </c>
      <c r="G1549" s="2915">
        <v>48.86</v>
      </c>
      <c r="H1549" s="2915">
        <f t="shared" si="25"/>
        <v>8.58</v>
      </c>
      <c r="Q1549" s="3004">
        <v>1545</v>
      </c>
      <c r="R1549" s="2999" t="s">
        <v>6148</v>
      </c>
      <c r="S1549" s="3000">
        <v>48.86</v>
      </c>
      <c r="T1549" s="3000">
        <v>1</v>
      </c>
      <c r="U1549" s="3000">
        <v>17260</v>
      </c>
      <c r="V1549" s="3000">
        <v>84</v>
      </c>
    </row>
    <row r="1550" spans="4:22" ht="14.25" thickBot="1">
      <c r="D1550" s="2915">
        <v>1546</v>
      </c>
      <c r="E1550" s="2915"/>
      <c r="F1550" s="2914" t="s">
        <v>4657</v>
      </c>
      <c r="G1550" s="2915">
        <v>44.51</v>
      </c>
      <c r="H1550" s="2915">
        <f t="shared" si="25"/>
        <v>7.82</v>
      </c>
      <c r="Q1550" s="3004">
        <v>1546</v>
      </c>
      <c r="R1550" s="2999" t="s">
        <v>6149</v>
      </c>
      <c r="S1550" s="3000">
        <v>44.51</v>
      </c>
      <c r="T1550" s="3000">
        <v>1</v>
      </c>
      <c r="U1550" s="3000">
        <v>17260</v>
      </c>
      <c r="V1550" s="3000">
        <v>77</v>
      </c>
    </row>
    <row r="1551" spans="4:22" ht="14.25" thickBot="1">
      <c r="D1551" s="2915">
        <v>1547</v>
      </c>
      <c r="E1551" s="2915"/>
      <c r="F1551" s="2914" t="s">
        <v>4658</v>
      </c>
      <c r="G1551" s="2915">
        <v>54.67</v>
      </c>
      <c r="H1551" s="2915">
        <f t="shared" si="25"/>
        <v>9.6</v>
      </c>
      <c r="Q1551" s="3004">
        <v>1547</v>
      </c>
      <c r="R1551" s="2999" t="s">
        <v>6150</v>
      </c>
      <c r="S1551" s="3000">
        <v>54.67</v>
      </c>
      <c r="T1551" s="3000">
        <v>1</v>
      </c>
      <c r="U1551" s="3000">
        <v>17260</v>
      </c>
      <c r="V1551" s="3000">
        <v>94</v>
      </c>
    </row>
    <row r="1552" spans="4:22" ht="14.25" thickBot="1">
      <c r="D1552" s="2915">
        <v>1548</v>
      </c>
      <c r="E1552" s="2915"/>
      <c r="F1552" s="2914" t="s">
        <v>4659</v>
      </c>
      <c r="G1552" s="2915">
        <v>48.86</v>
      </c>
      <c r="H1552" s="2915">
        <f t="shared" si="25"/>
        <v>8.58</v>
      </c>
      <c r="Q1552" s="3004">
        <v>1548</v>
      </c>
      <c r="R1552" s="2999" t="s">
        <v>6151</v>
      </c>
      <c r="S1552" s="3000">
        <v>48.86</v>
      </c>
      <c r="T1552" s="3000">
        <v>1</v>
      </c>
      <c r="U1552" s="3000">
        <v>17260</v>
      </c>
      <c r="V1552" s="3000">
        <v>84</v>
      </c>
    </row>
    <row r="1553" spans="4:22" ht="14.25" thickBot="1">
      <c r="D1553" s="2915">
        <v>1549</v>
      </c>
      <c r="E1553" s="2915"/>
      <c r="F1553" s="2914" t="s">
        <v>4660</v>
      </c>
      <c r="G1553" s="2915">
        <v>48.86</v>
      </c>
      <c r="H1553" s="2915">
        <f t="shared" si="25"/>
        <v>8.58</v>
      </c>
      <c r="Q1553" s="3004">
        <v>1549</v>
      </c>
      <c r="R1553" s="2999" t="s">
        <v>6152</v>
      </c>
      <c r="S1553" s="3000">
        <v>48.86</v>
      </c>
      <c r="T1553" s="3000">
        <v>1</v>
      </c>
      <c r="U1553" s="3000">
        <v>17260</v>
      </c>
      <c r="V1553" s="3000">
        <v>84</v>
      </c>
    </row>
    <row r="1554" spans="4:22" ht="14.25" thickBot="1">
      <c r="D1554" s="2915">
        <v>1550</v>
      </c>
      <c r="E1554" s="2915"/>
      <c r="F1554" s="2914" t="s">
        <v>4661</v>
      </c>
      <c r="G1554" s="2915">
        <v>48.86</v>
      </c>
      <c r="H1554" s="2915">
        <f t="shared" si="25"/>
        <v>8.58</v>
      </c>
      <c r="Q1554" s="3004">
        <v>1550</v>
      </c>
      <c r="R1554" s="2999" t="s">
        <v>6153</v>
      </c>
      <c r="S1554" s="3000">
        <v>48.86</v>
      </c>
      <c r="T1554" s="3000">
        <v>1</v>
      </c>
      <c r="U1554" s="3000">
        <v>17260</v>
      </c>
      <c r="V1554" s="3000">
        <v>84</v>
      </c>
    </row>
    <row r="1555" spans="4:22" ht="14.25" thickBot="1">
      <c r="D1555" s="2915">
        <v>1551</v>
      </c>
      <c r="E1555" s="2915"/>
      <c r="F1555" s="2914" t="s">
        <v>4662</v>
      </c>
      <c r="G1555" s="2915">
        <v>54.87</v>
      </c>
      <c r="H1555" s="2915">
        <f t="shared" si="25"/>
        <v>9.6300000000000008</v>
      </c>
      <c r="Q1555" s="3004">
        <v>1551</v>
      </c>
      <c r="R1555" s="2999" t="s">
        <v>6154</v>
      </c>
      <c r="S1555" s="3000">
        <v>54.87</v>
      </c>
      <c r="T1555" s="3000">
        <v>1</v>
      </c>
      <c r="U1555" s="3000">
        <v>17260</v>
      </c>
      <c r="V1555" s="3000">
        <v>95</v>
      </c>
    </row>
    <row r="1556" spans="4:22">
      <c r="D1556" s="2915">
        <v>1552</v>
      </c>
      <c r="E1556" s="2915"/>
      <c r="F1556" s="2914" t="s">
        <v>4663</v>
      </c>
      <c r="G1556" s="2915">
        <v>88.13</v>
      </c>
      <c r="H1556" s="2915">
        <f t="shared" si="25"/>
        <v>15.47</v>
      </c>
      <c r="Q1556" s="3005">
        <v>1552</v>
      </c>
      <c r="R1556" s="3001" t="s">
        <v>6155</v>
      </c>
      <c r="S1556" s="3002">
        <v>88.13</v>
      </c>
      <c r="T1556" s="3002">
        <v>1</v>
      </c>
      <c r="U1556" s="3002">
        <v>17260</v>
      </c>
      <c r="V1556" s="3002">
        <v>152</v>
      </c>
    </row>
    <row r="1557" spans="4:22">
      <c r="D1557" s="2914" t="s">
        <v>4664</v>
      </c>
      <c r="E1557" s="2915"/>
      <c r="F1557" s="2915"/>
      <c r="G1557" s="2915">
        <f>SUM(G5:G1556)</f>
        <v>154651.20000000138</v>
      </c>
      <c r="H1557" s="2915">
        <f>SUM(H5:H1556)</f>
        <v>27155.460000000021</v>
      </c>
      <c r="Q1557" s="3003" t="s">
        <v>6157</v>
      </c>
      <c r="R1557" s="3004"/>
      <c r="S1557" s="3004">
        <f>SUM(S5:S1556)</f>
        <v>154651.20000000138</v>
      </c>
      <c r="T1557" s="3004"/>
      <c r="U1557" s="3004"/>
      <c r="V1557" s="3004">
        <f t="shared" ref="V1557" si="26">SUM(V5:V1556)</f>
        <v>264915</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34" customWidth="1"/>
    <col min="2" max="9" width="12.125" style="1934" customWidth="1"/>
    <col min="10" max="16384" width="9" style="1934"/>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1641</v>
      </c>
      <c r="B2" s="3018" t="s">
        <v>1642</v>
      </c>
      <c r="C2" s="3018" t="s">
        <v>1643</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9"/>
      <c r="B3" s="3019"/>
      <c r="C3" s="3019"/>
      <c r="D3" s="1040" t="s">
        <v>1638</v>
      </c>
      <c r="E3" s="1040" t="s">
        <v>1644</v>
      </c>
      <c r="F3" s="1040" t="s">
        <v>1638</v>
      </c>
      <c r="G3" s="1040" t="s">
        <v>1639</v>
      </c>
      <c r="H3" s="1040" t="s">
        <v>1638</v>
      </c>
      <c r="I3" s="1040" t="s">
        <v>1639</v>
      </c>
    </row>
    <row r="4" spans="1:9" ht="45">
      <c r="A4" s="1962" t="str">
        <f>项目基本情况!S2</f>
        <v>浙江省杭州市下城区杭州新天地项目D地块办公用房房地产房地产</v>
      </c>
      <c r="B4" s="1040">
        <f>项目基本情况!C17</f>
        <v>49.61</v>
      </c>
      <c r="C4" s="1040">
        <f>项目基本情况!C18</f>
        <v>8.7100000000000009</v>
      </c>
      <c r="D4" s="1040" t="e">
        <f ca="1">结果表!D118</f>
        <v>#REF!</v>
      </c>
      <c r="E4" s="1040" t="e">
        <f ca="1">结果表!E118</f>
        <v>#REF!</v>
      </c>
      <c r="F4" s="1040" t="e">
        <f ca="1">结果表!F118</f>
        <v>#REF!</v>
      </c>
      <c r="G4" s="1040" t="e">
        <f ca="1">结果表!G118</f>
        <v>#REF!</v>
      </c>
      <c r="H4" s="1040">
        <f ca="1">结果表!H118</f>
        <v>86</v>
      </c>
      <c r="I4" s="1040">
        <f ca="1">结果表!I118</f>
        <v>17335</v>
      </c>
    </row>
    <row r="5" spans="1:9" ht="30" customHeight="1">
      <c r="A5" s="3019" t="s">
        <v>1640</v>
      </c>
      <c r="B5" s="3019"/>
      <c r="C5" s="3019"/>
      <c r="D5" s="3020" t="e">
        <f ca="1">结果表!D119</f>
        <v>#REF!</v>
      </c>
      <c r="E5" s="3020"/>
      <c r="F5" s="3020" t="e">
        <f ca="1">结果表!F119</f>
        <v>#REF!</v>
      </c>
      <c r="G5" s="3020"/>
      <c r="H5" s="3020" t="str">
        <f ca="1">结果表!H119</f>
        <v>捌拾陆万元整</v>
      </c>
      <c r="I5" s="3020"/>
    </row>
    <row r="6" spans="1:9" ht="15.75">
      <c r="A6" s="3021" t="str">
        <f>结果表!A120</f>
        <v>估价师知悉的法定优先受偿款</v>
      </c>
      <c r="B6" s="3021"/>
      <c r="C6" s="3021"/>
      <c r="D6" s="3021">
        <f>结果表!D120</f>
        <v>0</v>
      </c>
      <c r="E6" s="3021"/>
      <c r="F6" s="3021"/>
      <c r="G6" s="3021"/>
      <c r="H6" s="3021"/>
      <c r="I6" s="3021"/>
    </row>
    <row r="7" spans="1:9" ht="15">
      <c r="A7" s="3019" t="s">
        <v>1640</v>
      </c>
      <c r="B7" s="3019"/>
      <c r="C7" s="3019"/>
      <c r="D7" s="3022" t="str">
        <f>结果表!D121</f>
        <v>零元整</v>
      </c>
      <c r="E7" s="3023"/>
      <c r="F7" s="3023"/>
      <c r="G7" s="3023"/>
      <c r="H7" s="3023"/>
      <c r="I7" s="3024"/>
    </row>
    <row r="8" spans="1:9" ht="15.75">
      <c r="A8" s="3021" t="str">
        <f>结果表!A122</f>
        <v>房地产抵押价值</v>
      </c>
      <c r="B8" s="3021"/>
      <c r="C8" s="3021"/>
      <c r="D8" s="3021">
        <f ca="1">结果表!D122</f>
        <v>86</v>
      </c>
      <c r="E8" s="3021"/>
      <c r="F8" s="3021"/>
      <c r="G8" s="3021"/>
      <c r="H8" s="3021"/>
      <c r="I8" s="3021"/>
    </row>
    <row r="9" spans="1:9" ht="15">
      <c r="A9" s="3019" t="s">
        <v>1640</v>
      </c>
      <c r="B9" s="3019"/>
      <c r="C9" s="3019"/>
      <c r="D9" s="3020" t="str">
        <f ca="1">结果表!D123</f>
        <v>捌拾陆万元整</v>
      </c>
      <c r="E9" s="3020"/>
      <c r="F9" s="3020"/>
      <c r="G9" s="3020"/>
      <c r="H9" s="3020"/>
      <c r="I9" s="3020"/>
    </row>
    <row r="10" spans="1:9" ht="15.75">
      <c r="A10" s="3021" t="str">
        <f>结果表!A124</f>
        <v/>
      </c>
      <c r="B10" s="3021"/>
      <c r="C10" s="3021"/>
      <c r="D10" s="3021" t="str">
        <f>结果表!D124</f>
        <v>——</v>
      </c>
      <c r="E10" s="3021"/>
      <c r="F10" s="3021"/>
      <c r="G10" s="3021"/>
      <c r="H10" s="3021"/>
      <c r="I10" s="3021"/>
    </row>
    <row r="11" spans="1:9" ht="15">
      <c r="A11" s="3019" t="s">
        <v>1640</v>
      </c>
      <c r="B11" s="3019"/>
      <c r="C11" s="3019"/>
      <c r="D11" s="3020" t="e">
        <f>结果表!D125</f>
        <v>#VALUE!</v>
      </c>
      <c r="E11" s="3020"/>
      <c r="F11" s="3020"/>
      <c r="G11" s="3020"/>
      <c r="H11" s="3020"/>
      <c r="I11" s="3020"/>
    </row>
    <row r="12" spans="1:9" ht="15.75">
      <c r="A12" s="3021" t="str">
        <f>结果表!A126</f>
        <v/>
      </c>
      <c r="B12" s="3021"/>
      <c r="C12" s="3021"/>
      <c r="D12" s="3021" t="str">
        <f>结果表!D126</f>
        <v>——</v>
      </c>
      <c r="E12" s="3021"/>
      <c r="F12" s="3021"/>
      <c r="G12" s="3021"/>
      <c r="H12" s="3021"/>
      <c r="I12" s="3021"/>
    </row>
    <row r="13" spans="1:9" ht="15.75" thickBot="1">
      <c r="A13" s="3025" t="s">
        <v>1640</v>
      </c>
      <c r="B13" s="3025"/>
      <c r="C13" s="3025"/>
      <c r="D13" s="3026" t="e">
        <f>结果表!D127</f>
        <v>#VALUE!</v>
      </c>
      <c r="E13" s="3026"/>
      <c r="F13" s="3026"/>
      <c r="G13" s="3026"/>
      <c r="H13" s="3026"/>
      <c r="I13" s="3026"/>
    </row>
    <row r="14" spans="1:9" ht="15" thickTop="1">
      <c r="A14" s="3027" t="s">
        <v>1645</v>
      </c>
      <c r="B14" s="3027"/>
      <c r="C14" s="3027"/>
      <c r="D14" s="3027"/>
      <c r="E14" s="3027"/>
      <c r="F14" s="3027"/>
      <c r="G14" s="3027"/>
      <c r="H14" s="3027"/>
      <c r="I14" s="3027"/>
    </row>
    <row r="16" spans="1:9" ht="18.75">
      <c r="A16" s="1963" t="s">
        <v>1628</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34" customWidth="1"/>
    <col min="2" max="3" width="22.375" style="1934" customWidth="1"/>
    <col min="4" max="4" width="23" style="1934" customWidth="1"/>
    <col min="5" max="16384" width="9" style="1934"/>
  </cols>
  <sheetData>
    <row r="1" spans="1:4" ht="18.75">
      <c r="A1" s="3028" t="s">
        <v>1662</v>
      </c>
      <c r="B1" s="3028"/>
      <c r="C1" s="3028"/>
      <c r="D1" s="3028"/>
    </row>
    <row r="2" spans="1:4" ht="18">
      <c r="A2" s="3029" t="s">
        <v>1646</v>
      </c>
      <c r="B2" s="3029"/>
      <c r="C2" s="3029"/>
      <c r="D2" s="3029"/>
    </row>
    <row r="3" spans="1:4" ht="18.75">
      <c r="A3" s="1966" t="s">
        <v>1647</v>
      </c>
      <c r="B3" s="1966" t="s">
        <v>1648</v>
      </c>
      <c r="C3" s="1966" t="s">
        <v>1649</v>
      </c>
      <c r="D3" s="1966" t="s">
        <v>1650</v>
      </c>
    </row>
    <row r="4" spans="1:4" ht="56.25" customHeight="1">
      <c r="A4" s="1967" t="str">
        <f>项目基本情况!B4</f>
        <v>郑燚</v>
      </c>
      <c r="B4" s="1968">
        <f ca="1">项目基本情况!C4</f>
        <v>1120070131</v>
      </c>
      <c r="C4" s="1969"/>
      <c r="D4" s="1970" t="s">
        <v>1651</v>
      </c>
    </row>
    <row r="5" spans="1:4" ht="56.25" customHeight="1">
      <c r="A5" s="1967" t="str">
        <f>项目基本情况!D4</f>
        <v>王萌</v>
      </c>
      <c r="B5" s="1968">
        <f ca="1">项目基本情况!E4</f>
        <v>1120130048</v>
      </c>
      <c r="C5" s="1971"/>
      <c r="D5" s="1970" t="s">
        <v>1651</v>
      </c>
    </row>
    <row r="6" spans="1:4" ht="18">
      <c r="A6" s="3029" t="s">
        <v>1652</v>
      </c>
      <c r="B6" s="3029"/>
      <c r="C6" s="3029"/>
      <c r="D6" s="3029"/>
    </row>
    <row r="7" spans="1:4" ht="18.75">
      <c r="A7" s="1966" t="s">
        <v>1647</v>
      </c>
      <c r="B7" s="1968" t="s">
        <v>1653</v>
      </c>
      <c r="C7" s="1966" t="s">
        <v>1649</v>
      </c>
      <c r="D7" s="1966" t="s">
        <v>1650</v>
      </c>
    </row>
    <row r="8" spans="1:4" ht="56.25" customHeight="1">
      <c r="A8" s="1972" t="s">
        <v>869</v>
      </c>
      <c r="B8" s="1972" t="s">
        <v>1</v>
      </c>
      <c r="C8" s="1969"/>
      <c r="D8" s="1970" t="s">
        <v>1651</v>
      </c>
    </row>
    <row r="9" spans="1:4">
      <c r="A9" s="721"/>
      <c r="B9" s="721"/>
      <c r="C9" s="721"/>
      <c r="D9" s="721"/>
    </row>
    <row r="10" spans="1:4" ht="18.75">
      <c r="A10" s="1973" t="s">
        <v>1654</v>
      </c>
      <c r="B10" s="721"/>
      <c r="C10" s="721"/>
      <c r="D10" s="721"/>
    </row>
    <row r="11" spans="1:4" ht="30" customHeight="1">
      <c r="A11" s="3030" t="s">
        <v>1655</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31" t="str">
        <f>IF(项目基本情况!B8="抵押","4.本次评估估价师所知悉的法定优先受偿款情况说明如下：","——")</f>
        <v>4.本次评估估价师所知悉的法定优先受偿款情况说明如下：</v>
      </c>
      <c r="B14" s="3032"/>
      <c r="C14" s="3032"/>
      <c r="D14" s="3032"/>
    </row>
    <row r="15" spans="1:4" ht="42" customHeight="1">
      <c r="A15" s="3031" t="str">
        <f>IF(项目基本情况!B8="抵押","（1）"&amp;CONCATENATE(项目基本情况!L20,项目基本情况!L21,项目基本情况!L22),"——")</f>
        <v>（1）根据估价对象《国有土地使用权》复印件，截至价值时点，估价对象抵押权未见登记。</v>
      </c>
      <c r="B15" s="3031"/>
      <c r="C15" s="3031"/>
      <c r="D15" s="3031"/>
    </row>
    <row r="16" spans="1:4" ht="30" customHeight="1">
      <c r="A16" s="3034" t="s">
        <v>1656</v>
      </c>
      <c r="B16" s="3034"/>
      <c r="C16" s="3034"/>
      <c r="D16" s="3034"/>
    </row>
    <row r="17" spans="1:4" ht="144" customHeight="1">
      <c r="A17" s="3034" t="s">
        <v>1657</v>
      </c>
      <c r="B17" s="3034"/>
      <c r="C17" s="3034"/>
      <c r="D17" s="3034"/>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1"/>
      <c r="C20" s="3031"/>
      <c r="D20" s="3031"/>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5"/>
      <c r="C21" s="3035"/>
      <c r="D21" s="3035"/>
    </row>
    <row r="22" spans="1:4" ht="18.75" customHeight="1">
      <c r="A22" s="3036" t="s">
        <v>1658</v>
      </c>
      <c r="B22" s="3036"/>
      <c r="C22" s="3036"/>
      <c r="D22" s="3036"/>
    </row>
    <row r="23" spans="1:4">
      <c r="A23" s="1974"/>
      <c r="B23" s="1946"/>
      <c r="C23" s="1946"/>
      <c r="D23" s="1946"/>
    </row>
    <row r="24" spans="1:4">
      <c r="A24" s="1974"/>
      <c r="B24" s="1946"/>
      <c r="C24" s="1946"/>
      <c r="D24" s="1946"/>
    </row>
    <row r="25" spans="1:4" ht="18.75">
      <c r="A25" s="1975" t="s">
        <v>1659</v>
      </c>
    </row>
    <row r="26" spans="1:4" ht="18">
      <c r="A26" s="1944"/>
    </row>
    <row r="27" spans="1:4" ht="18.75">
      <c r="A27" s="1944" t="s">
        <v>1660</v>
      </c>
    </row>
    <row r="30" spans="1:4" ht="18.75">
      <c r="D30" s="1975" t="s">
        <v>1661</v>
      </c>
    </row>
    <row r="31" spans="1:4" ht="13.5" customHeight="1">
      <c r="C31" s="3033">
        <v>42551</v>
      </c>
      <c r="D31" s="30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32" customWidth="1"/>
    <col min="3" max="10" width="12.5" style="1932" customWidth="1"/>
    <col min="11" max="16384" width="9" style="1932"/>
  </cols>
  <sheetData>
    <row r="1" spans="1:10" ht="18.75">
      <c r="A1" s="1965" t="s">
        <v>870</v>
      </c>
      <c r="B1" s="1976"/>
      <c r="C1" s="1976"/>
      <c r="D1" s="1976"/>
      <c r="E1" s="1976"/>
      <c r="F1" s="1976"/>
      <c r="G1" s="1976"/>
      <c r="H1" s="1976"/>
      <c r="I1" s="1976"/>
      <c r="J1" s="1976"/>
    </row>
    <row r="2" spans="1:10" ht="18.75">
      <c r="A2" s="1977"/>
      <c r="B2" s="1976"/>
      <c r="C2" s="1976"/>
      <c r="D2" s="1976"/>
      <c r="E2" s="1976"/>
      <c r="F2" s="1976"/>
      <c r="G2" s="1976"/>
      <c r="H2" s="1976"/>
      <c r="I2" s="1976"/>
      <c r="J2" s="1976"/>
    </row>
    <row r="3" spans="1:10">
      <c r="A3" s="1976"/>
      <c r="B3" s="1976"/>
      <c r="C3" s="1976"/>
      <c r="D3" s="1976"/>
      <c r="E3" s="1976"/>
      <c r="F3" s="1976"/>
      <c r="G3" s="1976"/>
      <c r="H3" s="1976"/>
      <c r="I3" s="1976"/>
      <c r="J3" s="1976"/>
    </row>
    <row r="4" spans="1:10">
      <c r="A4" s="1976"/>
      <c r="B4" s="1976"/>
      <c r="C4" s="1976"/>
      <c r="D4" s="1976"/>
      <c r="E4" s="1976"/>
      <c r="F4" s="1976"/>
      <c r="G4" s="1976"/>
      <c r="H4" s="1976"/>
      <c r="I4" s="1976"/>
      <c r="J4" s="1976"/>
    </row>
    <row r="5" spans="1:10">
      <c r="A5" s="1976"/>
      <c r="B5" s="1976"/>
      <c r="C5" s="1976"/>
      <c r="D5" s="1976"/>
      <c r="E5" s="1976"/>
      <c r="F5" s="1976"/>
      <c r="G5" s="1976"/>
      <c r="H5" s="1976"/>
      <c r="I5" s="1976"/>
      <c r="J5" s="1976"/>
    </row>
    <row r="6" spans="1:10">
      <c r="A6" s="1976"/>
      <c r="B6" s="1976"/>
      <c r="C6" s="1976"/>
      <c r="D6" s="1976"/>
      <c r="E6" s="1976"/>
      <c r="F6" s="1976"/>
      <c r="G6" s="1976"/>
      <c r="H6" s="1976"/>
      <c r="I6" s="1976"/>
      <c r="J6" s="1976"/>
    </row>
    <row r="7" spans="1:10">
      <c r="A7" s="1976"/>
      <c r="B7" s="1976"/>
      <c r="C7" s="1976"/>
      <c r="D7" s="1976"/>
      <c r="E7" s="1976"/>
      <c r="F7" s="1976"/>
      <c r="G7" s="1976"/>
      <c r="H7" s="1976"/>
      <c r="I7" s="1976"/>
      <c r="J7" s="1976"/>
    </row>
    <row r="8" spans="1:10">
      <c r="A8" s="1976"/>
      <c r="B8" s="1976"/>
      <c r="C8" s="1976"/>
      <c r="D8" s="1976"/>
      <c r="E8" s="1976"/>
      <c r="F8" s="1976"/>
      <c r="G8" s="1976"/>
      <c r="H8" s="1976"/>
      <c r="I8" s="1976"/>
      <c r="J8" s="1976"/>
    </row>
    <row r="9" spans="1:10">
      <c r="A9" s="1976"/>
      <c r="B9" s="1976"/>
      <c r="C9" s="1976"/>
      <c r="D9" s="1976"/>
      <c r="E9" s="1976"/>
      <c r="F9" s="1976"/>
      <c r="G9" s="1976"/>
      <c r="H9" s="1976"/>
      <c r="I9" s="1976"/>
      <c r="J9" s="1976"/>
    </row>
    <row r="10" spans="1:10">
      <c r="A10" s="1976"/>
      <c r="B10" s="1976"/>
      <c r="C10" s="1976"/>
      <c r="D10" s="1976"/>
      <c r="E10" s="1976"/>
      <c r="F10" s="1976"/>
      <c r="G10" s="1976"/>
      <c r="H10" s="1976"/>
      <c r="I10" s="1976"/>
      <c r="J10" s="1976"/>
    </row>
    <row r="11" spans="1:10">
      <c r="A11" s="1976"/>
      <c r="B11" s="1976"/>
      <c r="C11" s="1976"/>
      <c r="D11" s="1976"/>
      <c r="E11" s="1976"/>
      <c r="F11" s="1976"/>
      <c r="G11" s="1976"/>
      <c r="H11" s="1976"/>
      <c r="I11" s="1976"/>
      <c r="J11" s="1976"/>
    </row>
    <row r="12" spans="1:10">
      <c r="A12" s="1976"/>
      <c r="B12" s="1976"/>
      <c r="C12" s="1976"/>
      <c r="D12" s="1976"/>
      <c r="E12" s="1976"/>
      <c r="F12" s="1976"/>
      <c r="G12" s="1976"/>
      <c r="H12" s="1976"/>
      <c r="I12" s="1976"/>
      <c r="J12" s="1976"/>
    </row>
    <row r="13" spans="1:10">
      <c r="A13" s="1976"/>
      <c r="B13" s="1976"/>
      <c r="C13" s="1976"/>
      <c r="D13" s="1976"/>
      <c r="E13" s="1976"/>
      <c r="F13" s="1976"/>
      <c r="G13" s="1976"/>
      <c r="H13" s="1976"/>
      <c r="I13" s="1976"/>
      <c r="J13" s="1976"/>
    </row>
    <row r="14" spans="1:10">
      <c r="A14" s="1976"/>
      <c r="B14" s="1976"/>
      <c r="C14" s="1976"/>
      <c r="D14" s="1976"/>
      <c r="E14" s="1976"/>
      <c r="F14" s="1976"/>
      <c r="G14" s="1976"/>
      <c r="H14" s="1976"/>
      <c r="I14" s="1976"/>
      <c r="J14" s="1976"/>
    </row>
    <row r="15" spans="1:10">
      <c r="A15" s="1976"/>
      <c r="B15" s="1976"/>
      <c r="C15" s="1976"/>
      <c r="D15" s="1976"/>
      <c r="E15" s="1976"/>
      <c r="F15" s="1976"/>
      <c r="G15" s="1976"/>
      <c r="H15" s="1976"/>
      <c r="I15" s="1976"/>
      <c r="J15" s="1976"/>
    </row>
    <row r="16" spans="1:10">
      <c r="A16" s="1976"/>
      <c r="B16" s="1976"/>
      <c r="C16" s="1976"/>
      <c r="D16" s="1976"/>
      <c r="E16" s="1976"/>
      <c r="F16" s="1976"/>
      <c r="G16" s="1976"/>
      <c r="H16" s="1976"/>
      <c r="I16" s="1976"/>
      <c r="J16" s="1976"/>
    </row>
    <row r="17" spans="1:10">
      <c r="A17" s="1976"/>
      <c r="B17" s="1976"/>
      <c r="C17" s="1976"/>
      <c r="D17" s="1976"/>
      <c r="E17" s="1976"/>
      <c r="F17" s="1976"/>
      <c r="G17" s="1976"/>
      <c r="H17" s="1976"/>
      <c r="I17" s="1976"/>
      <c r="J17" s="1976"/>
    </row>
    <row r="18" spans="1:10">
      <c r="A18" s="1976"/>
      <c r="B18" s="1976"/>
      <c r="C18" s="1976"/>
      <c r="D18" s="1976"/>
      <c r="E18" s="1976"/>
      <c r="F18" s="1976"/>
      <c r="G18" s="1976"/>
      <c r="H18" s="1976"/>
      <c r="I18" s="1976"/>
      <c r="J18" s="1976"/>
    </row>
    <row r="19" spans="1:10">
      <c r="A19" s="1976"/>
      <c r="B19" s="1976"/>
      <c r="C19" s="1976"/>
      <c r="D19" s="1976"/>
      <c r="E19" s="1976"/>
      <c r="F19" s="1976"/>
      <c r="G19" s="1976"/>
      <c r="H19" s="1976"/>
      <c r="I19" s="1976"/>
      <c r="J19" s="1976"/>
    </row>
    <row r="20" spans="1:10">
      <c r="A20" s="1976"/>
      <c r="B20" s="1976"/>
      <c r="C20" s="1976"/>
      <c r="D20" s="1976"/>
      <c r="E20" s="1976"/>
      <c r="F20" s="1976"/>
      <c r="G20" s="1976"/>
      <c r="H20" s="1976"/>
      <c r="I20" s="1976"/>
      <c r="J20" s="1976"/>
    </row>
    <row r="21" spans="1:10">
      <c r="A21" s="1976"/>
      <c r="B21" s="1976"/>
      <c r="C21" s="1976"/>
      <c r="D21" s="1976"/>
      <c r="E21" s="1976"/>
      <c r="F21" s="1976"/>
      <c r="G21" s="1976"/>
      <c r="H21" s="1976"/>
      <c r="I21" s="1976"/>
      <c r="J21" s="1976"/>
    </row>
    <row r="22" spans="1:10">
      <c r="A22" s="1976"/>
      <c r="B22" s="1976"/>
      <c r="C22" s="1976"/>
      <c r="D22" s="1976"/>
      <c r="E22" s="1976"/>
      <c r="F22" s="1976"/>
      <c r="G22" s="1976"/>
      <c r="H22" s="1976"/>
      <c r="I22" s="1976"/>
      <c r="J22" s="1976"/>
    </row>
    <row r="23" spans="1:10">
      <c r="A23" s="1976"/>
      <c r="B23" s="1976"/>
      <c r="C23" s="1976"/>
      <c r="D23" s="1976"/>
      <c r="E23" s="1976"/>
      <c r="F23" s="1976"/>
      <c r="G23" s="1976"/>
      <c r="H23" s="1976"/>
      <c r="I23" s="1976"/>
      <c r="J23" s="1976"/>
    </row>
    <row r="24" spans="1:10">
      <c r="A24" s="1976"/>
      <c r="B24" s="1976"/>
      <c r="C24" s="1976"/>
      <c r="D24" s="1976"/>
      <c r="E24" s="1976"/>
      <c r="F24" s="1976"/>
      <c r="G24" s="1976"/>
      <c r="H24" s="1976"/>
      <c r="I24" s="1976"/>
      <c r="J24" s="1976"/>
    </row>
    <row r="25" spans="1:10">
      <c r="A25" s="1976"/>
      <c r="B25" s="1976"/>
      <c r="C25" s="1976"/>
      <c r="D25" s="1976"/>
      <c r="E25" s="1976"/>
      <c r="F25" s="1976"/>
      <c r="G25" s="1976"/>
      <c r="H25" s="1976"/>
      <c r="I25" s="1976"/>
      <c r="J25" s="1976"/>
    </row>
    <row r="26" spans="1:10">
      <c r="A26" s="1976"/>
      <c r="B26" s="1976"/>
      <c r="C26" s="1976"/>
      <c r="D26" s="1976"/>
      <c r="E26" s="1976"/>
      <c r="F26" s="1976"/>
      <c r="G26" s="1976"/>
      <c r="H26" s="1976"/>
      <c r="I26" s="1976"/>
      <c r="J26" s="1976"/>
    </row>
    <row r="27" spans="1:10">
      <c r="A27" s="1976"/>
      <c r="B27" s="1976"/>
      <c r="C27" s="1976"/>
      <c r="D27" s="1976"/>
      <c r="E27" s="1976"/>
      <c r="F27" s="1976"/>
      <c r="G27" s="1976"/>
      <c r="H27" s="1976"/>
      <c r="I27" s="1976"/>
      <c r="J27" s="1976"/>
    </row>
    <row r="28" spans="1:10">
      <c r="A28" s="1976"/>
      <c r="B28" s="1976"/>
      <c r="C28" s="1976"/>
      <c r="D28" s="1976"/>
      <c r="E28" s="1976"/>
      <c r="F28" s="1976"/>
      <c r="G28" s="1976"/>
      <c r="H28" s="1976"/>
      <c r="I28" s="1976"/>
      <c r="J28" s="1976"/>
    </row>
    <row r="29" spans="1:10">
      <c r="A29" s="1976"/>
      <c r="B29" s="1976"/>
      <c r="C29" s="1976"/>
      <c r="D29" s="1976"/>
      <c r="E29" s="1976"/>
      <c r="F29" s="1976"/>
      <c r="G29" s="1976"/>
      <c r="H29" s="1976"/>
      <c r="I29" s="1976"/>
      <c r="J29" s="1976"/>
    </row>
    <row r="30" spans="1:10">
      <c r="A30" s="1976"/>
      <c r="B30" s="1976"/>
      <c r="C30" s="1976"/>
      <c r="D30" s="1976"/>
      <c r="E30" s="1976"/>
      <c r="F30" s="1976"/>
      <c r="G30" s="1976"/>
      <c r="H30" s="1976"/>
      <c r="I30" s="1976"/>
      <c r="J30" s="1976"/>
    </row>
    <row r="31" spans="1:10">
      <c r="A31" s="1976"/>
      <c r="B31" s="1976"/>
      <c r="C31" s="1976"/>
      <c r="D31" s="1976"/>
      <c r="E31" s="1976"/>
      <c r="F31" s="1976"/>
      <c r="G31" s="1976"/>
      <c r="H31" s="1976"/>
      <c r="I31" s="1976"/>
      <c r="J31" s="197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2" customWidth="1"/>
    <col min="2" max="16384" width="14.5" style="1964"/>
  </cols>
  <sheetData>
    <row r="1" spans="1:7" s="1979" customFormat="1" ht="18.75">
      <c r="A1" s="1978" t="s">
        <v>1663</v>
      </c>
    </row>
    <row r="3" spans="1:7">
      <c r="A3" s="1980" t="s">
        <v>82</v>
      </c>
      <c r="B3" s="1964" t="s">
        <v>1664</v>
      </c>
      <c r="G3" s="1981"/>
    </row>
    <row r="4" spans="1:7">
      <c r="G4" s="1981"/>
    </row>
    <row r="5" spans="1:7">
      <c r="A5" s="1983" t="s">
        <v>73</v>
      </c>
      <c r="B5" s="1964" t="s">
        <v>1665</v>
      </c>
      <c r="G5" s="1981"/>
    </row>
    <row r="6" spans="1:7">
      <c r="G6" s="1981"/>
    </row>
    <row r="7" spans="1:7">
      <c r="A7" s="1984" t="s">
        <v>135</v>
      </c>
      <c r="B7" s="1964" t="s">
        <v>1666</v>
      </c>
      <c r="G7" s="1981"/>
    </row>
    <row r="8" spans="1:7">
      <c r="G8" s="1981"/>
    </row>
    <row r="9" spans="1:7">
      <c r="A9" s="1985" t="s">
        <v>74</v>
      </c>
      <c r="B9" s="1964" t="s">
        <v>1667</v>
      </c>
    </row>
    <row r="11" spans="1:7">
      <c r="A11" s="1986" t="s">
        <v>75</v>
      </c>
      <c r="B11" s="1987" t="s">
        <v>72</v>
      </c>
    </row>
    <row r="13" spans="1:7">
      <c r="A13" s="1988" t="s">
        <v>1668</v>
      </c>
    </row>
    <row r="15" spans="1:7" ht="13.5">
      <c r="A15" s="3042" t="s">
        <v>1669</v>
      </c>
      <c r="B15" s="3037" t="s">
        <v>136</v>
      </c>
      <c r="C15" s="3038"/>
    </row>
    <row r="16" spans="1:7" ht="13.5">
      <c r="A16" s="3043"/>
      <c r="B16" s="3037" t="s">
        <v>69</v>
      </c>
      <c r="C16" s="3038"/>
    </row>
    <row r="17" spans="1:3" ht="13.5">
      <c r="A17" s="3043"/>
      <c r="B17" s="3040" t="s">
        <v>1670</v>
      </c>
      <c r="C17" s="1989" t="s">
        <v>1669</v>
      </c>
    </row>
    <row r="18" spans="1:3" ht="13.5">
      <c r="A18" s="3043"/>
      <c r="B18" s="3040"/>
      <c r="C18" s="1989" t="s">
        <v>1671</v>
      </c>
    </row>
    <row r="19" spans="1:3" ht="13.5">
      <c r="A19" s="3043"/>
      <c r="B19" s="3040"/>
      <c r="C19" s="1989" t="s">
        <v>1672</v>
      </c>
    </row>
    <row r="20" spans="1:3" ht="13.5">
      <c r="A20" s="3044"/>
      <c r="B20" s="3039" t="s">
        <v>1673</v>
      </c>
      <c r="C20" s="3038"/>
    </row>
    <row r="21" spans="1:3" ht="13.5">
      <c r="A21" s="1990" t="s">
        <v>1674</v>
      </c>
      <c r="B21" s="1991"/>
      <c r="C21" s="1992"/>
    </row>
    <row r="22" spans="1:3" ht="13.5">
      <c r="A22" s="3041" t="s">
        <v>1675</v>
      </c>
      <c r="B22" s="3039" t="s">
        <v>1676</v>
      </c>
      <c r="C22" s="3038"/>
    </row>
    <row r="23" spans="1:3" ht="13.5">
      <c r="A23" s="3041"/>
      <c r="B23" s="3039" t="s">
        <v>1677</v>
      </c>
      <c r="C23" s="3038"/>
    </row>
    <row r="24" spans="1:3" ht="13.5">
      <c r="A24" s="3041"/>
      <c r="B24" s="3039" t="s">
        <v>1678</v>
      </c>
      <c r="C24" s="3038"/>
    </row>
    <row r="25" spans="1:3" ht="13.5">
      <c r="A25" s="3041"/>
      <c r="B25" s="3040" t="s">
        <v>1679</v>
      </c>
      <c r="C25" s="1989" t="s">
        <v>1680</v>
      </c>
    </row>
    <row r="26" spans="1:3" ht="13.5">
      <c r="A26" s="3041"/>
      <c r="B26" s="3040"/>
      <c r="C26" s="1989" t="s">
        <v>1681</v>
      </c>
    </row>
    <row r="27" spans="1:3" ht="13.5">
      <c r="A27" s="3041"/>
      <c r="B27" s="3040"/>
      <c r="C27" s="1989" t="s">
        <v>1682</v>
      </c>
    </row>
    <row r="28" spans="1:3" ht="13.5">
      <c r="A28" s="3041"/>
      <c r="B28" s="3040"/>
      <c r="C28" s="1989" t="s">
        <v>1683</v>
      </c>
    </row>
    <row r="29" spans="1:3" ht="13.5">
      <c r="A29" s="3041"/>
      <c r="B29" s="3040"/>
      <c r="C29" s="1989" t="s">
        <v>1684</v>
      </c>
    </row>
    <row r="30" spans="1:3" ht="13.5">
      <c r="A30" s="3041"/>
      <c r="B30" s="3040"/>
      <c r="C30" s="1989" t="s">
        <v>1685</v>
      </c>
    </row>
    <row r="31" spans="1:3" ht="13.5">
      <c r="A31" s="3041"/>
      <c r="B31" s="3040"/>
      <c r="C31" s="1989" t="s">
        <v>1686</v>
      </c>
    </row>
    <row r="32" spans="1:3" ht="13.5">
      <c r="A32" s="3041"/>
      <c r="B32" s="3040"/>
      <c r="C32" s="1989" t="s">
        <v>1687</v>
      </c>
    </row>
    <row r="33" spans="1:3" ht="13.5">
      <c r="A33" s="3041"/>
      <c r="B33" s="3040"/>
      <c r="C33" s="1989" t="s">
        <v>1688</v>
      </c>
    </row>
    <row r="34" spans="1:3">
      <c r="A34" s="1993" t="s">
        <v>76</v>
      </c>
    </row>
    <row r="37" spans="1:3">
      <c r="A37" s="1993" t="s">
        <v>1689</v>
      </c>
    </row>
    <row r="38" spans="1:3" ht="13.5">
      <c r="A38" s="1994" t="s">
        <v>77</v>
      </c>
    </row>
    <row r="39" spans="1:3" ht="13.5">
      <c r="A39" s="1994" t="s">
        <v>78</v>
      </c>
    </row>
    <row r="40" spans="1:3" ht="13.5">
      <c r="A40" s="1994" t="s">
        <v>79</v>
      </c>
    </row>
    <row r="41" spans="1:3" ht="13.5">
      <c r="A41" s="1995" t="s">
        <v>80</v>
      </c>
    </row>
    <row r="42" spans="1:3" ht="13.5">
      <c r="A42" s="19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43060</v>
      </c>
      <c r="C2" s="1015" t="s">
        <v>826</v>
      </c>
      <c r="D2" s="1015"/>
    </row>
    <row r="3" spans="1:6" ht="24" customHeight="1">
      <c r="A3" s="1016" t="s">
        <v>827</v>
      </c>
      <c r="B3" s="1017" t="s">
        <v>828</v>
      </c>
      <c r="C3" s="2331" t="s">
        <v>829</v>
      </c>
      <c r="D3" s="2334" t="s">
        <v>830</v>
      </c>
      <c r="E3" s="1018" t="s">
        <v>831</v>
      </c>
      <c r="F3" s="1017" t="s">
        <v>829</v>
      </c>
    </row>
    <row r="4" spans="1:6" ht="24" customHeight="1">
      <c r="A4" s="1692" t="s">
        <v>832</v>
      </c>
      <c r="B4" s="1018">
        <f ca="1">IF(C4&lt;B2,"已过期",1119970066)</f>
        <v>1119970066</v>
      </c>
      <c r="C4" s="2332">
        <v>43849</v>
      </c>
      <c r="D4" s="2335" t="s">
        <v>832</v>
      </c>
      <c r="E4" s="1018">
        <f ca="1">IF(F4&lt;B2,"已过期",96010014)</f>
        <v>96010014</v>
      </c>
      <c r="F4" s="1026">
        <v>47118</v>
      </c>
    </row>
    <row r="5" spans="1:6" ht="24" customHeight="1">
      <c r="A5" s="1692" t="s">
        <v>833</v>
      </c>
      <c r="B5" s="1018">
        <f ca="1">IF(C5&lt;B2,"已过期",1119970074)</f>
        <v>1119970074</v>
      </c>
      <c r="C5" s="2332">
        <v>43849</v>
      </c>
      <c r="D5" s="2335" t="s">
        <v>833</v>
      </c>
      <c r="E5" s="1018">
        <f ca="1">IF(F5&lt;B2,"已过期",2002110027)</f>
        <v>2002110027</v>
      </c>
      <c r="F5" s="1026">
        <v>46752</v>
      </c>
    </row>
    <row r="6" spans="1:6" ht="24" customHeight="1">
      <c r="A6" s="1692" t="s">
        <v>834</v>
      </c>
      <c r="B6" s="1018">
        <f ca="1">IF(C6&lt;B2,"已过期",1119970111)</f>
        <v>1119970111</v>
      </c>
      <c r="C6" s="2332">
        <v>43849</v>
      </c>
      <c r="D6" s="2335" t="s">
        <v>834</v>
      </c>
      <c r="E6" s="1018">
        <f ca="1">IF(F6&lt;B2,"已过期",94010078)</f>
        <v>94010078</v>
      </c>
      <c r="F6" s="1026">
        <v>46387</v>
      </c>
    </row>
    <row r="7" spans="1:6" ht="24" customHeight="1">
      <c r="A7" s="1692" t="s">
        <v>835</v>
      </c>
      <c r="B7" s="1018">
        <f ca="1">IF(C7&lt;B2,"已过期",1120050019)</f>
        <v>1120050019</v>
      </c>
      <c r="C7" s="2332">
        <v>43359</v>
      </c>
      <c r="D7" s="2335" t="s">
        <v>835</v>
      </c>
      <c r="E7" s="1018">
        <f ca="1">IF(F7&lt;B2,"已过期",2002110030)</f>
        <v>2002110030</v>
      </c>
      <c r="F7" s="1026">
        <v>46387</v>
      </c>
    </row>
    <row r="8" spans="1:6" ht="24" customHeight="1">
      <c r="A8" s="1692" t="s">
        <v>836</v>
      </c>
      <c r="B8" s="1018">
        <f ca="1">IF(C8&lt;B2,"已过期",1120000080)</f>
        <v>1120000080</v>
      </c>
      <c r="C8" s="2332">
        <v>43849</v>
      </c>
      <c r="D8" s="2335" t="s">
        <v>836</v>
      </c>
      <c r="E8" s="1018">
        <f ca="1">IF(F8&lt;B2,"已过期",2000110082)</f>
        <v>2000110082</v>
      </c>
      <c r="F8" s="1026">
        <v>46387</v>
      </c>
    </row>
    <row r="9" spans="1:6" ht="24" customHeight="1">
      <c r="A9" s="1692" t="s">
        <v>837</v>
      </c>
      <c r="B9" s="1018">
        <f ca="1">IF(C9&lt;B2,"已过期",1419970001)</f>
        <v>1419970001</v>
      </c>
      <c r="C9" s="2332">
        <v>43867</v>
      </c>
      <c r="D9" s="2335" t="s">
        <v>837</v>
      </c>
      <c r="E9" s="1018">
        <f ca="1">IF(F9&lt;B2,"已过期",2002110125)</f>
        <v>2002110125</v>
      </c>
      <c r="F9" s="1026">
        <v>47118</v>
      </c>
    </row>
    <row r="10" spans="1:6" ht="24" customHeight="1">
      <c r="A10" s="1692" t="s">
        <v>838</v>
      </c>
      <c r="B10" s="1018">
        <f ca="1">IF(C10&lt;B2,"已过期",1120060040)</f>
        <v>1120060040</v>
      </c>
      <c r="C10" s="2332">
        <v>43483</v>
      </c>
      <c r="D10" s="2335" t="s">
        <v>838</v>
      </c>
      <c r="E10" s="1018">
        <f ca="1">IF(F10&lt;B2,"已过期",2004110096)</f>
        <v>2004110096</v>
      </c>
      <c r="F10" s="1026">
        <v>47118</v>
      </c>
    </row>
    <row r="11" spans="1:6" ht="24" customHeight="1">
      <c r="A11" s="1692" t="s">
        <v>839</v>
      </c>
      <c r="B11" s="1018">
        <f ca="1">IF(C11&lt;B2,"已过期",1120100036)</f>
        <v>1120100036</v>
      </c>
      <c r="C11" s="2332">
        <v>43622</v>
      </c>
      <c r="D11" s="2335" t="s">
        <v>839</v>
      </c>
      <c r="E11" s="1018">
        <f ca="1">IF(F11&lt;B2,"已过期",2010110070)</f>
        <v>2010110070</v>
      </c>
      <c r="F11" s="1026">
        <v>47907</v>
      </c>
    </row>
    <row r="12" spans="1:6" ht="24" customHeight="1">
      <c r="A12" s="1692"/>
      <c r="B12" s="1018"/>
      <c r="C12" s="2332"/>
      <c r="D12" s="2335"/>
      <c r="E12" s="1018"/>
      <c r="F12" s="1018"/>
    </row>
    <row r="13" spans="1:6" ht="24" customHeight="1">
      <c r="A13" s="1692" t="s">
        <v>840</v>
      </c>
      <c r="B13" s="1018">
        <f ca="1">IF(C13&lt;B2,"已过期",1120070131)</f>
        <v>1120070131</v>
      </c>
      <c r="C13" s="2332">
        <v>43814</v>
      </c>
      <c r="D13" s="2335" t="s">
        <v>840</v>
      </c>
      <c r="E13" s="1018">
        <v>2014110011</v>
      </c>
      <c r="F13" s="1026">
        <v>49302</v>
      </c>
    </row>
    <row r="14" spans="1:6" ht="24" customHeight="1">
      <c r="A14" s="1692" t="s">
        <v>841</v>
      </c>
      <c r="B14" s="1018">
        <f ca="1">IF(C14&lt;B2,"已过期",1120130020)</f>
        <v>1120130020</v>
      </c>
      <c r="C14" s="2332">
        <v>43622</v>
      </c>
      <c r="D14" s="2335"/>
      <c r="E14" s="1018"/>
      <c r="F14" s="1018"/>
    </row>
    <row r="15" spans="1:6" ht="24" customHeight="1">
      <c r="A15" s="1693" t="s">
        <v>1149</v>
      </c>
      <c r="B15" s="1018">
        <v>1120070085</v>
      </c>
      <c r="C15" s="2332">
        <v>43814</v>
      </c>
      <c r="D15" s="2336" t="s">
        <v>1149</v>
      </c>
      <c r="E15" s="1018">
        <v>2004110128</v>
      </c>
      <c r="F15" s="1019">
        <v>47118</v>
      </c>
    </row>
    <row r="16" spans="1:6" ht="24" customHeight="1">
      <c r="A16" s="1692" t="s">
        <v>842</v>
      </c>
      <c r="B16" s="1018">
        <f ca="1">IF(C16&lt;B2,"已过期",1120140022)</f>
        <v>1120140022</v>
      </c>
      <c r="C16" s="2332">
        <v>44029</v>
      </c>
      <c r="D16" s="2335" t="s">
        <v>842</v>
      </c>
      <c r="E16" s="1018">
        <f ca="1">IF(F16&lt;B2,"已过期",2008110059)</f>
        <v>2008110059</v>
      </c>
      <c r="F16" s="1026">
        <v>47177</v>
      </c>
    </row>
    <row r="17" spans="1:7" ht="24" customHeight="1">
      <c r="A17" s="1692"/>
      <c r="B17" s="1018"/>
      <c r="C17" s="2332"/>
      <c r="D17" s="2335"/>
      <c r="E17" s="1018"/>
      <c r="F17" s="1026"/>
    </row>
    <row r="18" spans="1:7" ht="24" customHeight="1">
      <c r="A18" s="1692"/>
      <c r="B18" s="1018"/>
      <c r="C18" s="2332"/>
      <c r="D18" s="2335"/>
      <c r="E18" s="1018"/>
      <c r="F18" s="1026"/>
    </row>
    <row r="19" spans="1:7" ht="24" customHeight="1">
      <c r="A19" s="1692"/>
      <c r="B19" s="1018"/>
      <c r="C19" s="2332"/>
      <c r="D19" s="2335"/>
      <c r="E19" s="1018"/>
      <c r="F19" s="1018"/>
    </row>
    <row r="20" spans="1:7" ht="24" customHeight="1">
      <c r="A20" s="1692"/>
      <c r="B20" s="1018"/>
      <c r="C20" s="2332"/>
      <c r="D20" s="2335"/>
      <c r="E20" s="1018"/>
      <c r="F20" s="1018"/>
    </row>
    <row r="21" spans="1:7" ht="24" customHeight="1">
      <c r="A21" s="1692"/>
      <c r="B21" s="1018"/>
      <c r="C21" s="2332"/>
      <c r="D21" s="2335" t="s">
        <v>843</v>
      </c>
      <c r="E21" s="1018">
        <f ca="1">IF(F21&lt;B2,"已过期",2011110090)</f>
        <v>2011110090</v>
      </c>
      <c r="F21" s="1026">
        <v>48302</v>
      </c>
    </row>
    <row r="22" spans="1:7" ht="24" customHeight="1">
      <c r="A22" s="1692" t="s">
        <v>844</v>
      </c>
      <c r="B22" s="1018">
        <f ca="1">IF(C22&lt;B2,"已过期",1120020033)</f>
        <v>1120020033</v>
      </c>
      <c r="C22" s="2332">
        <v>43304</v>
      </c>
      <c r="D22" s="2335" t="s">
        <v>844</v>
      </c>
      <c r="E22" s="1018">
        <f ca="1">IF(F22&lt;B2,"已过期",2000110137)</f>
        <v>2000110137</v>
      </c>
      <c r="F22" s="1026">
        <v>46387</v>
      </c>
    </row>
    <row r="23" spans="1:7" ht="24" customHeight="1">
      <c r="A23" s="1692" t="s">
        <v>845</v>
      </c>
      <c r="B23" s="1018">
        <f ca="1">IF(C23&lt;B2,"已过期",1120130048)</f>
        <v>1120130048</v>
      </c>
      <c r="C23" s="2332">
        <v>43686</v>
      </c>
      <c r="D23" s="2335"/>
      <c r="E23" s="1018"/>
      <c r="F23" s="1018"/>
    </row>
    <row r="24" spans="1:7" s="1020" customFormat="1" ht="24" customHeight="1">
      <c r="A24" s="1693" t="s">
        <v>1334</v>
      </c>
      <c r="B24" s="1693" t="s">
        <v>1334</v>
      </c>
      <c r="C24" s="2333" t="s">
        <v>1334</v>
      </c>
      <c r="D24" s="2336" t="s">
        <v>1334</v>
      </c>
      <c r="E24" s="1693" t="s">
        <v>1334</v>
      </c>
      <c r="F24" s="1693" t="s">
        <v>1334</v>
      </c>
    </row>
    <row r="25" spans="1:7" ht="24" customHeight="1">
      <c r="A25" s="3045" t="s">
        <v>846</v>
      </c>
      <c r="B25" s="3045"/>
      <c r="C25" s="3045"/>
      <c r="D25" s="3045"/>
      <c r="E25" s="3045"/>
      <c r="F25" s="3045"/>
      <c r="G25" s="3045"/>
    </row>
    <row r="26" spans="1:7" s="1021" customFormat="1" ht="24" customHeight="1">
      <c r="A26" s="3046" t="s">
        <v>847</v>
      </c>
      <c r="B26" s="3046"/>
      <c r="C26" s="3047"/>
      <c r="D26" s="3048" t="s">
        <v>848</v>
      </c>
      <c r="E26" s="3046"/>
      <c r="F26" s="3046"/>
    </row>
    <row r="27" spans="1:7" s="1023" customFormat="1" ht="24" customHeight="1">
      <c r="A27" s="1022" t="s">
        <v>849</v>
      </c>
      <c r="B27" s="1017" t="s">
        <v>850</v>
      </c>
      <c r="C27" s="2331" t="s">
        <v>851</v>
      </c>
      <c r="D27" s="2339" t="s">
        <v>849</v>
      </c>
      <c r="E27" s="1017" t="s">
        <v>850</v>
      </c>
      <c r="F27" s="1017" t="s">
        <v>851</v>
      </c>
    </row>
    <row r="28" spans="1:7" s="1023" customFormat="1" ht="24" customHeight="1">
      <c r="A28" s="1024" t="s">
        <v>852</v>
      </c>
      <c r="B28" s="1025" t="s">
        <v>853</v>
      </c>
      <c r="C28" s="2337">
        <v>43725</v>
      </c>
      <c r="D28" s="2340" t="s">
        <v>854</v>
      </c>
      <c r="E28" s="1024" t="s">
        <v>855</v>
      </c>
      <c r="F28" s="1054">
        <v>44377</v>
      </c>
    </row>
    <row r="29" spans="1:7" s="1023" customFormat="1" ht="24" customHeight="1">
      <c r="A29" s="1024"/>
      <c r="B29" s="1024"/>
      <c r="C29" s="2338"/>
      <c r="D29" s="2340" t="s">
        <v>856</v>
      </c>
      <c r="E29" s="1198" t="s">
        <v>1385</v>
      </c>
      <c r="F29" s="1199">
        <v>43281</v>
      </c>
    </row>
    <row r="30" spans="1:7" ht="24" customHeight="1">
      <c r="C30" s="1027"/>
      <c r="D30" s="1027"/>
    </row>
  </sheetData>
  <sheetProtection sheet="1" objects="1" scenarios="1"/>
  <mergeCells count="3">
    <mergeCell ref="A25:G25"/>
    <mergeCell ref="A26:C26"/>
    <mergeCell ref="D26:F26"/>
  </mergeCells>
  <phoneticPr fontId="87" type="noConversion"/>
  <conditionalFormatting sqref="C28">
    <cfRule type="expression" dxfId="182" priority="55">
      <formula>AND($C28-TODAY()&lt;30,TODAY()&lt;$C28)</formula>
    </cfRule>
  </conditionalFormatting>
  <conditionalFormatting sqref="C28 F4">
    <cfRule type="cellIs" dxfId="181" priority="57" stopIfTrue="1" operator="lessThan">
      <formula>$B$2</formula>
    </cfRule>
  </conditionalFormatting>
  <conditionalFormatting sqref="C5">
    <cfRule type="expression" dxfId="180" priority="52">
      <formula>AND($C5-TODAY()&lt;30,TODAY()&lt;$C5)</formula>
    </cfRule>
  </conditionalFormatting>
  <conditionalFormatting sqref="C5 F5">
    <cfRule type="cellIs" dxfId="179" priority="53" stopIfTrue="1" operator="lessThan">
      <formula>$B$2</formula>
    </cfRule>
  </conditionalFormatting>
  <conditionalFormatting sqref="F6 F8 F10">
    <cfRule type="cellIs" dxfId="178" priority="51" stopIfTrue="1" operator="lessThan">
      <formula>$B$2</formula>
    </cfRule>
  </conditionalFormatting>
  <conditionalFormatting sqref="C4:C23">
    <cfRule type="expression" dxfId="177" priority="49">
      <formula>AND($C4-TODAY()&lt;30,TODAY()&lt;$C4)</formula>
    </cfRule>
  </conditionalFormatting>
  <conditionalFormatting sqref="F7 F9 F11 C4:C23">
    <cfRule type="cellIs" dxfId="176" priority="50" stopIfTrue="1" operator="lessThan">
      <formula>$B$2</formula>
    </cfRule>
  </conditionalFormatting>
  <conditionalFormatting sqref="C12">
    <cfRule type="expression" dxfId="175" priority="47">
      <formula>AND($C12-TODAY()&lt;30,TODAY()&lt;$C12)</formula>
    </cfRule>
  </conditionalFormatting>
  <conditionalFormatting sqref="C12">
    <cfRule type="cellIs" dxfId="174" priority="48" stopIfTrue="1" operator="lessThan">
      <formula>$B$2</formula>
    </cfRule>
  </conditionalFormatting>
  <conditionalFormatting sqref="C14">
    <cfRule type="expression" dxfId="173" priority="43">
      <formula>AND($C14-TODAY()&lt;30,TODAY()&lt;$C14)</formula>
    </cfRule>
  </conditionalFormatting>
  <conditionalFormatting sqref="C14">
    <cfRule type="cellIs" dxfId="172" priority="44" stopIfTrue="1" operator="lessThan">
      <formula>$B$2</formula>
    </cfRule>
  </conditionalFormatting>
  <conditionalFormatting sqref="C16">
    <cfRule type="expression" dxfId="171" priority="41">
      <formula>AND($C16-TODAY()&lt;30,TODAY()&lt;$C16)</formula>
    </cfRule>
  </conditionalFormatting>
  <conditionalFormatting sqref="C16">
    <cfRule type="cellIs" dxfId="170" priority="42" stopIfTrue="1" operator="lessThan">
      <formula>$B$2</formula>
    </cfRule>
  </conditionalFormatting>
  <conditionalFormatting sqref="C18">
    <cfRule type="expression" dxfId="169" priority="39">
      <formula>AND($C18-TODAY()&lt;30,TODAY()&lt;$C18)</formula>
    </cfRule>
  </conditionalFormatting>
  <conditionalFormatting sqref="C18">
    <cfRule type="cellIs" dxfId="168" priority="40" stopIfTrue="1" operator="lessThan">
      <formula>$B$2</formula>
    </cfRule>
  </conditionalFormatting>
  <conditionalFormatting sqref="C20">
    <cfRule type="expression" dxfId="167" priority="37">
      <formula>AND($C20-TODAY()&lt;30,TODAY()&lt;$C20)</formula>
    </cfRule>
  </conditionalFormatting>
  <conditionalFormatting sqref="C20">
    <cfRule type="cellIs" dxfId="166" priority="38" stopIfTrue="1" operator="lessThan">
      <formula>$B$2</formula>
    </cfRule>
  </conditionalFormatting>
  <conditionalFormatting sqref="C22">
    <cfRule type="expression" dxfId="165" priority="35">
      <formula>AND($C22-TODAY()&lt;30,TODAY()&lt;$C22)</formula>
    </cfRule>
  </conditionalFormatting>
  <conditionalFormatting sqref="C22">
    <cfRule type="cellIs" dxfId="164" priority="36" stopIfTrue="1" operator="lessThan">
      <formula>$B$2</formula>
    </cfRule>
  </conditionalFormatting>
  <conditionalFormatting sqref="C15">
    <cfRule type="expression" dxfId="163" priority="33">
      <formula>AND($C15-TODAY()&lt;30,TODAY()&lt;$C15)</formula>
    </cfRule>
  </conditionalFormatting>
  <conditionalFormatting sqref="C15">
    <cfRule type="cellIs" dxfId="162" priority="34" stopIfTrue="1" operator="lessThan">
      <formula>$B$2</formula>
    </cfRule>
  </conditionalFormatting>
  <conditionalFormatting sqref="C17">
    <cfRule type="expression" dxfId="161" priority="31">
      <formula>AND($C17-TODAY()&lt;30,TODAY()&lt;$C17)</formula>
    </cfRule>
  </conditionalFormatting>
  <conditionalFormatting sqref="C17">
    <cfRule type="cellIs" dxfId="160" priority="32" stopIfTrue="1" operator="lessThan">
      <formula>$B$2</formula>
    </cfRule>
  </conditionalFormatting>
  <conditionalFormatting sqref="C19">
    <cfRule type="expression" dxfId="159" priority="29">
      <formula>AND($C19-TODAY()&lt;30,TODAY()&lt;$C19)</formula>
    </cfRule>
  </conditionalFormatting>
  <conditionalFormatting sqref="C19">
    <cfRule type="cellIs" dxfId="158" priority="30" stopIfTrue="1" operator="lessThan">
      <formula>$B$2</formula>
    </cfRule>
  </conditionalFormatting>
  <conditionalFormatting sqref="C21">
    <cfRule type="expression" dxfId="157" priority="27">
      <formula>AND($C21-TODAY()&lt;30,TODAY()&lt;$C21)</formula>
    </cfRule>
  </conditionalFormatting>
  <conditionalFormatting sqref="C21">
    <cfRule type="cellIs" dxfId="156" priority="28" stopIfTrue="1" operator="lessThan">
      <formula>$B$2</formula>
    </cfRule>
  </conditionalFormatting>
  <conditionalFormatting sqref="C23">
    <cfRule type="expression" dxfId="155" priority="25">
      <formula>AND($C23-TODAY()&lt;30,TODAY()&lt;$C23)</formula>
    </cfRule>
  </conditionalFormatting>
  <conditionalFormatting sqref="C23">
    <cfRule type="cellIs" dxfId="154" priority="26" stopIfTrue="1" operator="lessThan">
      <formula>$B$2</formula>
    </cfRule>
  </conditionalFormatting>
  <conditionalFormatting sqref="F16">
    <cfRule type="cellIs" dxfId="153" priority="23" stopIfTrue="1" operator="lessThan">
      <formula>$B$2</formula>
    </cfRule>
  </conditionalFormatting>
  <conditionalFormatting sqref="F18">
    <cfRule type="cellIs" dxfId="152" priority="22" stopIfTrue="1" operator="lessThan">
      <formula>$B$2</formula>
    </cfRule>
  </conditionalFormatting>
  <conditionalFormatting sqref="F22">
    <cfRule type="cellIs" dxfId="151" priority="21" stopIfTrue="1" operator="lessThan">
      <formula>$B$2</formula>
    </cfRule>
  </conditionalFormatting>
  <conditionalFormatting sqref="F21">
    <cfRule type="cellIs" dxfId="150" priority="20" stopIfTrue="1" operator="lessThan">
      <formula>$B$2</formula>
    </cfRule>
  </conditionalFormatting>
  <conditionalFormatting sqref="F17">
    <cfRule type="cellIs" dxfId="149" priority="19" stopIfTrue="1" operator="lessThan">
      <formula>$B$2</formula>
    </cfRule>
  </conditionalFormatting>
  <conditionalFormatting sqref="B4:B14 E4:E14 B16:B23 E16:E23">
    <cfRule type="cellIs" dxfId="148" priority="18" stopIfTrue="1" operator="equal">
      <formula>"已过期"</formula>
    </cfRule>
  </conditionalFormatting>
  <conditionalFormatting sqref="A24:F24">
    <cfRule type="cellIs" dxfId="147" priority="14" stopIfTrue="1" operator="equal">
      <formula>"已过期"</formula>
    </cfRule>
  </conditionalFormatting>
  <conditionalFormatting sqref="F28">
    <cfRule type="expression" dxfId="146" priority="12">
      <formula>AND($E28-TODAY()&lt;30,TODAY()&lt;$E28)</formula>
    </cfRule>
  </conditionalFormatting>
  <conditionalFormatting sqref="F28">
    <cfRule type="cellIs" dxfId="145" priority="13" stopIfTrue="1" operator="lessThan">
      <formula>$B$2</formula>
    </cfRule>
  </conditionalFormatting>
  <conditionalFormatting sqref="F29">
    <cfRule type="expression" dxfId="144" priority="8" stopIfTrue="1">
      <formula>AND($E29-TODAY()&lt;30,TODAY()&lt;$E29)</formula>
    </cfRule>
  </conditionalFormatting>
  <conditionalFormatting sqref="F29">
    <cfRule type="cellIs" dxfId="143" priority="9" stopIfTrue="1" operator="lessThan">
      <formula>$B$2</formula>
    </cfRule>
  </conditionalFormatting>
  <conditionalFormatting sqref="B15">
    <cfRule type="cellIs" dxfId="142" priority="6" stopIfTrue="1" operator="equal">
      <formula>"已过期"</formula>
    </cfRule>
  </conditionalFormatting>
  <conditionalFormatting sqref="A15">
    <cfRule type="cellIs" dxfId="141" priority="5" stopIfTrue="1" operator="equal">
      <formula>"已过期"</formula>
    </cfRule>
  </conditionalFormatting>
  <conditionalFormatting sqref="C15">
    <cfRule type="expression" dxfId="140" priority="4">
      <formula>AND($C15-TODAY()&lt;30,TODAY()&lt;$C15)</formula>
    </cfRule>
  </conditionalFormatting>
  <conditionalFormatting sqref="E15">
    <cfRule type="cellIs" dxfId="139" priority="3" stopIfTrue="1" operator="equal">
      <formula>"已过期"</formula>
    </cfRule>
  </conditionalFormatting>
  <conditionalFormatting sqref="D15">
    <cfRule type="cellIs" dxfId="138" priority="2" stopIfTrue="1" operator="equal">
      <formula>"已过期"</formula>
    </cfRule>
  </conditionalFormatting>
  <conditionalFormatting sqref="F13">
    <cfRule type="cellIs" dxfId="13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比较法-办公</vt:lpstr>
      <vt:lpstr>收益法</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2017-11-21T09:40:09Z</dcterms:modified>
</cp:coreProperties>
</file>