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佛山询价\最终\"/>
    </mc:Choice>
  </mc:AlternateContent>
  <bookViews>
    <workbookView xWindow="480" yWindow="210" windowWidth="12120" windowHeight="7620" tabRatio="895"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案例" sheetId="77"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11">'数据-基础表'!$A$1:$AL$21</definedName>
    <definedName name="_xlnm.Print_Area" localSheetId="10">项目基本情况!$A$1:$I$39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6" i="12" l="1"/>
  <c r="D6" i="12"/>
  <c r="C8" i="12"/>
  <c r="C6" i="68"/>
  <c r="G3" i="77"/>
  <c r="G4" i="77"/>
  <c r="G5" i="77"/>
  <c r="G6" i="77"/>
  <c r="G7" i="77"/>
  <c r="G8" i="77"/>
  <c r="G9" i="77"/>
  <c r="G10" i="77"/>
  <c r="G11" i="77"/>
  <c r="G12" i="77"/>
  <c r="G13" i="77"/>
  <c r="G14" i="77"/>
  <c r="G15" i="77"/>
  <c r="G16" i="77"/>
  <c r="G17" i="77"/>
  <c r="G18"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G51" i="77"/>
  <c r="G2" i="77"/>
  <c r="D8" i="12"/>
  <c r="E8" i="12"/>
  <c r="K14" i="3"/>
  <c r="K19" i="3"/>
  <c r="I13" i="3"/>
  <c r="I18" i="3"/>
  <c r="G21" i="6" l="1"/>
  <c r="F20" i="6"/>
  <c r="F19" i="6"/>
  <c r="AL16" i="3"/>
  <c r="D3" i="4"/>
  <c r="L3" i="71" l="1"/>
  <c r="K3" i="71"/>
  <c r="I3" i="71"/>
  <c r="J3" i="71" l="1"/>
  <c r="AD5" i="71" l="1"/>
  <c r="AG5" i="71"/>
  <c r="AH5" i="71"/>
  <c r="AE5" i="71"/>
  <c r="AF5" i="71" s="1"/>
  <c r="N5" i="71"/>
  <c r="Q5" i="71"/>
  <c r="P5" i="71"/>
  <c r="O5" i="71"/>
  <c r="Q6" i="71" l="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E10" i="76"/>
  <c r="B13" i="76"/>
  <c r="B11" i="76"/>
  <c r="E11" i="76"/>
  <c r="B7" i="76"/>
  <c r="B8" i="76"/>
  <c r="B10" i="76"/>
  <c r="E8" i="76"/>
  <c r="E7" i="76"/>
  <c r="B9" i="76"/>
  <c r="E13" i="76"/>
  <c r="E12" i="76"/>
  <c r="E9"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3" i="73"/>
  <c r="D3" i="73"/>
  <c r="D5" i="73"/>
  <c r="D6" i="73"/>
  <c r="F4" i="73"/>
  <c r="F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1" i="1"/>
  <c r="AO10" i="1"/>
  <c r="AO13"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G10" i="1" s="1"/>
  <c r="D11" i="1"/>
  <c r="D12" i="1"/>
  <c r="D13" i="1"/>
  <c r="D7" i="1"/>
  <c r="D8" i="1"/>
  <c r="A7" i="1"/>
  <c r="B7" i="1" s="1"/>
  <c r="E7" i="1" s="1"/>
  <c r="A8" i="1"/>
  <c r="B8" i="1" s="1"/>
  <c r="E8" i="1" s="1"/>
  <c r="A9" i="1"/>
  <c r="A10" i="1"/>
  <c r="K10" i="1" s="1"/>
  <c r="M10" i="1" s="1"/>
  <c r="O10" i="1" s="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K5" i="3" s="1"/>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H5"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A494" i="3" s="1"/>
  <c r="AZ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A497" i="3" s="1"/>
  <c r="AZ497" i="3" s="1"/>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A500" i="3" s="1"/>
  <c r="AZ500" i="3" s="1"/>
  <c r="BC500" i="3"/>
  <c r="BD500" i="3"/>
  <c r="BE500" i="3"/>
  <c r="BF500" i="3"/>
  <c r="BG500" i="3"/>
  <c r="BH500" i="3"/>
  <c r="BI500" i="3"/>
  <c r="BJ500" i="3"/>
  <c r="BK500" i="3"/>
  <c r="BM500" i="3"/>
  <c r="BN500" i="3"/>
  <c r="BO500" i="3"/>
  <c r="BP500" i="3"/>
  <c r="BQ500" i="3"/>
  <c r="BR500" i="3"/>
  <c r="BS500" i="3"/>
  <c r="BT500" i="3"/>
  <c r="H501" i="3"/>
  <c r="G501" i="3" s="1"/>
  <c r="AC501" i="3"/>
  <c r="BB501" i="3"/>
  <c r="BA501" i="3" s="1"/>
  <c r="AZ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A505" i="3" s="1"/>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AZ509" i="3" s="1"/>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L511" i="3" s="1"/>
  <c r="AZ511" i="3" s="1"/>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A514" i="3" s="1"/>
  <c r="BC514" i="3"/>
  <c r="BD514" i="3"/>
  <c r="BE514" i="3"/>
  <c r="BF514" i="3"/>
  <c r="BG514" i="3"/>
  <c r="BH514" i="3"/>
  <c r="BI514" i="3"/>
  <c r="BJ514" i="3"/>
  <c r="BK514" i="3"/>
  <c r="BM514" i="3"/>
  <c r="BL514" i="3" s="1"/>
  <c r="BN514" i="3"/>
  <c r="BO514" i="3"/>
  <c r="BP514" i="3"/>
  <c r="BQ514" i="3"/>
  <c r="BR514" i="3"/>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A518" i="3" s="1"/>
  <c r="AZ518" i="3" s="1"/>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AZ519" i="3" s="1"/>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AZ522" i="3" s="1"/>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G538" i="3" s="1"/>
  <c r="BB538" i="3"/>
  <c r="BC538" i="3"/>
  <c r="BA538" i="3" s="1"/>
  <c r="AZ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AZ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A552" i="3" s="1"/>
  <c r="AZ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A556" i="3" s="1"/>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L561" i="3" s="1"/>
  <c r="AZ561" i="3" s="1"/>
  <c r="BO561" i="3"/>
  <c r="BP561" i="3"/>
  <c r="BR561" i="3"/>
  <c r="BS561" i="3"/>
  <c r="BT561" i="3"/>
  <c r="H562" i="3"/>
  <c r="G562" i="3" s="1"/>
  <c r="AC562" i="3"/>
  <c r="BB562" i="3"/>
  <c r="BC562" i="3"/>
  <c r="BA562" i="3" s="1"/>
  <c r="AZ562" i="3" s="1"/>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L563" i="3" s="1"/>
  <c r="AZ563" i="3" s="1"/>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A566" i="3" s="1"/>
  <c r="AZ566" i="3" s="1"/>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A570" i="3" s="1"/>
  <c r="AZ570" i="3" s="1"/>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L571" i="3" s="1"/>
  <c r="AZ571" i="3" s="1"/>
  <c r="BN571" i="3"/>
  <c r="BO571" i="3"/>
  <c r="BP571" i="3"/>
  <c r="BR571" i="3"/>
  <c r="BS571" i="3"/>
  <c r="BT571" i="3"/>
  <c r="H572" i="3"/>
  <c r="AC572" i="3"/>
  <c r="BB572" i="3"/>
  <c r="BC572" i="3"/>
  <c r="BA572" i="3" s="1"/>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A576" i="3" s="1"/>
  <c r="AZ576" i="3" s="1"/>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G578" i="3" s="1"/>
  <c r="AC578" i="3"/>
  <c r="BB578" i="3"/>
  <c r="BC578" i="3"/>
  <c r="BA578" i="3" s="1"/>
  <c r="AZ578" i="3" s="1"/>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L579" i="3" s="1"/>
  <c r="AZ579" i="3" s="1"/>
  <c r="BO579" i="3"/>
  <c r="BP579" i="3"/>
  <c r="BR579" i="3"/>
  <c r="BS579" i="3"/>
  <c r="BT579" i="3"/>
  <c r="H580" i="3"/>
  <c r="AC580" i="3"/>
  <c r="BB580" i="3"/>
  <c r="BA580" i="3" s="1"/>
  <c r="BC580" i="3"/>
  <c r="BD580" i="3"/>
  <c r="BE580" i="3"/>
  <c r="BF580" i="3"/>
  <c r="BG580" i="3"/>
  <c r="BH580" i="3"/>
  <c r="BI580" i="3"/>
  <c r="BJ580" i="3"/>
  <c r="BK580" i="3"/>
  <c r="BM580" i="3"/>
  <c r="BL580" i="3" s="1"/>
  <c r="BN580" i="3"/>
  <c r="BO580" i="3"/>
  <c r="BP580" i="3"/>
  <c r="BQ580" i="3"/>
  <c r="BR580" i="3"/>
  <c r="BS580" i="3"/>
  <c r="BT580" i="3"/>
  <c r="H581" i="3"/>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A584" i="3" s="1"/>
  <c r="AZ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c r="D86" i="40"/>
  <c r="E86" i="40" s="1"/>
  <c r="F86" i="40" s="1"/>
  <c r="G86" i="40" s="1"/>
  <c r="D84" i="40"/>
  <c r="E84" i="40" s="1"/>
  <c r="F84" i="40" s="1"/>
  <c r="G84" i="40" s="1"/>
  <c r="B81" i="40"/>
  <c r="B79" i="40"/>
  <c r="H13" i="40" s="1"/>
  <c r="U13" i="40" s="1"/>
  <c r="B77" i="40"/>
  <c r="J12" i="40"/>
  <c r="AC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J13" i="36" s="1"/>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B77" i="35"/>
  <c r="J25" i="35" s="1"/>
  <c r="W25" i="35" s="1"/>
  <c r="B75" i="35"/>
  <c r="J24" i="35"/>
  <c r="AC24" i="35" s="1"/>
  <c r="B73" i="35"/>
  <c r="H23" i="35"/>
  <c r="U23" i="35" s="1"/>
  <c r="B57" i="35"/>
  <c r="B61" i="35"/>
  <c r="J13" i="35" s="1"/>
  <c r="AC13" i="35" s="1"/>
  <c r="B59" i="35"/>
  <c r="B131" i="34"/>
  <c r="H47" i="34" s="1"/>
  <c r="U47" i="34" s="1"/>
  <c r="B129" i="34"/>
  <c r="B127" i="34"/>
  <c r="J45" i="34" s="1"/>
  <c r="W45" i="34" s="1"/>
  <c r="B99" i="34"/>
  <c r="B97" i="34"/>
  <c r="J31" i="34" s="1"/>
  <c r="B95" i="34"/>
  <c r="B93" i="34"/>
  <c r="F29" i="34" s="1"/>
  <c r="S29" i="34" s="1"/>
  <c r="B75" i="34"/>
  <c r="B73" i="34"/>
  <c r="H13" i="34" s="1"/>
  <c r="B71" i="34"/>
  <c r="B130" i="33"/>
  <c r="F46" i="33" s="1"/>
  <c r="AA46" i="33" s="1"/>
  <c r="B128" i="33"/>
  <c r="B126" i="33"/>
  <c r="H44" i="33" s="1"/>
  <c r="B98" i="33"/>
  <c r="B96" i="33"/>
  <c r="F30" i="33" s="1"/>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S34" i="35"/>
  <c r="W34" i="35"/>
  <c r="W36" i="35"/>
  <c r="S31" i="35"/>
  <c r="F36" i="34"/>
  <c r="J35" i="34"/>
  <c r="W9" i="34"/>
  <c r="S34" i="34"/>
  <c r="U34" i="34"/>
  <c r="H39" i="33"/>
  <c r="AB39" i="33" s="1"/>
  <c r="F26" i="33"/>
  <c r="AA26" i="33" s="1"/>
  <c r="S9" i="33"/>
  <c r="U33" i="33"/>
  <c r="S40" i="33"/>
  <c r="W33" i="33"/>
  <c r="W39" i="33"/>
  <c r="S27" i="35"/>
  <c r="F11" i="40"/>
  <c r="AA11" i="40" s="1"/>
  <c r="H11" i="40"/>
  <c r="AB11" i="40" s="1"/>
  <c r="W8" i="40"/>
  <c r="AB39" i="40"/>
  <c r="AA9" i="40"/>
  <c r="U9" i="40"/>
  <c r="S34"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11" i="36"/>
  <c r="AC11" i="36" s="1"/>
  <c r="H11" i="36"/>
  <c r="U11" i="36" s="1"/>
  <c r="F11" i="36"/>
  <c r="AA11" i="36" s="1"/>
  <c r="H13" i="36"/>
  <c r="AB13" i="36" s="1"/>
  <c r="F13" i="36"/>
  <c r="S13" i="36"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AB46" i="33" s="1"/>
  <c r="J13" i="34"/>
  <c r="W13" i="34" s="1"/>
  <c r="J29" i="34"/>
  <c r="H29" i="34"/>
  <c r="AB29" i="34" s="1"/>
  <c r="H31" i="34"/>
  <c r="AB31" i="34" s="1"/>
  <c r="H45" i="34"/>
  <c r="U45" i="34" s="1"/>
  <c r="F45" i="34"/>
  <c r="S45" i="34" s="1"/>
  <c r="F47" i="34"/>
  <c r="S47" i="34" s="1"/>
  <c r="F13" i="35"/>
  <c r="S13" i="35" s="1"/>
  <c r="H13" i="35"/>
  <c r="U13" i="35" s="1"/>
  <c r="F25" i="35"/>
  <c r="S25" i="35" s="1"/>
  <c r="J35" i="35"/>
  <c r="AC35" i="35" s="1"/>
  <c r="H35" i="35"/>
  <c r="AB35" i="35" s="1"/>
  <c r="F25" i="36"/>
  <c r="S25" i="36" s="1"/>
  <c r="H13" i="37"/>
  <c r="AB13" i="37"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AC14" i="37" s="1"/>
  <c r="U31" i="34"/>
  <c r="AA14" i="33"/>
  <c r="J36" i="37"/>
  <c r="AC36" i="37" s="1"/>
  <c r="AB11" i="35"/>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58" i="3"/>
  <c r="BA554" i="3"/>
  <c r="BA548" i="3"/>
  <c r="BA544" i="3"/>
  <c r="BA540" i="3"/>
  <c r="AZ540" i="3" s="1"/>
  <c r="BA536" i="3"/>
  <c r="BA532" i="3"/>
  <c r="BA528" i="3"/>
  <c r="AZ528" i="3" s="1"/>
  <c r="BA526" i="3"/>
  <c r="AZ526" i="3" s="1"/>
  <c r="BA524" i="3"/>
  <c r="BA520" i="3"/>
  <c r="BA516" i="3"/>
  <c r="BA512" i="3"/>
  <c r="AZ512" i="3" s="1"/>
  <c r="BA510" i="3"/>
  <c r="AZ510" i="3" s="1"/>
  <c r="BA508" i="3"/>
  <c r="AZ508" i="3" s="1"/>
  <c r="BA504" i="3"/>
  <c r="AZ504" i="3" s="1"/>
  <c r="BA502" i="3"/>
  <c r="BA498" i="3"/>
  <c r="AZ498" i="3" s="1"/>
  <c r="BA496" i="3"/>
  <c r="AZ496" i="3" s="1"/>
  <c r="BA587" i="3"/>
  <c r="AZ587" i="3" s="1"/>
  <c r="BA583" i="3"/>
  <c r="BA579" i="3"/>
  <c r="BA575" i="3"/>
  <c r="BA571" i="3"/>
  <c r="BA567" i="3"/>
  <c r="BA563" i="3"/>
  <c r="BA559" i="3"/>
  <c r="BA553" i="3"/>
  <c r="BA547" i="3"/>
  <c r="BA543" i="3"/>
  <c r="BA539" i="3"/>
  <c r="BA535" i="3"/>
  <c r="BA531" i="3"/>
  <c r="BA527" i="3"/>
  <c r="BA523" i="3"/>
  <c r="BA517" i="3"/>
  <c r="BA513" i="3"/>
  <c r="BA507" i="3"/>
  <c r="BA503" i="3"/>
  <c r="BA499" i="3"/>
  <c r="AZ499" i="3" s="1"/>
  <c r="BA495" i="3"/>
  <c r="G581" i="3"/>
  <c r="G577" i="3"/>
  <c r="G573" i="3"/>
  <c r="G569" i="3"/>
  <c r="G565" i="3"/>
  <c r="G561" i="3"/>
  <c r="BA557" i="3"/>
  <c r="AC557" i="3"/>
  <c r="G557" i="3"/>
  <c r="BQ557" i="3"/>
  <c r="BL557" i="3"/>
  <c r="BQ583" i="3"/>
  <c r="BQ581" i="3"/>
  <c r="BQ579" i="3"/>
  <c r="BQ577" i="3"/>
  <c r="BL577" i="3" s="1"/>
  <c r="BQ575" i="3"/>
  <c r="BL575" i="3"/>
  <c r="AZ575" i="3" s="1"/>
  <c r="BQ573" i="3"/>
  <c r="BQ571" i="3"/>
  <c r="BQ569" i="3"/>
  <c r="BL569" i="3" s="1"/>
  <c r="BQ567" i="3"/>
  <c r="BL567" i="3"/>
  <c r="AZ567" i="3" s="1"/>
  <c r="BQ565" i="3"/>
  <c r="BQ563" i="3"/>
  <c r="BQ561" i="3"/>
  <c r="BQ559" i="3"/>
  <c r="BL559" i="3" s="1"/>
  <c r="AZ559" i="3" s="1"/>
  <c r="G555" i="3"/>
  <c r="G549" i="3"/>
  <c r="G545" i="3"/>
  <c r="G541" i="3"/>
  <c r="G537" i="3"/>
  <c r="BQ555" i="3"/>
  <c r="BL555" i="3"/>
  <c r="BQ553" i="3"/>
  <c r="BQ551" i="3"/>
  <c r="BL551" i="3" s="1"/>
  <c r="BQ549" i="3"/>
  <c r="BQ547" i="3"/>
  <c r="BL547" i="3" s="1"/>
  <c r="AZ547" i="3" s="1"/>
  <c r="BQ545" i="3"/>
  <c r="BQ543" i="3"/>
  <c r="BL543" i="3" s="1"/>
  <c r="AZ543" i="3" s="1"/>
  <c r="BQ541" i="3"/>
  <c r="BQ539" i="3"/>
  <c r="BL539" i="3" s="1"/>
  <c r="AZ539" i="3" s="1"/>
  <c r="BQ537" i="3"/>
  <c r="BQ535" i="3"/>
  <c r="BL535" i="3" s="1"/>
  <c r="AZ535" i="3" s="1"/>
  <c r="BQ533" i="3"/>
  <c r="BQ531" i="3"/>
  <c r="BL531" i="3" s="1"/>
  <c r="AZ531" i="3" s="1"/>
  <c r="BQ529" i="3"/>
  <c r="BQ527" i="3"/>
  <c r="BL527" i="3" s="1"/>
  <c r="AZ527" i="3" s="1"/>
  <c r="BQ525" i="3"/>
  <c r="BQ523" i="3"/>
  <c r="BL523" i="3" s="1"/>
  <c r="AZ523" i="3" s="1"/>
  <c r="AC521" i="3"/>
  <c r="G521" i="3" s="1"/>
  <c r="BQ521" i="3"/>
  <c r="BL520" i="3"/>
  <c r="AZ520" i="3" s="1"/>
  <c r="G517" i="3"/>
  <c r="G513" i="3"/>
  <c r="BQ519" i="3"/>
  <c r="BQ517" i="3"/>
  <c r="BL517" i="3" s="1"/>
  <c r="AZ517" i="3" s="1"/>
  <c r="BQ515" i="3"/>
  <c r="BL515" i="3"/>
  <c r="BQ513" i="3"/>
  <c r="BQ511" i="3"/>
  <c r="BA509" i="3"/>
  <c r="AC509" i="3"/>
  <c r="BQ509" i="3"/>
  <c r="BL508" i="3"/>
  <c r="G507" i="3"/>
  <c r="G503" i="3"/>
  <c r="G499" i="3"/>
  <c r="G495" i="3"/>
  <c r="BQ507" i="3"/>
  <c r="BQ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AA12" i="35"/>
  <c r="W23" i="35"/>
  <c r="AB28" i="37"/>
  <c r="AC8" i="37"/>
  <c r="W37" i="34"/>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S14" i="40"/>
  <c r="AB33" i="40"/>
  <c r="AC43" i="39"/>
  <c r="U45" i="39"/>
  <c r="AB44" i="39"/>
  <c r="G101"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BL549" i="3"/>
  <c r="AZ502"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101" i="3"/>
  <c r="AZ109" i="3"/>
  <c r="AZ128" i="3"/>
  <c r="G530" i="3"/>
  <c r="G516" i="3"/>
  <c r="G50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38" i="3"/>
  <c r="AZ142" i="3"/>
  <c r="AZ146" i="3"/>
  <c r="AZ154" i="3"/>
  <c r="AZ162" i="3"/>
  <c r="AZ170" i="3"/>
  <c r="AZ178" i="3"/>
  <c r="AZ186" i="3"/>
  <c r="AZ194" i="3"/>
  <c r="AZ202" i="3"/>
  <c r="AZ206"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AZ379" i="3" s="1"/>
  <c r="BL380" i="3"/>
  <c r="AZ380" i="3" s="1"/>
  <c r="G381" i="3"/>
  <c r="BA383" i="3"/>
  <c r="AZ383" i="3" s="1"/>
  <c r="BL384" i="3"/>
  <c r="G385" i="3"/>
  <c r="BA387" i="3"/>
  <c r="AZ387" i="3" s="1"/>
  <c r="BL388" i="3"/>
  <c r="AZ388" i="3" s="1"/>
  <c r="G389" i="3"/>
  <c r="BA391" i="3"/>
  <c r="AZ391" i="3" s="1"/>
  <c r="BL392" i="3"/>
  <c r="G393" i="3"/>
  <c r="AZ275" i="3"/>
  <c r="AZ283" i="3"/>
  <c r="AZ291" i="3"/>
  <c r="AZ299" i="3"/>
  <c r="BO5" i="3"/>
  <c r="BJ5" i="3"/>
  <c r="BF5" i="3"/>
  <c r="AZ309" i="3"/>
  <c r="AZ325" i="3"/>
  <c r="AZ341" i="3"/>
  <c r="AC5" i="3"/>
  <c r="G548" i="3"/>
  <c r="G520" i="3"/>
  <c r="BS5" i="3"/>
  <c r="BC5" i="3"/>
  <c r="G17" i="3"/>
  <c r="BA17" i="3"/>
  <c r="AZ350" i="3"/>
  <c r="AZ356" i="3"/>
  <c r="AZ364" i="3"/>
  <c r="AZ368" i="3"/>
  <c r="BA15" i="3"/>
  <c r="BR5" i="3"/>
  <c r="AZ384" i="3"/>
  <c r="AZ392" i="3"/>
  <c r="AZ394" i="3"/>
  <c r="G509" i="3"/>
  <c r="AZ491" i="3"/>
  <c r="AZ390" i="3"/>
  <c r="N4" i="43"/>
  <c r="F36" i="43"/>
  <c r="F81" i="43"/>
  <c r="H83" i="43" s="1"/>
  <c r="H113" i="43"/>
  <c r="F48" i="43"/>
  <c r="H52" i="43" s="1"/>
  <c r="N7" i="43"/>
  <c r="F70" i="43"/>
  <c r="H73" i="43" s="1"/>
  <c r="M6" i="43"/>
  <c r="M11" i="43"/>
  <c r="E17" i="43"/>
  <c r="F39" i="43"/>
  <c r="I17" i="43"/>
  <c r="F35" i="43"/>
  <c r="J17" i="43"/>
  <c r="F6" i="1"/>
  <c r="U17" i="39"/>
  <c r="S14" i="35"/>
  <c r="U43" i="21"/>
  <c r="U35" i="21"/>
  <c r="U10" i="21"/>
  <c r="G9" i="1"/>
  <c r="F48" i="9"/>
  <c r="O52" i="9" s="1"/>
  <c r="W37" i="37"/>
  <c r="W44" i="34"/>
  <c r="AC44" i="34"/>
  <c r="S15" i="37"/>
  <c r="U13" i="37"/>
  <c r="U12" i="40"/>
  <c r="AA12" i="40"/>
  <c r="J37" i="33"/>
  <c r="W37" i="33" s="1"/>
  <c r="AC17" i="34"/>
  <c r="J34" i="33"/>
  <c r="W34" i="33" s="1"/>
  <c r="F33" i="34"/>
  <c r="S33" i="34" s="1"/>
  <c r="W12" i="36"/>
  <c r="H20" i="36"/>
  <c r="U20" i="36" s="1"/>
  <c r="J20" i="36"/>
  <c r="W20" i="36" s="1"/>
  <c r="W24" i="36"/>
  <c r="J27" i="36"/>
  <c r="W27" i="36" s="1"/>
  <c r="H35" i="40"/>
  <c r="AB35" i="40" s="1"/>
  <c r="AC29" i="35"/>
  <c r="W29" i="35"/>
  <c r="H35" i="37"/>
  <c r="U35" i="37" s="1"/>
  <c r="AC14" i="35"/>
  <c r="H20" i="35"/>
  <c r="U20" i="35" s="1"/>
  <c r="F20" i="35"/>
  <c r="AA20" i="35" s="1"/>
  <c r="AB29" i="36"/>
  <c r="U29" i="36"/>
  <c r="H32" i="37"/>
  <c r="AB32" i="37" s="1"/>
  <c r="H27" i="40"/>
  <c r="U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1" i="3"/>
  <c r="AZ37" i="3"/>
  <c r="AZ42" i="3"/>
  <c r="AZ53" i="3"/>
  <c r="AZ58" i="3"/>
  <c r="AZ69" i="3"/>
  <c r="AZ82" i="3"/>
  <c r="AZ110"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BG5" i="3" l="1"/>
  <c r="BN5" i="3"/>
  <c r="BL18" i="3"/>
  <c r="BH5" i="3"/>
  <c r="BD5" i="3"/>
  <c r="G14" i="3"/>
  <c r="F3" i="35"/>
  <c r="BQ5" i="3"/>
  <c r="BT5" i="3"/>
  <c r="BM5" i="3"/>
  <c r="BP5" i="3"/>
  <c r="BI5" i="3"/>
  <c r="BE5" i="3"/>
  <c r="F29" i="6"/>
  <c r="G8" i="1"/>
  <c r="G12" i="1"/>
  <c r="G7" i="1"/>
  <c r="G13" i="1"/>
  <c r="G11" i="1"/>
  <c r="AB14" i="37"/>
  <c r="U14" i="37"/>
  <c r="U25" i="37"/>
  <c r="AB25" i="37"/>
  <c r="W13" i="36"/>
  <c r="AC13" i="36"/>
  <c r="U27" i="37"/>
  <c r="AB27" i="37"/>
  <c r="AC31" i="40"/>
  <c r="W31" i="40"/>
  <c r="W33" i="40"/>
  <c r="AC33" i="40"/>
  <c r="AA38" i="40"/>
  <c r="S38" i="40"/>
  <c r="W40" i="40"/>
  <c r="AC40" i="40"/>
  <c r="AZ574" i="3"/>
  <c r="AZ572" i="3"/>
  <c r="AZ556" i="3"/>
  <c r="AZ534" i="3"/>
  <c r="AZ521" i="3"/>
  <c r="AZ514" i="3"/>
  <c r="AZ506" i="3"/>
  <c r="U13" i="34"/>
  <c r="AB13" i="34"/>
  <c r="AC31" i="34"/>
  <c r="W31" i="34"/>
  <c r="AB26" i="37"/>
  <c r="U26" i="37"/>
  <c r="AA31" i="39"/>
  <c r="S31" i="39"/>
  <c r="AC32" i="40"/>
  <c r="W32" i="40"/>
  <c r="AB36" i="39"/>
  <c r="U36" i="39"/>
  <c r="AZ581" i="3"/>
  <c r="AZ580" i="3"/>
  <c r="AZ564" i="3"/>
  <c r="AZ542" i="3"/>
  <c r="G28" i="6"/>
  <c r="AZ393" i="3"/>
  <c r="AZ362" i="3"/>
  <c r="AZ569" i="3"/>
  <c r="AZ558" i="3"/>
  <c r="BA551" i="3"/>
  <c r="AZ551" i="3" s="1"/>
  <c r="BL15" i="3"/>
  <c r="AZ15" i="3" s="1"/>
  <c r="AZ399" i="3"/>
  <c r="AZ403" i="3"/>
  <c r="AZ405" i="3"/>
  <c r="AZ406" i="3"/>
  <c r="AZ415" i="3"/>
  <c r="AZ419" i="3"/>
  <c r="AZ421" i="3"/>
  <c r="AZ422" i="3"/>
  <c r="AZ435" i="3"/>
  <c r="AZ438" i="3"/>
  <c r="AZ442" i="3"/>
  <c r="AZ469" i="3"/>
  <c r="AZ274" i="3"/>
  <c r="AZ290" i="3"/>
  <c r="AZ161" i="3"/>
  <c r="AZ193" i="3"/>
  <c r="AZ515" i="3"/>
  <c r="AZ555" i="3"/>
  <c r="AZ577" i="3"/>
  <c r="AZ557" i="3"/>
  <c r="AZ516" i="3"/>
  <c r="AZ524" i="3"/>
  <c r="AZ532" i="3"/>
  <c r="AZ536" i="3"/>
  <c r="AZ544" i="3"/>
  <c r="AZ554" i="3"/>
  <c r="AZ582" i="3"/>
  <c r="BL550" i="3"/>
  <c r="BA550" i="3"/>
  <c r="BL548" i="3"/>
  <c r="AZ548" i="3" s="1"/>
  <c r="H82" i="43"/>
  <c r="H48" i="43"/>
  <c r="H50" i="43"/>
  <c r="H75" i="43"/>
  <c r="AB23" i="35"/>
  <c r="AC11" i="39"/>
  <c r="AC35" i="21"/>
  <c r="U36" i="40"/>
  <c r="BL493" i="3"/>
  <c r="AZ493" i="3" s="1"/>
  <c r="BB5" i="3"/>
  <c r="AZ327" i="3"/>
  <c r="AZ310" i="3"/>
  <c r="AZ371" i="3"/>
  <c r="AZ336" i="3"/>
  <c r="AZ329" i="3"/>
  <c r="AZ321" i="3"/>
  <c r="AZ304" i="3"/>
  <c r="W9" i="39"/>
  <c r="U40" i="39"/>
  <c r="W27" i="39"/>
  <c r="W23" i="39"/>
  <c r="AC13" i="40"/>
  <c r="AA25" i="21"/>
  <c r="AB38" i="21"/>
  <c r="AC46" i="21"/>
  <c r="W44" i="21"/>
  <c r="AB37" i="34"/>
  <c r="W26" i="37"/>
  <c r="U33" i="37"/>
  <c r="W14" i="37"/>
  <c r="U43" i="33"/>
  <c r="AA41" i="34"/>
  <c r="H32" i="40"/>
  <c r="AB32" i="40" s="1"/>
  <c r="H31" i="40"/>
  <c r="U31" i="40" s="1"/>
  <c r="U32" i="33"/>
  <c r="S21" i="40"/>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W36" i="39"/>
  <c r="AC45" i="39"/>
  <c r="S44" i="34"/>
  <c r="U13" i="33"/>
  <c r="AB45" i="33"/>
  <c r="AA14" i="34"/>
  <c r="AB46" i="34"/>
  <c r="AB11" i="36"/>
  <c r="U46" i="33"/>
  <c r="AA13" i="35"/>
  <c r="J27" i="37"/>
  <c r="AC27" i="37" s="1"/>
  <c r="F27" i="37"/>
  <c r="AA27" i="37" s="1"/>
  <c r="F13" i="40"/>
  <c r="AA13" i="40" s="1"/>
  <c r="F33" i="40"/>
  <c r="AA33" i="40" s="1"/>
  <c r="H25" i="36"/>
  <c r="AB25" i="36" s="1"/>
  <c r="H25" i="35"/>
  <c r="AB25" i="35" s="1"/>
  <c r="J47" i="34"/>
  <c r="F31" i="34"/>
  <c r="S31" i="34" s="1"/>
  <c r="F13" i="34"/>
  <c r="AA13" i="34" s="1"/>
  <c r="F44" i="33"/>
  <c r="J14" i="33"/>
  <c r="J32" i="36"/>
  <c r="F45" i="21"/>
  <c r="AA45" i="21" s="1"/>
  <c r="J31" i="21"/>
  <c r="AC31" i="21" s="1"/>
  <c r="F27" i="21"/>
  <c r="AA27" i="21" s="1"/>
  <c r="J13" i="21"/>
  <c r="AC13" i="21" s="1"/>
  <c r="U23" i="40"/>
  <c r="AA29" i="35"/>
  <c r="U33" i="35"/>
  <c r="W8" i="34"/>
  <c r="S35" i="34"/>
  <c r="U8" i="35"/>
  <c r="AC16" i="36"/>
  <c r="AB12" i="36"/>
  <c r="AA12" i="34"/>
  <c r="C27" i="39"/>
  <c r="J31" i="39"/>
  <c r="S34" i="39"/>
  <c r="U40" i="40"/>
  <c r="U34" i="40"/>
  <c r="AC9" i="40"/>
  <c r="H39" i="37"/>
  <c r="U35" i="33"/>
  <c r="U34" i="35"/>
  <c r="W22" i="35"/>
  <c r="AA31" i="36"/>
  <c r="W28" i="36"/>
  <c r="F39" i="37"/>
  <c r="BL586" i="3"/>
  <c r="BL585" i="3"/>
  <c r="AZ585" i="3" s="1"/>
  <c r="H12" i="33"/>
  <c r="J25" i="37"/>
  <c r="H38" i="40"/>
  <c r="F40" i="40"/>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AZ431" i="3" s="1"/>
  <c r="AZ451" i="3"/>
  <c r="AZ454" i="3"/>
  <c r="AZ458" i="3"/>
  <c r="AZ486" i="3"/>
  <c r="AZ487" i="3"/>
  <c r="AZ284" i="3"/>
  <c r="AZ122" i="3"/>
  <c r="AZ153" i="3"/>
  <c r="L108" i="43"/>
  <c r="L100" i="4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AZ169" i="3"/>
  <c r="AZ201" i="3"/>
  <c r="AZ38" i="3"/>
  <c r="BA168" i="3"/>
  <c r="AZ168" i="3" s="1"/>
  <c r="BL169" i="3"/>
  <c r="G172" i="3"/>
  <c r="BL174" i="3"/>
  <c r="AZ174" i="3" s="1"/>
  <c r="BA176" i="3"/>
  <c r="AZ176" i="3" s="1"/>
  <c r="BL177" i="3"/>
  <c r="AZ177" i="3" s="1"/>
  <c r="G180" i="3"/>
  <c r="BL182" i="3"/>
  <c r="AZ182" i="3" s="1"/>
  <c r="BA184" i="3"/>
  <c r="AZ184" i="3" s="1"/>
  <c r="BL185" i="3"/>
  <c r="AZ185" i="3" s="1"/>
  <c r="G188" i="3"/>
  <c r="BL190" i="3"/>
  <c r="AZ190" i="3" s="1"/>
  <c r="BA192" i="3"/>
  <c r="AZ192" i="3" s="1"/>
  <c r="BL193" i="3"/>
  <c r="G196" i="3"/>
  <c r="BL198" i="3"/>
  <c r="AZ198" i="3" s="1"/>
  <c r="BA200" i="3"/>
  <c r="AZ200" i="3" s="1"/>
  <c r="BL201" i="3"/>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AZ35" i="3" s="1"/>
  <c r="G37" i="3"/>
  <c r="G38" i="3"/>
  <c r="BL38" i="3"/>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AZ95" i="3"/>
  <c r="G95" i="3"/>
  <c r="BL95" i="3"/>
  <c r="BA96" i="3"/>
  <c r="AZ96" i="3" s="1"/>
  <c r="BA97" i="3"/>
  <c r="AZ97" i="3" s="1"/>
  <c r="G100" i="3"/>
  <c r="BL100" i="3"/>
  <c r="AZ100" i="3" s="1"/>
  <c r="BL102" i="3"/>
  <c r="AZ102" i="3" s="1"/>
  <c r="BA103" i="3"/>
  <c r="AZ103" i="3" s="1"/>
  <c r="BL105" i="3"/>
  <c r="AZ105" i="3" s="1"/>
  <c r="G107" i="3"/>
  <c r="BL107" i="3"/>
  <c r="AZ107" i="3" s="1"/>
  <c r="G109" i="3"/>
  <c r="G110" i="3"/>
  <c r="G111" i="3"/>
  <c r="BL111" i="3"/>
  <c r="E59" i="43"/>
  <c r="B57" i="43" s="1"/>
  <c r="C24" i="43" s="1"/>
  <c r="D93" i="9"/>
  <c r="E15" i="6"/>
  <c r="E60" i="40" s="1"/>
  <c r="K6" i="1"/>
  <c r="E13" i="6"/>
  <c r="E58" i="40"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0" i="3"/>
  <c r="AZ408" i="3"/>
  <c r="AZ437" i="3"/>
  <c r="AZ441" i="3"/>
  <c r="AZ457" i="3"/>
  <c r="AZ490" i="3"/>
  <c r="AA39" i="34"/>
  <c r="F28" i="6"/>
  <c r="E28" i="6" s="1"/>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57" i="3"/>
  <c r="AZ165" i="3"/>
  <c r="AZ173" i="3"/>
  <c r="AZ181" i="3"/>
  <c r="AZ189" i="3"/>
  <c r="AZ197" i="3"/>
  <c r="AZ19" i="3"/>
  <c r="AZ26" i="3"/>
  <c r="AZ41" i="3"/>
  <c r="S12" i="1"/>
  <c r="AQ12" i="1" s="1"/>
  <c r="R12" i="1"/>
  <c r="B12" i="1"/>
  <c r="E12" i="1" s="1"/>
  <c r="S10" i="1"/>
  <c r="AQ10" i="1" s="1"/>
  <c r="R10" i="1"/>
  <c r="B10" i="1"/>
  <c r="E10" i="1" s="1"/>
  <c r="D1" i="66"/>
  <c r="E10" i="66" s="1"/>
  <c r="AZ80" i="3"/>
  <c r="AZ84" i="3"/>
  <c r="AZ88"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L17" i="3"/>
  <c r="AZ17" i="3" s="1"/>
  <c r="BL13" i="3"/>
  <c r="J56" i="9"/>
  <c r="J57" i="9" s="1"/>
  <c r="A24" i="51"/>
  <c r="B18" i="72" s="1"/>
  <c r="U29" i="34"/>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N103" i="43"/>
  <c r="N106" i="43"/>
  <c r="J103" i="43"/>
  <c r="K107" i="43"/>
  <c r="K104" i="43"/>
  <c r="G103" i="43"/>
  <c r="B117" i="43"/>
  <c r="C117" i="43" s="1"/>
  <c r="K106" i="43"/>
  <c r="F105" i="43"/>
  <c r="N104" i="43"/>
  <c r="AR12" i="1"/>
  <c r="E19" i="69"/>
  <c r="E19" i="68"/>
  <c r="E19" i="11"/>
  <c r="E1" i="73"/>
  <c r="K1" i="73" s="1"/>
  <c r="G41" i="69"/>
  <c r="G22" i="69"/>
  <c r="G41" i="68"/>
  <c r="G22" i="68"/>
  <c r="G27" i="12"/>
  <c r="G26" i="12"/>
  <c r="G41" i="11"/>
  <c r="G22" i="11"/>
  <c r="G25" i="12"/>
  <c r="C100"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J15" i="67"/>
  <c r="F26" i="67"/>
  <c r="F37" i="15"/>
  <c r="L47" i="67"/>
  <c r="M9" i="67"/>
  <c r="M22" i="15"/>
  <c r="F6" i="15"/>
  <c r="L48" i="15"/>
  <c r="F40" i="67"/>
  <c r="L48" i="67"/>
  <c r="F7" i="15"/>
  <c r="C76" i="15"/>
  <c r="F8" i="15"/>
  <c r="F42" i="67"/>
  <c r="F43" i="67"/>
  <c r="F13" i="67"/>
  <c r="M22" i="67"/>
  <c r="F13" i="15"/>
  <c r="F43" i="15"/>
  <c r="F16" i="67"/>
  <c r="M6" i="15"/>
  <c r="M9" i="15"/>
  <c r="M24" i="67"/>
  <c r="F16" i="15"/>
  <c r="M6" i="67"/>
  <c r="M26" i="15"/>
  <c r="F42" i="15"/>
  <c r="F26" i="15"/>
  <c r="L47" i="15"/>
  <c r="F37" i="67"/>
  <c r="M29" i="67"/>
  <c r="J15" i="15"/>
  <c r="M8" i="15"/>
  <c r="G1" i="73"/>
  <c r="F8" i="67"/>
  <c r="M28" i="67"/>
  <c r="M29" i="15"/>
  <c r="F7" i="67"/>
  <c r="M28" i="15"/>
  <c r="C76" i="67"/>
  <c r="F40" i="15"/>
  <c r="F36" i="15"/>
  <c r="F38" i="15"/>
  <c r="M24" i="15"/>
  <c r="M26" i="67"/>
  <c r="M8" i="67"/>
  <c r="F9" i="67"/>
  <c r="F9" i="15"/>
  <c r="M23" i="67"/>
  <c r="F36" i="67"/>
  <c r="F6" i="67"/>
  <c r="M23" i="15"/>
  <c r="F38" i="67"/>
  <c r="E12" i="6" l="1"/>
  <c r="E57" i="40" s="1"/>
  <c r="G29" i="6"/>
  <c r="G30" i="6" s="1"/>
  <c r="G31" i="6" s="1"/>
  <c r="G109" i="43"/>
  <c r="K109" i="43"/>
  <c r="J109" i="43"/>
  <c r="T12" i="1"/>
  <c r="N107" i="43"/>
  <c r="J106" i="43"/>
  <c r="K105" i="43"/>
  <c r="G106" i="43"/>
  <c r="G104" i="43"/>
  <c r="G107" i="43"/>
  <c r="K102" i="43"/>
  <c r="J102" i="43"/>
  <c r="J107" i="43"/>
  <c r="N105" i="43"/>
  <c r="E5" i="6"/>
  <c r="D9" i="11" s="1"/>
  <c r="C9" i="11" s="1"/>
  <c r="E11" i="6"/>
  <c r="E61" i="39" s="1"/>
  <c r="E29" i="6"/>
  <c r="K15" i="1" s="1"/>
  <c r="E56" i="40"/>
  <c r="I118" i="43"/>
  <c r="J118" i="43" s="1"/>
  <c r="K118" i="43" s="1"/>
  <c r="L118" i="43" s="1"/>
  <c r="M118" i="43" s="1"/>
  <c r="B116" i="43"/>
  <c r="C116" i="43" s="1"/>
  <c r="F106" i="43"/>
  <c r="AR10" i="1"/>
  <c r="C102" i="43"/>
  <c r="D115" i="43"/>
  <c r="E115" i="43" s="1"/>
  <c r="F115" i="43" s="1"/>
  <c r="G115" i="43" s="1"/>
  <c r="H115" i="43" s="1"/>
  <c r="I117" i="43"/>
  <c r="J117" i="43" s="1"/>
  <c r="K117" i="43" s="1"/>
  <c r="L117" i="43" s="1"/>
  <c r="M117" i="43" s="1"/>
  <c r="D118" i="43"/>
  <c r="E118" i="43" s="1"/>
  <c r="F118" i="43" s="1"/>
  <c r="C105" i="43"/>
  <c r="F107" i="43"/>
  <c r="C106" i="43"/>
  <c r="E10" i="6"/>
  <c r="D117" i="43"/>
  <c r="E117" i="43" s="1"/>
  <c r="F117" i="43" s="1"/>
  <c r="G117" i="43" s="1"/>
  <c r="H117" i="43" s="1"/>
  <c r="E8" i="6"/>
  <c r="D22" i="43"/>
  <c r="E62" i="39"/>
  <c r="C109" i="43"/>
  <c r="T10" i="1"/>
  <c r="F103" i="43"/>
  <c r="I116" i="43"/>
  <c r="J116" i="43" s="1"/>
  <c r="K116" i="43" s="1"/>
  <c r="L116" i="43" s="1"/>
  <c r="M116" i="43" s="1"/>
  <c r="B118" i="43"/>
  <c r="C118" i="43" s="1"/>
  <c r="G118" i="43"/>
  <c r="H118" i="43" s="1"/>
  <c r="D116" i="43"/>
  <c r="E116" i="43" s="1"/>
  <c r="F116" i="43" s="1"/>
  <c r="G116" i="43" s="1"/>
  <c r="H116" i="43" s="1"/>
  <c r="C103" i="43"/>
  <c r="C107" i="43"/>
  <c r="F102" i="43"/>
  <c r="E14" i="6"/>
  <c r="E64" i="39" s="1"/>
  <c r="E65" i="39"/>
  <c r="BA5" i="3"/>
  <c r="AB38" i="40"/>
  <c r="U38" i="40"/>
  <c r="U12" i="33"/>
  <c r="AB12" i="33"/>
  <c r="AC47" i="34"/>
  <c r="W47" i="34"/>
  <c r="AA40" i="40"/>
  <c r="S40" i="40"/>
  <c r="AC25" i="37"/>
  <c r="W25" i="37"/>
  <c r="S39" i="37"/>
  <c r="AA39" i="37"/>
  <c r="AB39" i="37"/>
  <c r="U39" i="37"/>
  <c r="W32" i="36"/>
  <c r="AC32" i="36"/>
  <c r="S44" i="33"/>
  <c r="AA44" i="33"/>
  <c r="L58" i="67"/>
  <c r="L58" i="15"/>
  <c r="Q73" i="15" s="1"/>
  <c r="N59" i="67"/>
  <c r="L59" i="67" s="1"/>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E63" i="39"/>
  <c r="T11" i="1"/>
  <c r="AQ9" i="1"/>
  <c r="AR11" i="1"/>
  <c r="D68" i="39"/>
  <c r="D70" i="39" s="1"/>
  <c r="C28" i="15"/>
  <c r="E30" i="6"/>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59" i="67"/>
  <c r="F31" i="67"/>
  <c r="M17" i="67"/>
  <c r="M17" i="15"/>
  <c r="F59" i="15"/>
  <c r="C16" i="15"/>
  <c r="C16" i="67"/>
  <c r="D19" i="12" l="1"/>
  <c r="C19" i="12" s="1"/>
  <c r="E59" i="40"/>
  <c r="D9" i="68"/>
  <c r="C9" i="68" s="1"/>
  <c r="D9" i="69"/>
  <c r="C9" i="69" s="1"/>
  <c r="K16" i="1"/>
  <c r="D113" i="43"/>
  <c r="J22" i="43" s="1"/>
  <c r="AY6" i="3"/>
  <c r="AY103" i="3" s="1"/>
  <c r="E3" i="6"/>
  <c r="D3" i="34" s="1"/>
  <c r="F27" i="6"/>
  <c r="F31" i="6" s="1"/>
  <c r="E56" i="39"/>
  <c r="E66" i="39" s="1"/>
  <c r="E51" i="40"/>
  <c r="S2" i="43"/>
  <c r="S7" i="43"/>
  <c r="S4" i="43"/>
  <c r="T4" i="43" s="1"/>
  <c r="V4" i="43" s="1"/>
  <c r="S6" i="43"/>
  <c r="S5" i="43"/>
  <c r="T5" i="43" s="1"/>
  <c r="V5" i="43" s="1"/>
  <c r="S3" i="43"/>
  <c r="T3" i="43" s="1"/>
  <c r="V3" i="43" s="1"/>
  <c r="C23" i="43"/>
  <c r="C21" i="43" s="1"/>
  <c r="C29" i="43" s="1"/>
  <c r="E16" i="6"/>
  <c r="L59" i="15"/>
  <c r="Q74" i="15" s="1"/>
  <c r="C30" i="11"/>
  <c r="E6" i="70"/>
  <c r="A18" i="62"/>
  <c r="B64" i="72" s="1"/>
  <c r="D3" i="2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AY50" i="3"/>
  <c r="AY289" i="3"/>
  <c r="AY261" i="3"/>
  <c r="AY209" i="3"/>
  <c r="AY455" i="3"/>
  <c r="AY116" i="3"/>
  <c r="AY343" i="3"/>
  <c r="AY417" i="3"/>
  <c r="AY539" i="3"/>
  <c r="AY84" i="3"/>
  <c r="AY193" i="3"/>
  <c r="AY165" i="3"/>
  <c r="AY125" i="3"/>
  <c r="AY278" i="3"/>
  <c r="AY262" i="3"/>
  <c r="AY219" i="3"/>
  <c r="AY374" i="3"/>
  <c r="BH6" i="3"/>
  <c r="AY73" i="3"/>
  <c r="AY202" i="3"/>
  <c r="AY145" i="3"/>
  <c r="AY259" i="3"/>
  <c r="AY388" i="3"/>
  <c r="AY333" i="3"/>
  <c r="AY316" i="3"/>
  <c r="AY472" i="3"/>
  <c r="AY430" i="3"/>
  <c r="AY398" i="3"/>
  <c r="AY411" i="3"/>
  <c r="BQ6" i="3"/>
  <c r="AY585" i="3"/>
  <c r="AY534" i="3"/>
  <c r="AY571" i="3"/>
  <c r="AY495" i="3"/>
  <c r="BG6" i="3"/>
  <c r="AY501" i="3"/>
  <c r="AY494" i="3"/>
  <c r="AY582" i="3"/>
  <c r="AY101" i="3"/>
  <c r="AY65" i="3"/>
  <c r="AY48" i="3"/>
  <c r="AY194"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F28" i="12"/>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7" i="43"/>
  <c r="V7" i="43" s="1"/>
  <c r="T2" i="43"/>
  <c r="V2"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H10" i="39"/>
  <c r="J10" i="39"/>
  <c r="C49" i="15"/>
  <c r="Q60" i="15"/>
  <c r="M16" i="1"/>
  <c r="N16" i="1" s="1"/>
  <c r="B21" i="1" s="1"/>
  <c r="Q60" i="67"/>
  <c r="Q73" i="67"/>
  <c r="F27" i="11"/>
  <c r="Q61" i="67"/>
  <c r="Q74" i="67"/>
  <c r="C49" i="67"/>
  <c r="F1" i="67"/>
  <c r="Q52" i="67"/>
  <c r="B24" i="1" l="1"/>
  <c r="C29" i="12" s="1"/>
  <c r="D28" i="12" s="1"/>
  <c r="B23" i="1"/>
  <c r="C23" i="68" s="1"/>
  <c r="C29" i="68"/>
  <c r="D27" i="68" s="1"/>
  <c r="M18" i="9"/>
  <c r="B118" i="9" s="1"/>
  <c r="B14" i="74" s="1"/>
  <c r="B1" i="74" s="1"/>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89" i="3"/>
  <c r="AY37" i="3"/>
  <c r="AY80" i="3"/>
  <c r="AY96" i="3"/>
  <c r="AY519" i="3"/>
  <c r="AY514" i="3"/>
  <c r="AY584" i="3"/>
  <c r="AY16" i="3"/>
  <c r="AY510" i="3"/>
  <c r="AY546" i="3"/>
  <c r="BF6" i="3"/>
  <c r="AY561" i="3"/>
  <c r="BM6" i="3"/>
  <c r="AY581" i="3"/>
  <c r="AY427" i="3"/>
  <c r="AY414" i="3"/>
  <c r="AY462" i="3"/>
  <c r="AY475" i="3"/>
  <c r="AY348" i="3"/>
  <c r="AY353" i="3"/>
  <c r="AY242" i="3"/>
  <c r="AY295" i="3"/>
  <c r="AY166" i="3"/>
  <c r="AY56" i="3"/>
  <c r="AY109" i="3"/>
  <c r="AY360" i="3"/>
  <c r="AY397" i="3"/>
  <c r="AY230" i="3"/>
  <c r="AY247" i="3"/>
  <c r="AY283" i="3"/>
  <c r="AY133" i="3"/>
  <c r="AY154" i="3"/>
  <c r="AY20" i="3"/>
  <c r="AY100" i="3"/>
  <c r="AY573" i="3"/>
  <c r="AY478" i="3"/>
  <c r="AY212" i="3"/>
  <c r="AY497" i="3"/>
  <c r="AY319" i="3"/>
  <c r="AY284" i="3"/>
  <c r="AY183" i="3"/>
  <c r="AY160" i="3"/>
  <c r="D37" i="11"/>
  <c r="AY67" i="3"/>
  <c r="AY196" i="3"/>
  <c r="AY139" i="3"/>
  <c r="AY74" i="3"/>
  <c r="AY123" i="3"/>
  <c r="AY204" i="3"/>
  <c r="AY252" i="3"/>
  <c r="AY363" i="3"/>
  <c r="AY489" i="3"/>
  <c r="AY412" i="3"/>
  <c r="AY43" i="3"/>
  <c r="AY229" i="3"/>
  <c r="AY379" i="3"/>
  <c r="AY326" i="3"/>
  <c r="AY436" i="3"/>
  <c r="AY557" i="3"/>
  <c r="AY540" i="3"/>
  <c r="AY105" i="3"/>
  <c r="AY69" i="3"/>
  <c r="AY52" i="3"/>
  <c r="AY198"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AY507" i="3"/>
  <c r="BS6" i="3"/>
  <c r="AY368" i="3"/>
  <c r="AY365" i="3"/>
  <c r="AY373" i="3"/>
  <c r="AY389" i="3"/>
  <c r="AY384" i="3"/>
  <c r="AY211" i="3"/>
  <c r="AY227" i="3"/>
  <c r="AY222" i="3"/>
  <c r="AY238" i="3"/>
  <c r="AY254" i="3"/>
  <c r="AY270" i="3"/>
  <c r="AY239" i="3"/>
  <c r="AY255" i="3"/>
  <c r="AY271" i="3"/>
  <c r="AY286" i="3"/>
  <c r="AY302" i="3"/>
  <c r="AY291" i="3"/>
  <c r="AY117" i="3"/>
  <c r="AY134" i="3"/>
  <c r="AY126" i="3"/>
  <c r="AY141" i="3"/>
  <c r="AY157" i="3"/>
  <c r="AY173" i="3"/>
  <c r="AY146" i="3"/>
  <c r="AY162"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D14" i="12"/>
  <c r="D17" i="12" s="1"/>
  <c r="C17" i="12" s="1"/>
  <c r="D19" i="11"/>
  <c r="C19" i="11" s="1"/>
  <c r="C20" i="11" s="1"/>
  <c r="E27" i="6"/>
  <c r="D3" i="37"/>
  <c r="L18" i="9"/>
  <c r="C17" i="4"/>
  <c r="B4" i="52" s="1"/>
  <c r="B43" i="72" s="1"/>
  <c r="E6" i="6"/>
  <c r="D10" i="68" s="1"/>
  <c r="D3" i="33"/>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C13" i="12"/>
  <c r="P16" i="1"/>
  <c r="C11" i="12" s="1"/>
  <c r="C26" i="12"/>
  <c r="D25" i="12" s="1"/>
  <c r="F34" i="11"/>
  <c r="C37" i="11" s="1"/>
  <c r="F11" i="12"/>
  <c r="F34" i="68"/>
  <c r="C36" i="68" s="1"/>
  <c r="AC10" i="40"/>
  <c r="C44" i="68"/>
  <c r="D41" i="68" s="1"/>
  <c r="C26" i="69"/>
  <c r="D22" i="69" s="1"/>
  <c r="C44" i="69"/>
  <c r="D41" i="69" s="1"/>
  <c r="C26" i="11"/>
  <c r="D22" i="11" s="1"/>
  <c r="C24" i="11"/>
  <c r="C44" i="11"/>
  <c r="D41" i="11" s="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C34" i="11"/>
  <c r="C23" i="11" l="1"/>
  <c r="C25" i="11"/>
  <c r="C26" i="68"/>
  <c r="D22" i="68" s="1"/>
  <c r="M59" i="67"/>
  <c r="M59" i="15"/>
  <c r="D6" i="6"/>
  <c r="D10" i="11"/>
  <c r="C10" i="11" s="1"/>
  <c r="D20" i="12"/>
  <c r="C20" i="12" s="1"/>
  <c r="C18" i="12" s="1"/>
  <c r="K24" i="6"/>
  <c r="M24" i="6" s="1"/>
  <c r="I24" i="6" s="1"/>
  <c r="K20" i="6"/>
  <c r="K21" i="6"/>
  <c r="K25" i="6"/>
  <c r="M25" i="6" s="1"/>
  <c r="I25" i="6" s="1"/>
  <c r="K22" i="6"/>
  <c r="M22" i="6" s="1"/>
  <c r="I22" i="6" s="1"/>
  <c r="K23" i="6"/>
  <c r="M23" i="6" s="1"/>
  <c r="I23" i="6" s="1"/>
  <c r="K26" i="6"/>
  <c r="M26" i="6" s="1"/>
  <c r="I26" i="6" s="1"/>
  <c r="E31" i="6"/>
  <c r="K19" i="6"/>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35" i="11"/>
  <c r="C38" i="11"/>
  <c r="C14" i="12"/>
  <c r="C23" i="12"/>
  <c r="E6" i="76"/>
  <c r="C22" i="11" l="1"/>
  <c r="C31" i="11" s="1"/>
  <c r="M21" i="6"/>
  <c r="I21" i="6" s="1"/>
  <c r="S21" i="6" s="1"/>
  <c r="S8" i="1"/>
  <c r="S23" i="6"/>
  <c r="H23" i="6"/>
  <c r="R23" i="6" s="1"/>
  <c r="S25" i="6"/>
  <c r="H25" i="6"/>
  <c r="R25" i="6" s="1"/>
  <c r="S7" i="1"/>
  <c r="M20" i="6"/>
  <c r="I20" i="6" s="1"/>
  <c r="S6" i="1"/>
  <c r="M19" i="6"/>
  <c r="K27" i="6"/>
  <c r="S26" i="6"/>
  <c r="H26" i="6"/>
  <c r="R26" i="6" s="1"/>
  <c r="S22" i="6"/>
  <c r="H22" i="6"/>
  <c r="R22" i="6" s="1"/>
  <c r="H21" i="6"/>
  <c r="R21" i="6" s="1"/>
  <c r="R8" i="1" s="1"/>
  <c r="S24" i="6"/>
  <c r="H24" i="6"/>
  <c r="R24" i="6" s="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C17" i="15"/>
  <c r="B6" i="76"/>
  <c r="AR8" i="1" l="1"/>
  <c r="T8" i="1"/>
  <c r="AQ8" i="1"/>
  <c r="M27" i="6"/>
  <c r="I19" i="6"/>
  <c r="S20" i="6"/>
  <c r="H20" i="6"/>
  <c r="R20" i="6" s="1"/>
  <c r="R7" i="1" s="1"/>
  <c r="T6" i="1"/>
  <c r="AR6" i="1"/>
  <c r="AQ6" i="1"/>
  <c r="E7" i="70"/>
  <c r="AQ7" i="1"/>
  <c r="T7" i="1"/>
  <c r="AR7" i="1"/>
  <c r="I5" i="6"/>
  <c r="B2" i="76"/>
  <c r="B3" i="76" s="1"/>
  <c r="B3" i="43"/>
  <c r="C49" i="21"/>
  <c r="C24" i="68"/>
  <c r="C20" i="68"/>
  <c r="C28" i="68" s="1"/>
  <c r="C27" i="68" s="1"/>
  <c r="C22" i="12"/>
  <c r="C30" i="12" s="1"/>
  <c r="C28" i="12" s="1"/>
  <c r="C33" i="68"/>
  <c r="I63" i="40"/>
  <c r="H65" i="40"/>
  <c r="C39" i="11"/>
  <c r="C43" i="11" s="1"/>
  <c r="C41" i="11" s="1"/>
  <c r="I70" i="39"/>
  <c r="F35" i="15"/>
  <c r="M21" i="15"/>
  <c r="F35" i="67"/>
  <c r="M21" i="67"/>
  <c r="C34" i="15" l="1"/>
  <c r="F63" i="15"/>
  <c r="C62" i="15" s="1"/>
  <c r="J20" i="15"/>
  <c r="J20" i="67"/>
  <c r="C34" i="67"/>
  <c r="F63" i="67"/>
  <c r="C62" i="67" s="1"/>
  <c r="H19" i="6"/>
  <c r="I27" i="6"/>
  <c r="S19" i="6"/>
  <c r="S27" i="6" s="1"/>
  <c r="C25" i="68"/>
  <c r="C22" i="68" s="1"/>
  <c r="C31" i="68" s="1"/>
  <c r="C27" i="12"/>
  <c r="C25" i="12" s="1"/>
  <c r="C32" i="12" s="1"/>
  <c r="B2" i="12" s="1"/>
  <c r="B3" i="12" s="1"/>
  <c r="C39" i="68"/>
  <c r="C43" i="68" s="1"/>
  <c r="C42" i="68"/>
  <c r="J63" i="40"/>
  <c r="I65" i="40"/>
  <c r="C46" i="11"/>
  <c r="C45" i="11" s="1"/>
  <c r="C49" i="11" s="1"/>
  <c r="C51" i="11" s="1"/>
  <c r="C52" i="11" s="1"/>
  <c r="B2" i="11" s="1"/>
  <c r="B3" i="11" s="1"/>
  <c r="J70" i="39"/>
  <c r="R19" i="6" l="1"/>
  <c r="H27" i="6"/>
  <c r="C41" i="68"/>
  <c r="C46" i="68"/>
  <c r="C45" i="68" s="1"/>
  <c r="K63" i="40"/>
  <c r="J65" i="40"/>
  <c r="K70" i="39"/>
  <c r="C56" i="11"/>
  <c r="C57" i="11" s="1"/>
  <c r="R27" i="6" l="1"/>
  <c r="R6" i="1"/>
  <c r="R16" i="1" s="1"/>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F41" i="15"/>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D2" i="33"/>
  <c r="F20" i="31"/>
  <c r="D2" i="36"/>
  <c r="D2" i="35"/>
  <c r="D2" i="37"/>
  <c r="E2" i="68"/>
  <c r="C19" i="9"/>
  <c r="D2" i="34"/>
  <c r="D2" i="21"/>
  <c r="B20" i="31" l="1"/>
  <c r="B2" i="36"/>
  <c r="B3" i="36" s="1"/>
  <c r="B2" i="35"/>
  <c r="B3" i="35" s="1"/>
  <c r="B2" i="37"/>
  <c r="B3" i="37" s="1"/>
  <c r="B2" i="34"/>
  <c r="B3" i="34" s="1"/>
  <c r="B2" i="21"/>
  <c r="B3" i="21" s="1"/>
  <c r="B2" i="70"/>
  <c r="B3" i="70" s="1"/>
  <c r="C102" i="9"/>
  <c r="C21" i="9"/>
  <c r="B3" i="68"/>
  <c r="D20" i="9"/>
  <c r="D19" i="9"/>
  <c r="C20" i="9"/>
  <c r="G19" i="9" l="1"/>
  <c r="D28" i="9" s="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N59" i="9" s="1"/>
  <c r="C81" i="9"/>
  <c r="N61" i="9" l="1"/>
  <c r="N60" i="9"/>
  <c r="P57" i="9"/>
  <c r="N58" i="9"/>
  <c r="AD3" i="71"/>
  <c r="P21" i="43" s="1"/>
  <c r="P22" i="43" l="1"/>
  <c r="P23" i="43"/>
  <c r="B71" i="39" s="1"/>
  <c r="P24" i="43"/>
  <c r="B66" i="40" s="1"/>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<sst xmlns="http://schemas.openxmlformats.org/spreadsheetml/2006/main" count="7650" uniqueCount="3265">
  <si>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</si>
  <si>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</si>
  <si>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</si>
  <si>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</si>
  <si>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</si>
  <si>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</si>
  <si>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</si>
  <si>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</si>
  <si>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</si>
  <si>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</si>
  <si>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</si>
  <si>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</si>
  <si>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</si>
  <si>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</si>
  <si>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</si>
  <si>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</si>
  <si>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</si>
  <si>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</si>
  <si>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</si>
  <si>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</si>
  <si>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</si>
  <si>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</si>
  <si>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</si>
  <si>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</si>
  <si>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</si>
  <si>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</si>
  <si>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</si>
  <si>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</si>
  <si>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</si>
  <si>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</si>
  <si>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</si>
  <si>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</si>
  <si>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</si>
  <si>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</si>
  <si>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</si>
  <si>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</si>
  <si>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</si>
  <si>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</si>
  <si>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</si>
  <si>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</si>
  <si>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</si>
  <si>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</si>
  <si>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</si>
  <si>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</si>
  <si>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</si>
  <si>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</si>
  <si>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</si>
  <si>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</si>
  <si>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</si>
  <si>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</si>
  <si>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</si>
  <si>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</si>
  <si>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</si>
  <si>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</si>
  <si>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</si>
  <si>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</si>
  <si>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</si>
  <si>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</si>
  <si>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</si>
  <si>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</si>
  <si>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</si>
  <si>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</si>
  <si>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</si>
  <si>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</si>
  <si>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</si>
  <si>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</si>
  <si>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</si>
  <si>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</si>
  <si>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</si>
  <si>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</si>
  <si>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</si>
  <si>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</si>
  <si>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</si>
  <si>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</si>
  <si>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</si>
  <si>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</si>
  <si>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</si>
  <si>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</si>
  <si>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</si>
  <si>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</si>
  <si>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</si>
  <si>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</si>
  <si>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</si>
  <si>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</si>
  <si>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</si>
  <si>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</si>
  <si>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</si>
  <si>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</si>
  <si>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</si>
  <si>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</si>
  <si>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</si>
  <si>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</si>
  <si>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</si>
  <si>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</si>
  <si>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</si>
  <si>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</si>
  <si>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</si>
  <si>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</si>
  <si>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</si>
  <si>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</si>
  <si>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</si>
  <si>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</si>
  <si>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</si>
  <si>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</si>
  <si>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</si>
  <si>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</si>
  <si>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</si>
  <si>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</si>
  <si>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</si>
  <si>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</si>
  <si>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</si>
  <si>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</si>
  <si>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</si>
  <si>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</si>
  <si>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</si>
  <si>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</si>
  <si>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</si>
  <si>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</si>
  <si>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</si>
  <si>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</si>
  <si>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</si>
  <si>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</si>
  <si>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</si>
  <si>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</si>
  <si>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</si>
  <si>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</si>
  <si>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</si>
  <si>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</si>
  <si>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</si>
  <si>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</si>
  <si>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</si>
  <si>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</si>
  <si>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</si>
  <si>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</si>
  <si>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</si>
  <si>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</si>
  <si>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</si>
  <si>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</si>
  <si>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</si>
  <si>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</si>
  <si>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</si>
  <si>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</si>
  <si>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</si>
  <si>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</si>
  <si>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</si>
  <si>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</si>
  <si>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</si>
  <si>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</si>
  <si>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</si>
  <si>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</si>
  <si>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</si>
  <si>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</si>
  <si>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</si>
  <si>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</si>
  <si>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</si>
  <si>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</si>
  <si>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</si>
  <si>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</si>
  <si>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</si>
  <si>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</si>
  <si>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</si>
  <si>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</si>
  <si>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</si>
  <si>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</si>
  <si>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</si>
  <si>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</si>
  <si>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</si>
  <si>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</si>
  <si>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</si>
  <si>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</si>
  <si>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</si>
  <si>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</si>
  <si>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</si>
  <si>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</si>
  <si>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</si>
  <si>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</si>
  <si>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</si>
  <si>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</si>
  <si>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</si>
  <si>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</si>
  <si>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</si>
  <si>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</si>
  <si>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</si>
  <si>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</si>
  <si>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</si>
  <si>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</si>
  <si>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</si>
  <si>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</si>
  <si>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</si>
  <si>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</si>
  <si>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</si>
  <si>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</si>
  <si>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</si>
  <si>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</si>
  <si>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</si>
  <si>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</si>
  <si>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</si>
  <si>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</si>
  <si>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</si>
  <si>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</si>
  <si>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</si>
  <si>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</si>
  <si>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</si>
  <si>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</si>
  <si>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</si>
  <si>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</si>
  <si>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</si>
  <si>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</si>
  <si>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</si>
  <si>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</si>
  <si>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</si>
  <si>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</si>
  <si>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</si>
  <si>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</si>
  <si>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</si>
  <si>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</si>
  <si>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</si>
  <si>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</si>
  <si>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</si>
  <si>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</si>
  <si>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</si>
  <si>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</si>
  <si>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</si>
  <si>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</si>
  <si>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</si>
  <si>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</si>
  <si>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</si>
  <si>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</si>
  <si>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</si>
  <si>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</si>
  <si>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</si>
  <si>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</si>
  <si>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</si>
  <si>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</si>
  <si>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</si>
  <si>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</si>
  <si>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</si>
  <si>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</si>
  <si>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</si>
  <si>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</si>
  <si>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</si>
  <si>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</si>
  <si>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</si>
  <si>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</si>
  <si>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</si>
  <si>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</si>
  <si>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</si>
  <si>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</si>
  <si>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</si>
  <si>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</si>
  <si>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</si>
  <si>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</si>
  <si>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</si>
  <si>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</si>
  <si>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</si>
  <si>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</si>
  <si>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</si>
  <si>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</si>
  <si>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</si>
  <si>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</si>
  <si>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</si>
  <si>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</si>
  <si>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</si>
  <si>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</si>
  <si>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</si>
  <si>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</si>
  <si>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</si>
  <si>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</si>
  <si>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</si>
  <si>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</si>
  <si>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</si>
  <si>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</si>
  <si>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</si>
  <si>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</si>
  <si>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</si>
  <si>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</si>
  <si>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</si>
  <si>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</si>
  <si>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</si>
  <si>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</si>
  <si>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</si>
  <si>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</si>
  <si>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</si>
  <si>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</si>
  <si>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</si>
  <si>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</si>
  <si>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</si>
  <si>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</si>
  <si>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</si>
  <si>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</si>
  <si>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</si>
  <si>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</si>
  <si>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</si>
  <si>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</si>
  <si>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</si>
  <si>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</si>
  <si>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</si>
  <si>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</si>
  <si>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</si>
  <si>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</si>
  <si>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</si>
  <si>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</si>
  <si>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</si>
  <si>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</si>
  <si>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</si>
  <si>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</si>
  <si>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</si>
  <si>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</si>
  <si>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</si>
  <si>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</si>
  <si>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</si>
  <si>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</si>
  <si>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</si>
  <si>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</si>
  <si>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</si>
  <si>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</si>
  <si>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</si>
  <si>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</si>
  <si>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</si>
  <si>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</si>
  <si>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</si>
  <si>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</si>
  <si>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</si>
  <si>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</si>
  <si>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</si>
  <si>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</si>
  <si>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</si>
  <si>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</si>
  <si>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</si>
  <si>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</si>
  <si>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</si>
  <si>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</si>
  <si>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</si>
  <si>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</si>
  <si>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</si>
  <si>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</si>
  <si>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</si>
  <si>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</si>
  <si>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</si>
  <si>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</si>
  <si>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</si>
  <si>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</si>
  <si>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</si>
  <si>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</si>
  <si>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</si>
  <si>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</si>
  <si>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</si>
  <si>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</si>
  <si>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</si>
  <si>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</si>
  <si>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</si>
  <si>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</si>
  <si>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</si>
  <si>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</si>
  <si>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</si>
  <si>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</si>
  <si>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</si>
  <si>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</si>
  <si>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</si>
  <si>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</si>
  <si>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</si>
  <si>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</si>
  <si>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</si>
  <si>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</si>
  <si>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</si>
  <si>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</si>
  <si>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</si>
  <si>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</si>
  <si>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</si>
  <si>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</si>
  <si>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</si>
  <si>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</si>
  <si>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</si>
  <si>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</si>
  <si>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</si>
  <si>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</si>
  <si>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</si>
  <si>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</si>
  <si>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</si>
  <si>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</si>
  <si>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</si>
  <si>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</si>
  <si>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</si>
  <si>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</si>
  <si>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</si>
  <si>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</si>
  <si>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</si>
  <si>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</si>
  <si>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</si>
  <si>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</si>
  <si>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</si>
  <si>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</si>
  <si>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</si>
  <si>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</si>
  <si>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</si>
  <si>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</si>
  <si>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</si>
  <si>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</si>
  <si>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</si>
  <si>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</si>
  <si>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</si>
  <si>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</si>
  <si>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</si>
  <si>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</si>
  <si>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</si>
  <si>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</si>
  <si>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</si>
  <si>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</si>
  <si>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</si>
  <si>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</si>
  <si>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</si>
  <si>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</si>
  <si>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</si>
  <si>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</si>
  <si>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</si>
  <si>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</si>
  <si>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</si>
  <si>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</si>
  <si>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</si>
  <si>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</si>
  <si>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</si>
  <si>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</si>
  <si>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</si>
  <si>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</si>
  <si>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</si>
  <si>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</si>
  <si>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</si>
  <si>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</si>
  <si>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</si>
  <si>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</si>
  <si>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</si>
  <si>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</si>
  <si>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</si>
  <si>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</si>
  <si>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</si>
  <si>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</si>
  <si>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</si>
  <si>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</si>
  <si>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</si>
  <si>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</si>
  <si>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</si>
  <si>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</si>
  <si>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</si>
  <si>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</si>
  <si>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</si>
  <si>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</si>
  <si>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</si>
  <si>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</si>
  <si>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</si>
  <si>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</si>
  <si>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</si>
  <si>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</si>
  <si>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</si>
  <si>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</si>
  <si>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</si>
  <si>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</si>
  <si>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</si>
  <si>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</si>
  <si>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</si>
  <si>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</si>
  <si>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</si>
  <si>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</si>
  <si>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</si>
  <si>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</si>
  <si>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</si>
  <si>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</si>
  <si>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</si>
  <si>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</si>
  <si>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</si>
  <si>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</si>
  <si>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</si>
  <si>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</si>
  <si>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</si>
  <si>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</si>
  <si>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</si>
  <si>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</si>
  <si>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</si>
  <si>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</si>
  <si>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</si>
  <si>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</si>
  <si>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</si>
  <si>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</si>
  <si>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</si>
  <si>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</si>
  <si>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</si>
  <si>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</si>
  <si>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</si>
  <si>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</si>
  <si>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</si>
  <si>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</si>
  <si>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</si>
  <si>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</si>
  <si>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</si>
  <si>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</si>
  <si>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</si>
  <si>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</si>
  <si>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</si>
  <si>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</si>
  <si>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</si>
  <si>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</si>
  <si>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</si>
  <si>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</si>
  <si>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</si>
  <si>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</si>
  <si>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</si>
  <si>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</si>
  <si>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</si>
  <si>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</si>
  <si>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</si>
  <si>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</si>
  <si>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</si>
  <si>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</si>
  <si>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</si>
  <si>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</si>
  <si>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</si>
  <si>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</si>
  <si>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</si>
  <si>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</si>
  <si>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</si>
  <si>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</si>
  <si>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</si>
  <si>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</si>
  <si>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</si>
  <si>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</si>
  <si>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</si>
  <si>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</si>
  <si>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</si>
  <si>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</si>
  <si>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</si>
  <si>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</si>
  <si>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</si>
  <si>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</si>
  <si>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</si>
  <si>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</si>
  <si>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</si>
  <si>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</si>
  <si>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</si>
  <si>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</si>
  <si>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</si>
  <si>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</si>
  <si>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</si>
  <si>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</si>
  <si>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</si>
  <si>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</si>
  <si>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</si>
  <si>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</si>
  <si>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</si>
  <si>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</si>
  <si>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</si>
  <si>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</si>
  <si>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</si>
  <si>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</si>
  <si>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</si>
  <si>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</si>
  <si>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</si>
  <si>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</si>
  <si>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</si>
  <si>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</si>
  <si>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</si>
  <si>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</si>
  <si>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</si>
  <si>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</si>
  <si>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</si>
  <si>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</si>
  <si>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</si>
  <si>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</si>
  <si>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</si>
  <si>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</si>
  <si>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</si>
  <si>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</si>
  <si>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</si>
  <si>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</si>
  <si>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</si>
  <si>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</si>
  <si>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</si>
  <si>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</si>
  <si>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</si>
  <si>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</si>
  <si>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</si>
  <si>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</si>
  <si>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</si>
  <si>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</si>
  <si>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</si>
  <si>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</si>
  <si>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</si>
  <si>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</si>
  <si>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</si>
  <si>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</si>
  <si>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</si>
  <si>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</si>
  <si>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</si>
  <si>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</si>
  <si>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</si>
  <si>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</si>
  <si>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</si>
  <si>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</si>
  <si>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</si>
  <si>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</si>
  <si>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</si>
  <si>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</si>
  <si>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</si>
  <si>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</si>
  <si>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</si>
  <si>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</si>
  <si>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</si>
  <si>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</si>
  <si>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</si>
  <si>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</si>
  <si>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</si>
  <si>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</si>
  <si>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</si>
  <si>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</si>
  <si>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</si>
  <si>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</si>
  <si>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</si>
  <si>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</si>
  <si>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</si>
  <si>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</si>
  <si>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</si>
  <si>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</si>
  <si>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</si>
  <si>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</si>
  <si>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</si>
  <si>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</si>
  <si>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</si>
  <si>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</si>
  <si>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</si>
  <si>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</si>
  <si>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</si>
  <si>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</si>
  <si>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</si>
  <si>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</si>
  <si>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</si>
  <si>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</si>
  <si>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</si>
  <si>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</si>
  <si>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</si>
  <si>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</si>
  <si>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</si>
  <si>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</si>
  <si>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</si>
  <si>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</si>
  <si>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</si>
  <si>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</si>
  <si>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</si>
  <si>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</si>
  <si>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</si>
  <si>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</si>
  <si>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</si>
  <si>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</si>
  <si>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</si>
  <si>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</si>
  <si>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</si>
  <si>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</si>
  <si>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</si>
  <si>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</si>
  <si>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</si>
  <si>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</si>
  <si>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</si>
  <si>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</si>
  <si>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</si>
  <si>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</si>
  <si>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</si>
  <si>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</si>
  <si>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</si>
  <si>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</si>
  <si>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</si>
  <si>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</si>
  <si>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</si>
  <si>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</si>
  <si>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</si>
  <si>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</si>
  <si>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</si>
  <si>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</si>
  <si>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</si>
  <si>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</si>
  <si>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</si>
  <si>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</si>
  <si>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</si>
  <si>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</si>
  <si>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</si>
  <si>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</si>
  <si>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</si>
  <si>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</si>
  <si>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</si>
  <si>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</si>
  <si>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</si>
  <si>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</si>
  <si>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</si>
  <si>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</si>
  <si>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</si>
  <si>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</si>
  <si>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</si>
  <si>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</si>
  <si>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</si>
  <si>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</si>
  <si>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</si>
  <si>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</si>
  <si>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</si>
  <si>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</si>
  <si>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</si>
  <si>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</si>
  <si>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</si>
  <si>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</si>
  <si>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</si>
  <si>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</si>
  <si>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</si>
  <si>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</si>
  <si>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</si>
  <si>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</si>
  <si>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</si>
  <si>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</si>
  <si>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</si>
  <si>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</si>
  <si>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</si>
  <si>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</si>
  <si>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</si>
  <si>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</si>
  <si>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</si>
  <si>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</si>
  <si>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</si>
  <si>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</si>
  <si>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</si>
  <si>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</si>
  <si>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</si>
  <si>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</si>
  <si>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</si>
  <si>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</si>
  <si>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</si>
  <si>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</si>
  <si>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</si>
  <si>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</si>
  <si>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</si>
  <si>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</si>
  <si>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</si>
  <si>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</si>
  <si>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</si>
  <si>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</si>
  <si>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</si>
  <si>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</si>
  <si>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</si>
  <si>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</si>
  <si>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</si>
  <si>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</si>
  <si>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</si>
  <si>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</si>
  <si>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</si>
  <si>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</si>
  <si>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</si>
  <si>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</si>
  <si>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</si>
  <si>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</si>
  <si>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</si>
  <si>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</si>
  <si>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</si>
  <si>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</si>
  <si>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</si>
  <si>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</si>
  <si>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</si>
  <si>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</si>
  <si>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</si>
  <si>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</si>
  <si>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</si>
  <si>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</si>
  <si>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</si>
  <si>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</si>
  <si>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</si>
  <si>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</si>
  <si>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</si>
  <si>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</si>
  <si>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</si>
  <si>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</si>
  <si>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</si>
  <si>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</si>
  <si>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</si>
  <si>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</si>
  <si>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</si>
  <si>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</si>
  <si>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</si>
  <si>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</si>
  <si>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</si>
  <si>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</si>
  <si>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</si>
  <si>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</si>
  <si>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</si>
  <si>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</si>
  <si>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</si>
  <si>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</si>
  <si>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</si>
  <si>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</si>
  <si>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</si>
  <si>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</si>
  <si>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</si>
  <si>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</si>
  <si>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</si>
  <si>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</si>
  <si>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</si>
  <si>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</si>
  <si>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</si>
  <si>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</si>
  <si>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</si>
  <si>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</si>
  <si>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</si>
  <si>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</si>
  <si>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</si>
  <si>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</si>
  <si>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</si>
  <si>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</si>
  <si>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</si>
  <si>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</si>
  <si>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</si>
  <si>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</si>
  <si>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</si>
  <si>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</si>
  <si>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</si>
  <si>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</si>
  <si>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</si>
  <si>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</si>
  <si>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</si>
  <si>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</si>
  <si>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</si>
  <si>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</si>
  <si>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</si>
  <si>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</si>
  <si>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</si>
  <si>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</si>
  <si>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</si>
  <si>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</si>
  <si>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</si>
  <si>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</si>
  <si>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</si>
  <si>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</si>
  <si>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</si>
  <si>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</si>
  <si>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</si>
  <si>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</si>
  <si>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</si>
  <si>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</si>
  <si>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</si>
  <si>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</si>
  <si>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</si>
  <si>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</si>
  <si>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</si>
  <si>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</si>
  <si>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</si>
  <si>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</si>
  <si>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</si>
  <si>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</si>
  <si>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</si>
  <si>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</si>
  <si>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</si>
  <si>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</si>
  <si>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</si>
  <si>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</si>
  <si>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</si>
  <si>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</si>
  <si>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</si>
  <si>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</si>
  <si>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</si>
  <si>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</si>
  <si>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</si>
  <si>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</si>
  <si>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</si>
  <si>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</si>
  <si>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</si>
  <si>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</si>
  <si>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</si>
  <si>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</si>
  <si>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</si>
  <si>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</si>
  <si>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</si>
  <si>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</si>
  <si>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</si>
  <si>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</si>
  <si>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</si>
  <si>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</si>
  <si>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</si>
  <si>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</si>
  <si>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</si>
  <si>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</si>
  <si>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</si>
  <si>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</si>
  <si>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</si>
  <si>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</si>
  <si>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</si>
  <si>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</si>
  <si>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</si>
  <si>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</si>
  <si>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</si>
  <si>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</si>
  <si>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</si>
  <si>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</si>
  <si>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</si>
  <si>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</si>
  <si>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</si>
  <si>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</si>
  <si>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</si>
  <si>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</si>
  <si>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</si>
  <si>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</si>
  <si>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</si>
  <si>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</si>
  <si>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</si>
  <si>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</si>
  <si>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</si>
  <si>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</si>
  <si>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</si>
  <si>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</si>
  <si>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</si>
  <si>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</si>
  <si>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</si>
  <si>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</si>
  <si>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</si>
  <si>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</si>
  <si>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</si>
  <si>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</si>
  <si>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</si>
  <si>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</si>
  <si>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</si>
  <si>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</si>
  <si>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</si>
  <si>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</si>
  <si>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</si>
  <si>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</si>
  <si>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</si>
  <si>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</si>
  <si>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</si>
  <si>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</si>
  <si>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</si>
  <si>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</si>
  <si>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</si>
  <si>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</si>
  <si>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</si>
  <si>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</si>
  <si>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</si>
  <si>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</si>
  <si>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</si>
  <si>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</si>
  <si>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</si>
  <si>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</si>
  <si>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</si>
  <si>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</si>
  <si>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</si>
  <si>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</si>
  <si>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</si>
  <si>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</si>
  <si>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</si>
  <si>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</si>
  <si>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</si>
  <si>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</si>
  <si>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</si>
  <si>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</si>
  <si>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</si>
  <si>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</si>
  <si>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</si>
  <si>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</si>
  <si>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</si>
  <si>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</si>
  <si>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</si>
  <si>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</si>
  <si>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</si>
  <si>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</si>
  <si>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</si>
  <si>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</si>
  <si>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</si>
  <si>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</si>
  <si>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</si>
  <si>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</si>
  <si>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</si>
  <si>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</si>
  <si>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</si>
  <si>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</si>
  <si>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</si>
  <si>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</si>
  <si>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</si>
  <si>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</si>
  <si>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</si>
  <si>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</si>
  <si>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</si>
  <si>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</si>
  <si>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</si>
  <si>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</si>
  <si>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</si>
  <si>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</si>
  <si>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</si>
  <si>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</si>
  <si>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</si>
  <si>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</si>
  <si>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</si>
  <si>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</si>
  <si>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</si>
  <si>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</si>
  <si>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</si>
  <si>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</si>
  <si>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</si>
  <si>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</si>
  <si>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</si>
  <si>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</si>
  <si>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</si>
  <si>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</si>
  <si>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</si>
  <si>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</si>
  <si>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</si>
  <si>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</si>
  <si>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</si>
  <si>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</si>
  <si>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</si>
  <si>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</si>
  <si>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</si>
  <si>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</si>
  <si>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</si>
  <si>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</si>
  <si>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</si>
  <si>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</si>
  <si>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</si>
  <si>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</si>
  <si>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</si>
  <si>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</si>
  <si>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</si>
  <si>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</si>
  <si>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</si>
  <si>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</si>
  <si>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</si>
  <si>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</si>
  <si>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</si>
  <si>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</si>
  <si>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</si>
  <si>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</si>
  <si>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</si>
  <si>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</si>
  <si>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</si>
  <si>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</si>
  <si>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</si>
  <si>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</si>
  <si>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</si>
  <si>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</si>
  <si>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</si>
  <si>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</si>
  <si>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</si>
  <si>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</si>
  <si>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</si>
  <si>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</si>
  <si>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</si>
  <si>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</si>
  <si>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</si>
  <si>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</si>
  <si>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</si>
  <si>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</si>
  <si>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</si>
  <si>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</si>
  <si>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</si>
  <si>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</si>
  <si>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</si>
  <si>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</si>
  <si>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</si>
  <si>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</si>
  <si>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</si>
  <si>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</si>
  <si>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</si>
  <si>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</si>
  <si>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</si>
  <si>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</si>
  <si>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</si>
  <si>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</si>
  <si>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</si>
  <si>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</si>
  <si>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</si>
  <si>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</si>
  <si>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</si>
  <si>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</si>
  <si>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</si>
  <si>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</si>
  <si>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</si>
  <si>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</si>
  <si>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</si>
  <si>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</si>
  <si>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</si>
  <si>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</si>
  <si>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</si>
  <si>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</si>
  <si>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</si>
  <si>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</si>
  <si>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</si>
  <si>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</si>
  <si>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</si>
  <si>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</si>
  <si>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</si>
  <si>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</si>
  <si>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</si>
  <si>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</si>
  <si>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</si>
  <si>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</si>
  <si>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</si>
  <si>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</si>
  <si>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</si>
  <si>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</si>
  <si>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</si>
  <si>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</si>
  <si>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</si>
  <si>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</si>
  <si>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</si>
  <si>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</si>
  <si>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</si>
  <si>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</si>
  <si>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</si>
  <si>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</si>
  <si>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</si>
  <si>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</si>
  <si>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</si>
  <si>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</si>
  <si>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</si>
  <si>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</si>
  <si>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</si>
  <si>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</si>
  <si>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</si>
  <si>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</si>
  <si>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</si>
  <si>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</si>
  <si>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</si>
  <si>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</si>
  <si>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</si>
  <si>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</si>
  <si>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</si>
  <si>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</si>
  <si>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</si>
  <si>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</si>
  <si>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</si>
  <si>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</si>
  <si>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</si>
  <si>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</si>
  <si>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</si>
  <si>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</si>
  <si>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</si>
  <si>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</si>
  <si>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</si>
  <si>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</si>
  <si>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</si>
  <si>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</si>
  <si>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</si>
  <si>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</si>
  <si>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</si>
  <si>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</si>
  <si>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</si>
  <si>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</si>
  <si>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</si>
  <si>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</si>
  <si>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</si>
  <si>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</si>
  <si>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</si>
  <si>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</si>
  <si>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</si>
  <si>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</si>
  <si>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</si>
  <si>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</si>
  <si>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</si>
  <si>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</si>
  <si>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</si>
  <si>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</si>
  <si>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</si>
  <si>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</si>
  <si>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</si>
  <si>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</si>
  <si>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</si>
  <si>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</si>
  <si>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</si>
  <si>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</si>
  <si>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</si>
  <si>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</si>
  <si>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</si>
  <si>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</si>
  <si>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</si>
  <si>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</si>
  <si>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</si>
  <si>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</si>
  <si>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</si>
  <si>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</si>
  <si>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</si>
  <si>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</si>
  <si>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</si>
  <si>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</si>
  <si>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</si>
  <si>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</si>
  <si>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</si>
  <si>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</si>
  <si>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</si>
  <si>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</si>
  <si>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</si>
  <si>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</si>
  <si>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</si>
  <si>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</si>
  <si>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</si>
  <si>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</si>
  <si>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</si>
  <si>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</si>
  <si>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</si>
  <si>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</si>
  <si>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</si>
  <si>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</si>
  <si>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</si>
  <si>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</si>
  <si>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</si>
  <si>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</si>
  <si>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</si>
  <si>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</si>
  <si>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</si>
  <si>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</si>
  <si>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</si>
  <si>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</si>
  <si>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</si>
  <si>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</si>
  <si>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</si>
  <si>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</si>
  <si>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</si>
  <si>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</si>
  <si>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</si>
  <si>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</si>
  <si>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</si>
  <si>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</si>
  <si>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</si>
  <si>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</si>
  <si>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</si>
  <si>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</si>
  <si>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</si>
  <si>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</si>
  <si>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</si>
  <si>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</si>
  <si>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</si>
  <si>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</si>
  <si>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</si>
  <si>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</si>
  <si>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</si>
  <si>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</si>
  <si>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</si>
  <si>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</si>
  <si>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</si>
  <si>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</si>
  <si>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</si>
  <si>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</si>
  <si>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</si>
  <si>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</si>
  <si>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</si>
  <si>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</si>
  <si>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</si>
  <si>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</si>
  <si>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</si>
  <si>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</si>
  <si>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</si>
  <si>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</si>
  <si>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</si>
  <si>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</si>
  <si>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</si>
  <si>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</si>
  <si>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</si>
  <si>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</si>
  <si>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</si>
  <si>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</si>
  <si>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</si>
  <si>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</si>
  <si>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</si>
  <si>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</si>
  <si>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</si>
  <si>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</si>
  <si>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</si>
  <si>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</si>
  <si>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</si>
  <si>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</si>
  <si>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</si>
  <si>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</si>
  <si>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</si>
  <si>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</si>
  <si>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</si>
  <si>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</si>
  <si>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</si>
  <si>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</si>
  <si>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</si>
  <si>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</si>
  <si>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</si>
  <si>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</si>
  <si>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</si>
  <si>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</si>
  <si>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</si>
  <si>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</si>
  <si>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</si>
  <si>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</si>
  <si>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</si>
  <si>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</si>
  <si>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</si>
  <si>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</si>
  <si>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</si>
  <si>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</si>
  <si>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</si>
  <si>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</si>
  <si>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</si>
  <si>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</si>
  <si>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</si>
  <si>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</si>
  <si>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</si>
  <si>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</si>
  <si>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</si>
  <si>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</si>
  <si>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</si>
  <si>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</si>
  <si>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</si>
  <si>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</si>
  <si>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</si>
  <si>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</si>
  <si>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</si>
  <si>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</si>
  <si>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</si>
  <si>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</si>
  <si>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</si>
  <si>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</si>
  <si>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</si>
  <si>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</si>
  <si>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</si>
  <si>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</si>
  <si>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</si>
  <si>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</si>
  <si>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</si>
  <si>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</si>
  <si>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</si>
  <si>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</si>
  <si>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</si>
  <si>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</si>
  <si>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</si>
  <si>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</si>
  <si>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</si>
  <si>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</si>
  <si>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</si>
  <si>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</si>
  <si>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</si>
  <si>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</si>
  <si>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</si>
  <si>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</si>
  <si>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</si>
  <si>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</si>
  <si>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</si>
  <si>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</si>
  <si>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</si>
  <si>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</si>
  <si>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</si>
  <si>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</si>
  <si>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</si>
  <si>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</si>
  <si>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</si>
  <si>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</si>
  <si>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</si>
  <si>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</si>
  <si>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</si>
  <si>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</si>
  <si>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</si>
  <si>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</si>
  <si>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</si>
  <si>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</si>
  <si>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</si>
  <si>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</si>
  <si>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</si>
  <si>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</si>
  <si>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</si>
  <si>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</si>
  <si>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</si>
  <si>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</si>
  <si>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</si>
  <si>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</si>
  <si>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</si>
  <si>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</si>
  <si>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</si>
  <si>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</si>
  <si>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</si>
  <si>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</si>
  <si>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</si>
  <si>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</si>
  <si>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</si>
  <si>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</si>
  <si>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</si>
  <si>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</si>
  <si>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</si>
  <si>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</si>
  <si>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</si>
  <si>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</si>
  <si>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</si>
  <si>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</si>
  <si>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</si>
  <si>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</si>
  <si>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</si>
  <si>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</si>
  <si>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</si>
  <si>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</si>
  <si>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</si>
  <si>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</si>
  <si>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</si>
  <si>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</si>
  <si>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</si>
  <si>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</si>
  <si>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</si>
  <si>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</si>
  <si>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</si>
  <si>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</si>
  <si>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</si>
  <si>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</si>
  <si>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</si>
  <si>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</si>
  <si>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</si>
  <si>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</si>
  <si>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</si>
  <si>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</si>
  <si>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</si>
  <si>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</si>
  <si>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</si>
  <si>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</si>
  <si>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</si>
  <si>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</si>
  <si>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</si>
  <si>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</si>
  <si>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</si>
  <si>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</si>
  <si>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</si>
  <si>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</si>
  <si>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</si>
  <si>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</si>
  <si>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</si>
  <si>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</si>
  <si>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</si>
  <si>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</si>
  <si>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</si>
  <si>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</si>
  <si>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</si>
  <si>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</si>
  <si>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</si>
  <si>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</si>
  <si>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</si>
  <si>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</si>
  <si>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</si>
  <si>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</si>
  <si>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</si>
  <si>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</si>
  <si>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</si>
  <si>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</si>
  <si>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</si>
  <si>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</si>
  <si>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</si>
  <si>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</si>
  <si>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</si>
  <si>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</si>
  <si>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</si>
  <si>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</si>
  <si>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</si>
  <si>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</si>
  <si>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</si>
  <si>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</si>
  <si>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</si>
  <si>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</si>
  <si>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</si>
  <si>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</si>
  <si>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</si>
  <si>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</si>
  <si>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</si>
  <si>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</si>
  <si>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</si>
  <si>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</si>
  <si>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</si>
  <si>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</si>
  <si>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</si>
  <si>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</si>
  <si>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</si>
  <si>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</si>
  <si>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</si>
  <si>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</si>
  <si>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</si>
  <si>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</si>
  <si>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</si>
  <si>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</si>
  <si>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</si>
  <si>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</si>
  <si>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</si>
  <si>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</si>
  <si>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</si>
  <si>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</si>
  <si>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</si>
  <si>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</si>
  <si>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</si>
  <si>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</si>
  <si>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</si>
  <si>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</si>
  <si>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</si>
  <si>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</si>
  <si>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</si>
  <si>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</si>
  <si>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</si>
  <si>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</si>
  <si>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</si>
  <si>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</si>
  <si>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</si>
  <si>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</si>
  <si>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</si>
  <si>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</si>
  <si>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</si>
  <si>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</si>
  <si>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</si>
  <si>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</si>
  <si>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</si>
  <si>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</si>
  <si>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</si>
  <si>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</si>
  <si>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</si>
  <si>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</si>
  <si>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</si>
  <si>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</si>
  <si>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</si>
  <si>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</si>
  <si>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</si>
  <si>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</si>
  <si>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</si>
  <si>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</si>
  <si>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</si>
  <si>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</si>
  <si>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</si>
  <si>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</si>
  <si>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</si>
  <si>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</si>
  <si>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</si>
  <si>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</si>
  <si>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</si>
  <si>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</si>
  <si>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</si>
  <si>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</si>
  <si>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</si>
  <si>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</si>
  <si>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</si>
  <si>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</si>
  <si>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</si>
  <si>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</si>
  <si>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</si>
  <si>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</si>
  <si>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</si>
  <si>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</si>
  <si>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</si>
  <si>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</si>
  <si>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</si>
  <si>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</si>
  <si>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</si>
  <si>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</si>
  <si>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</si>
  <si>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</si>
  <si>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</si>
  <si>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</si>
  <si>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</si>
  <si>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</si>
  <si>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</si>
  <si>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</si>
  <si>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</si>
  <si>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</si>
  <si>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</si>
  <si>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</si>
  <si>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</si>
  <si>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</si>
  <si>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</si>
  <si>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</si>
  <si>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</si>
  <si>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</si>
  <si>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</si>
  <si>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</si>
  <si>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</si>
  <si>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</si>
  <si>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</si>
  <si>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</si>
  <si>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</si>
  <si>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</si>
  <si>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</si>
  <si>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</si>
  <si>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</si>
  <si>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</si>
  <si>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</si>
  <si>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</si>
  <si>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</si>
  <si>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</si>
  <si>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</si>
  <si>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</si>
  <si>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</si>
  <si>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</si>
  <si>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</si>
  <si>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</si>
  <si>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</si>
  <si>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</si>
  <si>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</si>
  <si>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</si>
  <si>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</si>
  <si>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</si>
  <si>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</si>
  <si>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</si>
  <si>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</si>
  <si>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</si>
  <si>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</si>
  <si>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</si>
  <si>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</si>
  <si>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</si>
  <si>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</si>
  <si>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</si>
  <si>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</si>
  <si>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</si>
  <si>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</si>
  <si>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</si>
  <si>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</si>
  <si>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</si>
  <si>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</si>
  <si>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</si>
  <si>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</si>
  <si>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</si>
  <si>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</si>
  <si>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</si>
  <si>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</si>
  <si>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</si>
  <si>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</si>
  <si>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</si>
  <si>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</si>
  <si>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</si>
  <si>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</si>
  <si>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</si>
  <si>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</si>
  <si>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</si>
  <si>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</si>
  <si>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</si>
  <si>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</si>
  <si>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</si>
  <si>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</si>
  <si>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</si>
  <si>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</si>
  <si>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</si>
  <si>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</si>
  <si>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</si>
  <si>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</si>
  <si>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</si>
  <si>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</si>
  <si>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</si>
  <si>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</si>
  <si>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</si>
  <si>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</si>
  <si>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</si>
  <si>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</si>
  <si>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</si>
  <si>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</si>
  <si>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</si>
  <si>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</si>
  <si>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</si>
  <si>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</si>
  <si>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</si>
  <si>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</si>
  <si>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</si>
  <si>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</si>
  <si>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</si>
  <si>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</si>
  <si>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</si>
  <si>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</si>
  <si>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</si>
  <si>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</si>
  <si>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</si>
  <si>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</si>
  <si>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</si>
  <si>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</si>
  <si>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</si>
  <si>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</si>
  <si>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</si>
  <si>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</si>
  <si>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</si>
  <si>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</si>
  <si>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</si>
  <si>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</si>
  <si>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</si>
  <si>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</si>
  <si>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</si>
  <si>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</si>
  <si>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</si>
  <si>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</si>
  <si>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</si>
  <si>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</si>
  <si>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</si>
  <si>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</si>
  <si>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</si>
  <si>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</si>
  <si>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</si>
  <si>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</si>
  <si>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</si>
  <si>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</si>
  <si>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</si>
  <si>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</si>
  <si>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</si>
  <si>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</si>
  <si>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</si>
  <si>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</si>
  <si>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</si>
  <si>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</si>
  <si>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</si>
  <si>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</si>
  <si>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</si>
  <si>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</si>
  <si>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</si>
  <si>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</si>
  <si>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</si>
  <si>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</si>
  <si>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</si>
  <si>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</si>
  <si>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</si>
  <si>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</si>
  <si>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</si>
  <si>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</si>
  <si>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</si>
  <si>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</si>
  <si>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</si>
  <si>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</si>
  <si>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</si>
  <si>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</si>
  <si>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</si>
  <si>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</si>
  <si>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</si>
  <si>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</si>
  <si>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</si>
  <si>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</si>
  <si>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</si>
  <si>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</si>
  <si>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</si>
  <si>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</si>
  <si>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</si>
  <si>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</si>
  <si>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</si>
  <si>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</si>
  <si>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</si>
  <si>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</si>
  <si>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</si>
  <si>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</si>
  <si>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</si>
  <si>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</si>
  <si>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</si>
  <si>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</si>
  <si>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</si>
  <si>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</si>
  <si>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</si>
  <si>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</si>
  <si>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</si>
  <si>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</si>
  <si>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</si>
  <si>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</si>
  <si>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</si>
  <si>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</si>
  <si>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</si>
  <si>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</si>
  <si>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</si>
  <si>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</si>
  <si>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</si>
  <si>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</si>
  <si>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</si>
  <si>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</si>
  <si>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</si>
  <si>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</si>
  <si>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</si>
  <si>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</si>
  <si>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</si>
  <si>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</si>
  <si>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</si>
  <si>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</si>
  <si>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</si>
  <si>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</si>
  <si>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</si>
  <si>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</si>
  <si>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</si>
  <si>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</si>
  <si>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</si>
  <si>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</si>
  <si>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</si>
  <si>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</si>
  <si>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</si>
  <si>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</si>
  <si>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</si>
  <si>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</si>
  <si>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</si>
  <si>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</si>
  <si>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</si>
  <si>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</si>
  <si>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</si>
  <si>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</si>
  <si>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</si>
  <si>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</si>
  <si>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</si>
  <si>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</si>
  <si>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</si>
  <si>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</si>
  <si>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</si>
  <si>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</si>
  <si>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</si>
  <si>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</si>
  <si>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</si>
  <si>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</si>
  <si>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</si>
  <si>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</si>
  <si>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</si>
  <si>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</si>
  <si>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</si>
  <si>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</si>
  <si>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</si>
  <si>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</si>
  <si>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</si>
  <si>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</si>
  <si>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</si>
  <si>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</si>
  <si>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</si>
  <si>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</si>
  <si>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</si>
  <si>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</si>
  <si>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</si>
  <si>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</si>
  <si>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</si>
  <si>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</si>
  <si>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</si>
  <si>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</si>
  <si>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</si>
  <si>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</si>
  <si>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</si>
  <si>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</si>
  <si>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</si>
  <si>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</si>
  <si>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</si>
  <si>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</si>
  <si>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</si>
  <si>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</si>
  <si>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</si>
  <si>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</si>
  <si>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</si>
  <si>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</si>
  <si>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</si>
  <si>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</si>
  <si>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</si>
  <si>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</si>
  <si>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</si>
  <si>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</si>
  <si>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</si>
  <si>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</si>
  <si>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</si>
  <si>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</si>
  <si>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</si>
  <si>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</si>
  <si>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</si>
  <si>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</si>
  <si>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</si>
  <si>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</si>
  <si>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</si>
  <si>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</si>
  <si>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</si>
  <si>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</si>
  <si>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</si>
  <si>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</si>
  <si>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</si>
  <si>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</si>
  <si>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</si>
  <si>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</si>
  <si>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</si>
  <si>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</si>
  <si>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</si>
  <si>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</si>
  <si>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</si>
  <si>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</si>
  <si>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</si>
  <si>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</si>
  <si>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</si>
  <si>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</si>
  <si>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</si>
  <si>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</si>
  <si>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</si>
  <si>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</si>
  <si>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</si>
  <si>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</si>
  <si>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</si>
  <si>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</si>
  <si>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</si>
  <si>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</si>
  <si>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</si>
  <si>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</si>
  <si>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</si>
  <si>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</si>
  <si>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</si>
  <si>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</si>
  <si>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</si>
  <si>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</si>
  <si>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</si>
  <si>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</si>
  <si>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</si>
  <si>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</si>
  <si>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</si>
  <si>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</si>
  <si>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</si>
  <si>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</si>
  <si>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</si>
  <si>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</si>
  <si>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</si>
  <si>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</si>
  <si>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</si>
  <si>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</si>
  <si>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</si>
  <si>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</si>
  <si>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</si>
  <si>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</si>
  <si>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</si>
  <si>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</si>
  <si>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</si>
  <si>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</si>
  <si>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</si>
  <si>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</si>
  <si>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</si>
  <si>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</si>
  <si>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</si>
  <si>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</si>
  <si>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</si>
  <si>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</si>
  <si>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</si>
  <si>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</si>
  <si>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</si>
  <si>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</si>
  <si>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</si>
  <si>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</si>
  <si>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</si>
  <si>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</si>
  <si>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</si>
  <si>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</si>
  <si>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</si>
  <si>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</si>
  <si>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</si>
  <si>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</si>
  <si>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</si>
  <si>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</si>
  <si>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</si>
  <si>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</si>
  <si>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</si>
  <si>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</si>
  <si>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</si>
  <si>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</si>
  <si>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</si>
  <si>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</si>
  <si>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</si>
  <si>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</si>
  <si>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</si>
  <si>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</si>
  <si>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</si>
  <si>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</si>
  <si>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</si>
  <si>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</si>
  <si>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</si>
  <si>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</si>
  <si>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</si>
  <si>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</si>
  <si>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</si>
  <si>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</si>
  <si>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</si>
  <si>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</si>
  <si>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</si>
  <si>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</si>
  <si>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</si>
  <si>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</si>
  <si>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</si>
  <si>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</si>
  <si>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</si>
  <si>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</si>
  <si>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</si>
  <si>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</si>
  <si>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</si>
  <si>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</si>
  <si>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</si>
  <si>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</si>
  <si>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</si>
  <si>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</si>
  <si>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</si>
  <si>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</si>
  <si>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</si>
  <si>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</si>
  <si>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</si>
  <si>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</si>
  <si>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</si>
  <si>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</si>
  <si>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</si>
  <si>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</si>
  <si>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</si>
  <si>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</si>
  <si>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</si>
  <si>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</si>
  <si>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</si>
  <si>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</si>
  <si>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</si>
  <si>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</si>
  <si>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</si>
  <si>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</si>
  <si>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</si>
  <si>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</si>
  <si>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</si>
  <si>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</si>
  <si>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</si>
  <si>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</si>
  <si>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</si>
  <si>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</si>
  <si>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</si>
  <si>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</si>
  <si>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</si>
  <si>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</si>
  <si>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</si>
  <si>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</si>
  <si>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</si>
  <si>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</si>
  <si>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</si>
  <si>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</si>
  <si>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</si>
  <si>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</si>
  <si>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</si>
  <si>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</si>
  <si>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</si>
  <si>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</si>
  <si>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</si>
  <si>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</si>
  <si>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</si>
  <si>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</si>
  <si>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</si>
  <si>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</si>
  <si>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</si>
  <si>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</si>
  <si>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</si>
  <si>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</si>
  <si>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</si>
  <si>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</si>
  <si>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</si>
  <si>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</si>
  <si>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</si>
  <si>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</si>
  <si>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</si>
  <si>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</si>
  <si>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</si>
  <si>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</si>
  <si>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</si>
  <si>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</si>
  <si>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</si>
  <si>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</si>
  <si>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</si>
  <si>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</si>
  <si>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</si>
  <si>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</si>
  <si>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</si>
  <si>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</si>
  <si>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</si>
  <si>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</si>
  <si>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</si>
  <si>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</si>
  <si>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</si>
  <si>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</si>
  <si>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</si>
  <si>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</si>
  <si>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</si>
  <si>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</si>
  <si>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</si>
  <si>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</si>
  <si>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</si>
  <si>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</si>
  <si>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</si>
  <si>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</si>
  <si>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</si>
  <si>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</si>
  <si>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</si>
  <si>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</si>
  <si>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</si>
  <si>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</si>
  <si>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</si>
  <si>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</si>
  <si>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</si>
  <si>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</si>
  <si>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</si>
  <si>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</si>
  <si>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</si>
  <si>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</si>
  <si>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</si>
  <si>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</si>
  <si>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</si>
  <si>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</si>
  <si>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</si>
  <si>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</si>
  <si>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</si>
  <si>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</si>
  <si>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</si>
  <si>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</si>
  <si>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</si>
  <si>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</si>
  <si>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</si>
  <si>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</si>
  <si>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</si>
  <si>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</si>
  <si>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</si>
  <si>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</si>
  <si>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</si>
  <si>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</si>
  <si>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</si>
  <si>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</si>
  <si>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</si>
  <si>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</si>
  <si>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</si>
  <si>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</si>
  <si>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</si>
  <si>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</si>
  <si>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</si>
  <si>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</si>
  <si>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</si>
  <si>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</si>
  <si>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</si>
  <si>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</si>
  <si>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</si>
  <si>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</si>
  <si>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</si>
  <si>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</si>
  <si>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</si>
  <si>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</si>
  <si>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</si>
  <si>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</si>
  <si>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</si>
  <si>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</si>
  <si>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</si>
  <si>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</si>
  <si>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</si>
  <si>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</si>
  <si>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</si>
  <si>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</si>
  <si>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</si>
  <si>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</si>
  <si>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</si>
  <si>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</si>
  <si>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</si>
  <si>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</si>
  <si>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</si>
  <si>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</si>
  <si>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</si>
  <si>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</si>
  <si>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</si>
  <si>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</si>
  <si>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</si>
  <si>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</si>
  <si>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</si>
  <si>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</si>
  <si>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</si>
  <si>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</si>
  <si>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</si>
  <si>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</si>
  <si>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</si>
  <si>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</si>
  <si>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</si>
  <si>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</si>
  <si>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</si>
  <si>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</si>
  <si>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</si>
  <si>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</si>
  <si>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</si>
  <si>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</si>
  <si>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</si>
  <si>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</si>
  <si>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</si>
  <si>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</si>
  <si>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</si>
  <si>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</si>
  <si>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</si>
  <si>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</si>
  <si>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</si>
  <si>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</si>
  <si>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</si>
  <si>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</si>
  <si>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</si>
  <si>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</si>
  <si>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</si>
  <si>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</si>
  <si>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</si>
  <si>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</si>
  <si>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</si>
  <si>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</si>
  <si>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</si>
  <si>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</si>
  <si>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</si>
  <si>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</si>
  <si>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</si>
  <si>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</si>
  <si>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</si>
  <si>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</si>
  <si>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</si>
  <si>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</si>
  <si>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</si>
  <si>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</si>
  <si>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</si>
  <si>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</si>
  <si>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</si>
  <si>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</si>
  <si>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</si>
  <si>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</si>
  <si>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</si>
  <si>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</si>
  <si>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</si>
  <si>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</si>
  <si>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</si>
  <si>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</si>
  <si>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</si>
  <si>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</si>
  <si>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</si>
  <si>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</si>
  <si>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</si>
  <si>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</si>
  <si>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</si>
  <si>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</si>
  <si>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</si>
  <si>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</si>
  <si>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</si>
  <si>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</si>
  <si>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</si>
  <si>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</si>
  <si>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</si>
  <si>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</si>
  <si>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</si>
  <si>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</si>
  <si>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</si>
  <si>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</si>
  <si>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</si>
  <si>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</si>
  <si>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</si>
  <si>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</si>
  <si>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</si>
  <si>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</si>
  <si>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</si>
  <si>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</si>
  <si>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</si>
  <si>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</si>
  <si>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</si>
  <si>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</si>
  <si>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</si>
  <si>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</si>
  <si>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</si>
  <si>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</si>
  <si>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</si>
  <si>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</si>
  <si>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</si>
  <si>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</si>
  <si>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</si>
  <si>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</si>
  <si>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</si>
  <si>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</si>
  <si>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</si>
  <si>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</si>
  <si>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</si>
  <si>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</si>
  <si>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</si>
  <si>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</si>
  <si>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</si>
  <si>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</si>
  <si>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</si>
  <si>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</si>
  <si>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</si>
  <si>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</si>
  <si>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</si>
  <si>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</si>
  <si>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</si>
  <si>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</si>
  <si>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</si>
  <si>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</si>
  <si>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</si>
  <si>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</si>
  <si>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</si>
  <si>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</si>
  <si>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</si>
  <si>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</si>
  <si>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</si>
  <si>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</si>
  <si>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</si>
  <si>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</si>
  <si>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</si>
  <si>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</si>
  <si>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</si>
  <si>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</si>
  <si>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</si>
  <si>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</si>
  <si>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</si>
  <si>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</si>
  <si>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</si>
  <si>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</si>
  <si>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</si>
  <si>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</si>
  <si>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</si>
  <si>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</si>
  <si>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</si>
  <si>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</si>
  <si>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</si>
  <si>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</si>
  <si>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</si>
  <si>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</si>
  <si>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</si>
  <si>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</si>
  <si>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</si>
  <si>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</si>
  <si>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</si>
  <si>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</si>
  <si>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</si>
  <si>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</si>
  <si>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</si>
  <si>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</si>
  <si>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</si>
  <si>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</si>
  <si>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</si>
  <si>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</si>
  <si>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</si>
  <si>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</si>
  <si>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</si>
  <si>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</si>
  <si>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</si>
  <si>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</si>
  <si>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</si>
  <si>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</si>
  <si>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</si>
  <si>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</si>
  <si>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</si>
  <si>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</si>
  <si>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</si>
  <si>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</si>
  <si>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</si>
  <si>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</si>
  <si>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</si>
  <si>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</si>
  <si>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</si>
  <si>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</si>
  <si>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</si>
  <si>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</si>
  <si>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</si>
  <si>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</si>
  <si>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</si>
  <si>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</si>
  <si>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</si>
  <si>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</si>
  <si>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</si>
  <si>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</si>
  <si>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</si>
  <si>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</si>
  <si>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</si>
  <si>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</si>
  <si>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</si>
  <si>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</si>
  <si>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</si>
  <si>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</si>
  <si>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</si>
  <si>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</si>
  <si>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</si>
  <si>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</si>
  <si>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</si>
  <si>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</si>
  <si>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</si>
  <si>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</si>
  <si>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</si>
  <si>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</si>
  <si>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</si>
  <si>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</si>
  <si>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</si>
  <si>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</si>
  <si>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</si>
  <si>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</si>
  <si>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</si>
  <si>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</si>
  <si>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</si>
  <si>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</si>
  <si>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</si>
  <si>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</si>
  <si>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</si>
  <si>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</si>
  <si>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</si>
  <si>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</si>
  <si>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</si>
  <si>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</si>
  <si>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</si>
  <si>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</si>
  <si>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</si>
  <si>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</si>
  <si>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</si>
  <si>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</si>
  <si>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</si>
  <si>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</si>
  <si>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</si>
  <si>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</si>
  <si>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</si>
  <si>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</si>
  <si>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</si>
  <si>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</si>
  <si>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</si>
  <si>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</si>
  <si>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</si>
  <si>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</si>
  <si>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</si>
  <si>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</si>
  <si>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</si>
  <si>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</si>
  <si>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</si>
  <si>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</si>
  <si>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</si>
  <si>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</si>
  <si>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</si>
  <si>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</si>
  <si>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</si>
  <si>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</si>
  <si>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</si>
  <si>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</si>
  <si>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</si>
  <si>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</si>
  <si>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</si>
  <si>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</si>
  <si>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</si>
  <si>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</si>
  <si>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</si>
  <si>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</si>
  <si>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</si>
  <si>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</si>
  <si>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</si>
  <si>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</si>
  <si>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</si>
  <si>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</si>
  <si>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</si>
  <si>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</si>
  <si>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</si>
  <si>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</si>
  <si>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</si>
  <si>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</si>
  <si>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</si>
  <si>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</si>
  <si>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</si>
  <si>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</si>
  <si>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</si>
  <si>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</si>
  <si>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</si>
  <si>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</si>
  <si>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</si>
  <si>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</si>
  <si>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</si>
  <si>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</si>
  <si>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</si>
  <si>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</si>
  <si>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</si>
  <si>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</si>
  <si>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</si>
  <si>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</si>
  <si>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</si>
  <si>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</si>
  <si>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</si>
  <si>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</si>
  <si>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</si>
  <si>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</si>
  <si>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</si>
  <si>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</si>
  <si>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</si>
  <si>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</si>
  <si>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</si>
  <si>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</si>
  <si>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</si>
  <si>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</si>
  <si>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</si>
  <si>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</si>
  <si>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</si>
  <si>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</si>
  <si>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</si>
  <si>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</si>
  <si>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</si>
  <si>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</si>
  <si>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</si>
  <si>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</si>
  <si>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</si>
  <si>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</si>
  <si>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</si>
  <si>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</si>
  <si>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</si>
  <si>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</si>
  <si>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</si>
  <si>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</si>
  <si>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</si>
  <si>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</si>
  <si>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</si>
  <si>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</si>
  <si>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</si>
  <si>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</si>
  <si>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</si>
  <si>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</si>
  <si>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</si>
  <si>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</si>
  <si>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</si>
  <si>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</si>
  <si>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</si>
  <si>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</si>
  <si>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</si>
  <si>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</si>
  <si>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</si>
  <si>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</si>
  <si>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</si>
  <si>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</si>
  <si>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</si>
  <si>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</si>
  <si>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</si>
  <si>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</si>
  <si>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</si>
  <si>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</si>
  <si>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</si>
  <si>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</si>
  <si>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</si>
  <si>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</si>
  <si>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</si>
  <si>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</si>
  <si>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</si>
  <si>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</si>
  <si>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</si>
  <si>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</si>
  <si>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</si>
  <si>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</si>
  <si>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</si>
  <si>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</si>
  <si>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</si>
  <si>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</si>
  <si>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</si>
  <si>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</si>
  <si>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</si>
  <si>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</si>
  <si>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</si>
  <si>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</si>
  <si>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</si>
  <si>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</si>
  <si>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</si>
  <si>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</si>
  <si>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</si>
  <si>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</si>
  <si>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</si>
  <si>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</si>
  <si>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</si>
  <si>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</si>
  <si>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</si>
  <si>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</si>
  <si>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</si>
  <si>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</si>
  <si>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</si>
  <si>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</si>
  <si>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</si>
  <si>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</si>
  <si>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</si>
  <si>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</si>
  <si>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</si>
  <si>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</si>
  <si>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</si>
  <si>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</si>
  <si>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</si>
  <si>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</si>
  <si>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</si>
  <si>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</si>
  <si>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</si>
  <si>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</si>
  <si>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</si>
  <si>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</si>
  <si>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</si>
  <si>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</si>
  <si>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</si>
  <si>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</si>
  <si>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</si>
  <si>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</si>
  <si>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</si>
  <si>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</si>
  <si>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</si>
  <si>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</si>
  <si>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</si>
  <si>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</si>
  <si>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</si>
  <si>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</si>
  <si>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</si>
  <si>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</si>
  <si>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</si>
  <si>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</si>
  <si>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</si>
  <si>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</si>
  <si>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</si>
  <si>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</si>
  <si>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</si>
  <si>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</si>
  <si>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</si>
  <si>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</si>
  <si>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</si>
  <si>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</si>
  <si>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</si>
  <si>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</si>
  <si>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</si>
  <si>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</si>
  <si>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</si>
  <si>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</si>
  <si>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</si>
  <si>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</si>
  <si>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</si>
  <si>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</si>
  <si>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</si>
  <si>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</si>
  <si>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</si>
  <si>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</si>
  <si>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</si>
  <si>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</si>
  <si>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</si>
  <si>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</si>
  <si>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</si>
  <si>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</si>
  <si>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</si>
  <si>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</si>
  <si>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</si>
  <si>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</si>
  <si>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</si>
  <si>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</si>
  <si>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</si>
  <si>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</si>
  <si>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</si>
  <si>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</si>
  <si>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</si>
  <si>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</si>
  <si>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</si>
  <si>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</si>
  <si>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</si>
  <si>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</si>
  <si>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</si>
  <si>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</si>
  <si>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</si>
  <si>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</si>
  <si>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</si>
  <si>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</si>
  <si>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</si>
  <si>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</si>
  <si>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</si>
  <si>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</si>
  <si>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</si>
  <si>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</si>
  <si>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</si>
  <si>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</si>
  <si>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</si>
  <si>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</si>
  <si>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</si>
  <si>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</si>
  <si>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</si>
  <si>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</si>
  <si>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</si>
  <si>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</si>
  <si>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</si>
  <si>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</si>
  <si>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</si>
  <si>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</si>
  <si>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</si>
  <si>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</si>
  <si>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</si>
  <si>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</si>
  <si>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</si>
  <si>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</si>
  <si>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</si>
  <si>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</si>
  <si>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</si>
  <si>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</si>
  <si>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</si>
  <si>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</si>
  <si>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</si>
  <si>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</si>
  <si>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</si>
  <si>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</si>
  <si>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</si>
  <si>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</si>
  <si>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</si>
  <si>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</si>
  <si>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</si>
  <si>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</si>
  <si>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</si>
  <si>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</si>
  <si>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</si>
  <si>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</si>
  <si>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</si>
  <si>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</si>
  <si>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</si>
  <si>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</si>
  <si>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</si>
  <si>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</si>
  <si>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</si>
  <si>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</si>
  <si>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</si>
  <si>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</si>
  <si>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</si>
  <si>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</si>
  <si>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</si>
  <si>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</si>
  <si>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</si>
  <si>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</si>
  <si>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</si>
  <si>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</si>
  <si>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</si>
  <si>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</si>
  <si>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</si>
  <si>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</si>
  <si>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</si>
  <si>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</si>
  <si>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</si>
  <si>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</si>
  <si>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</si>
  <si>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</si>
  <si>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</si>
  <si>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</si>
  <si>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</si>
  <si>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</si>
  <si>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</si>
  <si>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</si>
  <si>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</si>
  <si>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</si>
  <si>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</si>
  <si>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</si>
  <si>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</si>
  <si>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</si>
  <si>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</si>
  <si>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</si>
  <si>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</si>
  <si>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</si>
  <si>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</si>
  <si>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</si>
  <si>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</si>
  <si>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</si>
  <si>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</si>
  <si>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</si>
  <si>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</si>
  <si>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</si>
  <si>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</si>
  <si>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</si>
  <si>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</si>
  <si>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</si>
  <si>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</si>
  <si>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</si>
  <si>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</si>
  <si>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</si>
  <si>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</si>
  <si>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</si>
  <si>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</si>
  <si>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</si>
  <si>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</si>
  <si>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</si>
  <si>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</si>
  <si>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</si>
  <si>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</si>
  <si>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</si>
  <si>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</si>
  <si>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</si>
  <si>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</si>
  <si>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</si>
  <si>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</si>
  <si>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</si>
  <si>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</si>
  <si>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</si>
  <si>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</si>
  <si>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</si>
  <si>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</si>
  <si>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</si>
  <si>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</si>
  <si>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</si>
  <si>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</si>
  <si>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</si>
  <si>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</si>
  <si>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</si>
  <si>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</si>
  <si>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</si>
  <si>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</si>
  <si>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</si>
  <si>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</si>
  <si>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</si>
  <si>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</si>
  <si>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</si>
  <si>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</si>
  <si>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</si>
  <si>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</si>
  <si>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</si>
  <si>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</si>
  <si>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</si>
  <si>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</si>
  <si>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</si>
  <si>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</si>
  <si>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</si>
  <si>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</si>
  <si>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</si>
  <si>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</si>
  <si>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</si>
  <si>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</si>
  <si>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</si>
  <si>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</si>
  <si>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</si>
  <si>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</si>
  <si>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</si>
  <si>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</si>
  <si>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</si>
  <si>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</si>
  <si>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</si>
  <si>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</si>
  <si>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</si>
  <si>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</si>
  <si>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</si>
  <si>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</si>
  <si>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</si>
  <si>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</si>
  <si>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</si>
  <si>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</si>
  <si>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</si>
  <si>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</si>
  <si>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</si>
  <si>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</si>
  <si>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</si>
  <si>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</si>
  <si>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</si>
  <si>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</si>
  <si>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</si>
  <si>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</si>
  <si>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</si>
  <si>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</si>
  <si>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</si>
  <si>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</si>
  <si>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</si>
  <si>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</si>
  <si>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</si>
  <si>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</si>
  <si>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</si>
  <si>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</si>
  <si>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</si>
  <si>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</si>
  <si>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</si>
  <si>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</si>
  <si>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</si>
  <si>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</si>
  <si>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</si>
  <si>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</si>
  <si>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</si>
  <si>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</si>
  <si>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</si>
  <si>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</si>
  <si>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</si>
  <si>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</si>
  <si>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</si>
  <si>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</si>
  <si>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</si>
  <si>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</si>
  <si>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</si>
  <si>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</si>
  <si>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</si>
  <si>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</si>
  <si>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</si>
  <si>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</si>
  <si>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</si>
  <si>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</si>
  <si>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</si>
  <si>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</si>
  <si>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</si>
  <si>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</si>
  <si>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</si>
  <si>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</si>
  <si>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</si>
  <si>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</si>
  <si>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</si>
  <si>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</si>
  <si>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</si>
  <si>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</si>
  <si>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</si>
  <si>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</si>
  <si>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</si>
  <si>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</si>
  <si>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</si>
  <si>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</si>
  <si>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</si>
  <si>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</si>
  <si>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</si>
  <si>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</si>
  <si>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</si>
  <si>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</si>
  <si>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</si>
  <si>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</si>
  <si>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</si>
  <si>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</si>
  <si>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</si>
  <si>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</si>
  <si>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</si>
  <si>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</si>
  <si>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</si>
  <si>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</si>
  <si>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</si>
  <si>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</si>
  <si>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</si>
  <si>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</si>
  <si>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</si>
  <si>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</si>
  <si>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</si>
  <si>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</si>
  <si>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</si>
  <si>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</si>
  <si>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</si>
  <si>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</si>
  <si>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</si>
  <si>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</si>
  <si>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</si>
  <si>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</si>
  <si>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</si>
  <si>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</si>
  <si>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</si>
  <si>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</si>
  <si>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</si>
  <si>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</si>
  <si>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</si>
  <si>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</si>
  <si>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</si>
  <si>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</si>
  <si>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</si>
  <si>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</si>
  <si>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</si>
  <si>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</si>
  <si>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</si>
  <si>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</si>
  <si>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</si>
  <si>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</si>
  <si>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</si>
  <si>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</si>
  <si>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</si>
  <si>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</si>
  <si>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</si>
  <si>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</si>
  <si>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</si>
  <si>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</si>
  <si>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</si>
  <si>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</si>
  <si>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</si>
  <si>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</si>
  <si>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</si>
  <si>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</si>
  <si>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</si>
  <si>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</si>
  <si>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</si>
  <si>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</si>
  <si>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</si>
  <si>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</si>
  <si>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</si>
  <si>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</si>
  <si>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</si>
  <si>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</si>
  <si>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</si>
  <si>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</si>
  <si>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</si>
  <si>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</si>
  <si>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</si>
  <si>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</si>
  <si>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</si>
  <si>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</si>
  <si>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</si>
  <si>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</si>
  <si>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</si>
  <si>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</si>
  <si>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</si>
  <si>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</si>
  <si>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</si>
  <si>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</si>
  <si>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</si>
  <si>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</si>
  <si>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</si>
  <si>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</si>
  <si>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</si>
  <si>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</si>
  <si>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</si>
  <si>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</si>
  <si>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</si>
  <si>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</si>
  <si>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</si>
  <si>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</si>
  <si>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</si>
  <si>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</si>
  <si>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</si>
  <si>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</si>
  <si>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</si>
  <si>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</si>
  <si>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</si>
  <si>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</si>
  <si>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</si>
  <si>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</si>
  <si>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</si>
  <si>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</si>
  <si>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</si>
  <si>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</si>
  <si>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</si>
  <si>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</si>
  <si>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</si>
  <si>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</si>
  <si>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</si>
  <si>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</si>
  <si>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</si>
  <si>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</si>
  <si>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</si>
  <si>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</si>
  <si>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</si>
  <si>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</si>
  <si>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</si>
  <si>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</si>
  <si>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</si>
  <si>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</si>
  <si>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</si>
  <si>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</si>
  <si>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</si>
  <si>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</si>
  <si>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</si>
  <si>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</si>
  <si>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</si>
  <si>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</si>
  <si>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</si>
  <si>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</si>
  <si>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</si>
  <si>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</si>
  <si>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</si>
  <si>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</si>
  <si>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</si>
  <si>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</si>
  <si>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</si>
  <si>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</si>
  <si>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</si>
  <si>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</si>
  <si>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</si>
  <si>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</si>
  <si>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</si>
  <si>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</si>
  <si>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</si>
  <si>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</si>
  <si>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</si>
  <si>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</si>
  <si>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</si>
  <si>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</si>
  <si>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</si>
  <si>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</si>
  <si>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</si>
  <si>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</si>
  <si>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</si>
  <si>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</si>
  <si>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</si>
  <si>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</si>
  <si>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</si>
  <si>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</si>
  <si>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</si>
  <si>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</si>
  <si>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</si>
  <si>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</si>
  <si>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</si>
  <si>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</si>
  <si>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</si>
  <si>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</si>
  <si>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</si>
  <si>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</si>
  <si>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</si>
  <si>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</si>
  <si>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</si>
  <si>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</si>
  <si>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</si>
  <si>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</si>
  <si>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</si>
  <si>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</si>
  <si>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</si>
  <si>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</si>
  <si>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</si>
  <si>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</si>
  <si>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出让</t>
  </si>
  <si>
    <t>企业</t>
  </si>
  <si>
    <t>房地产抵押价值</t>
  </si>
  <si>
    <t>多层</t>
  </si>
  <si>
    <t>高层</t>
  </si>
  <si>
    <t>公建</t>
    <phoneticPr fontId="3" type="noConversion"/>
  </si>
  <si>
    <t>地上</t>
  </si>
  <si>
    <t>住宅</t>
  </si>
  <si>
    <t>高层</t>
    <phoneticPr fontId="16" type="noConversion"/>
  </si>
  <si>
    <t>多层</t>
    <phoneticPr fontId="16" type="noConversion"/>
  </si>
  <si>
    <t>设备等</t>
    <phoneticPr fontId="3" type="noConversion"/>
  </si>
  <si>
    <t>是</t>
  </si>
  <si>
    <t>地下车库</t>
    <phoneticPr fontId="3" type="noConversion"/>
  </si>
  <si>
    <t>是</t>
    <phoneticPr fontId="3" type="noConversion"/>
  </si>
  <si>
    <t>地下</t>
  </si>
  <si>
    <t>车库</t>
  </si>
  <si>
    <t>地下车库</t>
    <phoneticPr fontId="7" type="noConversion"/>
  </si>
  <si>
    <t>未建多层</t>
    <phoneticPr fontId="3" type="noConversion"/>
  </si>
  <si>
    <t>基础高层</t>
    <phoneticPr fontId="3" type="noConversion"/>
  </si>
  <si>
    <t>高层主体</t>
    <phoneticPr fontId="3" type="noConversion"/>
  </si>
  <si>
    <t>多层主体</t>
    <phoneticPr fontId="3" type="noConversion"/>
  </si>
  <si>
    <t>多层已建</t>
  </si>
  <si>
    <t>多层已建</t>
    <phoneticPr fontId="7" type="noConversion"/>
  </si>
  <si>
    <t>高层已出地面</t>
  </si>
  <si>
    <t>高层已出地面</t>
    <phoneticPr fontId="7" type="noConversion"/>
  </si>
  <si>
    <t>否</t>
  </si>
  <si>
    <t>成本法</t>
  </si>
  <si>
    <t>假设开发法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</si>
  <si>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</si>
  <si>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</si>
  <si>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</si>
  <si>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</si>
  <si>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</si>
  <si>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</si>
  <si>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</si>
  <si>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</si>
  <si>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</si>
  <si>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</si>
  <si>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</si>
  <si>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</si>
  <si>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</si>
  <si>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佛山市顺德区乐从富华路以北、文华南路以西</t>
  </si>
  <si>
    <t>佛山市</t>
  </si>
  <si>
    <t>综合用地(含住宅)</t>
  </si>
  <si>
    <t>高于1.0且不高于7.27</t>
  </si>
  <si>
    <t>挂牌</t>
  </si>
  <si>
    <t>2018-03-02</t>
  </si>
  <si>
    <t>龙光地产</t>
  </si>
  <si>
    <t>佛山市顺德区北滘镇乐一路南侧、纵一路东侧</t>
  </si>
  <si>
    <t>高于1.0且不高于2.5</t>
  </si>
  <si>
    <t>2018-01-24</t>
  </si>
  <si>
    <t>中铁建</t>
  </si>
  <si>
    <t>佛山市顺德区北滘新城美的大道南侧、益丰路西侧</t>
  </si>
  <si>
    <t>高于1.0且不高于5.0</t>
  </si>
  <si>
    <t>2018-01-12</t>
  </si>
  <si>
    <t>美的</t>
  </si>
  <si>
    <t>佛山市顺德区龙江镇东华路、北华路交叉口东南侧</t>
  </si>
  <si>
    <t>a、b区均为高于1.0且不高于3.0;c区不高于1.5</t>
  </si>
  <si>
    <t>2018-01-09</t>
  </si>
  <si>
    <t>中国海外兴业有限公司</t>
  </si>
  <si>
    <t>佛山市顺德区勒流街道南国西路冲鹤段南侧商住区D-XB-07-01-02-04之一地块</t>
  </si>
  <si>
    <t>1.0＜容积率≤3.5</t>
  </si>
  <si>
    <t>2017-12-29</t>
  </si>
  <si>
    <t>龙光</t>
  </si>
  <si>
    <t>佛山市顺德区容桂容里居委会容奇大道东27号地块</t>
  </si>
  <si>
    <t>1.0＜容积率≤3.0</t>
  </si>
  <si>
    <t>路劲</t>
  </si>
  <si>
    <t>佛山市顺德区大良新城路以东、逢沙河以南</t>
  </si>
  <si>
    <t>高于1.0且不高于2.8</t>
  </si>
  <si>
    <t>2017-12-11</t>
  </si>
  <si>
    <t>佛山市顺德区北滘镇三乐路以南、纵一路东侧地块</t>
  </si>
  <si>
    <t>高于1.0*且不高于2.5</t>
  </si>
  <si>
    <t>2017-12-05</t>
  </si>
  <si>
    <t>佛山市顺德区顺德科技工业园A区中-5-1地块</t>
  </si>
  <si>
    <t>高于1.0*且不高于3.5</t>
  </si>
  <si>
    <t>2017-12-04</t>
  </si>
  <si>
    <t>深圳市尚模投资集团、佛山市顺德区凯利华良建设发展有限公司</t>
  </si>
  <si>
    <t>佛山市顺德区杏坛镇新齐宁路东侧1号地块</t>
  </si>
  <si>
    <t>1.0＜far≤2.5</t>
  </si>
  <si>
    <t>2017-10-27</t>
  </si>
  <si>
    <t>佛山市顺德区杏坛镇新齐宁路东侧2号地块</t>
  </si>
  <si>
    <t>1.0＜far≤2.8</t>
  </si>
  <si>
    <t>万科</t>
  </si>
  <si>
    <t>佛山市顺德区顺德新城创智城片区东乐路以南、创智路以西地块</t>
  </si>
  <si>
    <t>2017-10-26</t>
  </si>
  <si>
    <t>金科</t>
  </si>
  <si>
    <t>佛山市顺德区北滘镇新城区04-B-06地块</t>
  </si>
  <si>
    <t>住宅用地</t>
  </si>
  <si>
    <t>1.0＜far≤1.2</t>
  </si>
  <si>
    <t>2017-10-23</t>
  </si>
  <si>
    <t>佛山市顺德区和睿企业管理有限公司</t>
  </si>
  <si>
    <t>佛山市顺德区乐从镇新桂路以东、创富二路以北地块</t>
  </si>
  <si>
    <t>＞1.0且≤2.8</t>
  </si>
  <si>
    <t>2017-09-27</t>
  </si>
  <si>
    <t>中交</t>
  </si>
  <si>
    <t>佛山市顺德区乐从镇新桂路以东、创富二路以南地块</t>
  </si>
  <si>
    <t>佛山市顺德区顺德西部生态产业区启动区商务配套区D-XB-10-01B-04-01地块</t>
  </si>
  <si>
    <t>1.0≤far≤2.0</t>
  </si>
  <si>
    <t>2017-09-04</t>
  </si>
  <si>
    <t>美的地产</t>
  </si>
  <si>
    <t>佛山市顺德区顺德西部生态产业区启动区商务配套区D-XB-10-01B-01-02地块</t>
  </si>
  <si>
    <t>1.0≤far≤2.5</t>
  </si>
  <si>
    <t>恒大</t>
  </si>
  <si>
    <t>佛山市顺德区伦教大成围伦桂路以东、汇贤中学以北地块</t>
  </si>
  <si>
    <t>1.0＜far≤3.0</t>
  </si>
  <si>
    <t>2017-08-21</t>
  </si>
  <si>
    <t>佛山市顺德区海润房地产开发有限公司</t>
  </si>
  <si>
    <t>佛山市顺德区均安镇新城北区8-01-2号地块</t>
  </si>
  <si>
    <t>2017-08-14</t>
  </si>
  <si>
    <t>碧桂园地产集团有限公司</t>
  </si>
  <si>
    <t>佛山市顺德区均安镇鹤峰居委会新城北区百安路1号地块</t>
  </si>
  <si>
    <t>a区高于1.0且不高于3.5</t>
  </si>
  <si>
    <t>2017-08-01</t>
  </si>
  <si>
    <t>中海地产</t>
  </si>
  <si>
    <t>佛山市顺德区勒流街道西安亭大桥侧地块</t>
  </si>
  <si>
    <t>2017-07-31</t>
  </si>
  <si>
    <t>电建地产</t>
  </si>
  <si>
    <t>佛山市顺德区容桂街道外环路以东、新宝东路以北地块</t>
  </si>
  <si>
    <t>2017-07-26</t>
  </si>
  <si>
    <t>广州番禺雅居乐房地产开发有限公司</t>
  </si>
  <si>
    <t>佛山市顺德区伦教街道新基北路以东、规划横八路南地块</t>
  </si>
  <si>
    <t>高于*1.0*且不高于*3.0</t>
  </si>
  <si>
    <t>2017-06-19</t>
  </si>
  <si>
    <t>佛山市顺德区伦教街道新基北路以西、规划横八路以南地块</t>
  </si>
  <si>
    <t>高于*1.0*且不高于*3.5;</t>
  </si>
  <si>
    <t>佛山市顺德区大良街道云近东区37-3号地块</t>
  </si>
  <si>
    <t>不高于4.0且高于1.0</t>
  </si>
  <si>
    <t>2017-06-12</t>
  </si>
  <si>
    <t>北京融辉茗业投资有限公司</t>
  </si>
  <si>
    <t>佛山市顺德区大良街道逢沙大道北侧地块之二</t>
  </si>
  <si>
    <t>高于1且不高于3.0</t>
  </si>
  <si>
    <t>2017-06-01</t>
  </si>
  <si>
    <t>中洲控股</t>
  </si>
  <si>
    <t>佛山市顺德区大良街道逢沙大道北侧地块之一</t>
  </si>
  <si>
    <t>华侨城</t>
  </si>
  <si>
    <t>佛山市顺德区龙江镇左滩村田心地段地块</t>
  </si>
  <si>
    <t>2017-05-31</t>
  </si>
  <si>
    <t>广东美的置业有限公司</t>
  </si>
  <si>
    <t>佛山市顺德区容桂容奇大道东以北、祥和过江隧道以西地块</t>
  </si>
  <si>
    <t>高于1.0且不高于3.5</t>
  </si>
  <si>
    <t>2017-04-20</t>
  </si>
  <si>
    <t>佛山市顺德区北滘镇荷岳路以南、僚龙路东侧地块</t>
  </si>
  <si>
    <t>a、b区均为高于1.0且不高于2.5</t>
  </si>
  <si>
    <t>2017-04-17</t>
  </si>
  <si>
    <t>金辉地产</t>
  </si>
  <si>
    <t>佛山市顺德区北滘镇新城区05-A-04地块</t>
  </si>
  <si>
    <t>高于1且不高于3.3</t>
  </si>
  <si>
    <t>2017-03-30</t>
  </si>
  <si>
    <t>美的地产集团</t>
  </si>
  <si>
    <t>佛山市顺德区陈村镇佛陈路金锠(国际)金属交易广场南侧04-08地块</t>
  </si>
  <si>
    <t>高于1且不高于2.5</t>
  </si>
  <si>
    <t>2017-03-21</t>
  </si>
  <si>
    <t>佛山市顺德区北滘镇碧江片区04-04-08地块</t>
  </si>
  <si>
    <t>高于1且不高于2.6</t>
  </si>
  <si>
    <t>2017-02-27</t>
  </si>
  <si>
    <t>碧桂园物业发展有限公司</t>
  </si>
  <si>
    <t>佛山市顺德区北滘镇新城区人才公寓地块(高村片区03-A-03地块)</t>
  </si>
  <si>
    <t>高于1且不高于3.5</t>
  </si>
  <si>
    <t>2017-01-16</t>
  </si>
  <si>
    <t>佛山市顺德区万荟人才服务有限公司</t>
  </si>
  <si>
    <t>佛山市顺德区均安镇仓门居委会百安南路地块</t>
  </si>
  <si>
    <t>2016-12-30</t>
  </si>
  <si>
    <t>佛山市顺德区丽鸿房产有限公司</t>
  </si>
  <si>
    <t>佛山市顺德区龙江镇东华北路侧隔海商住用地</t>
  </si>
  <si>
    <t>高于1.0且不高于3.0</t>
  </si>
  <si>
    <t>2016-12-27</t>
  </si>
  <si>
    <t>佛山市顺德区碧桂园地产有限公司</t>
  </si>
  <si>
    <t>佛山市顺德区伦教大成围伦桂路以东、南苑西路以南地块</t>
  </si>
  <si>
    <t>不低于1.5且不高于3.0</t>
  </si>
  <si>
    <t>佛山市顺德区乐从镇上华村环镇西路以西、工业一路以北地块</t>
  </si>
  <si>
    <t>大于1.0且不高于3.5</t>
  </si>
  <si>
    <t>2016-12-26</t>
  </si>
  <si>
    <t>佛山市顺德区容桂街道文海西路以北、文滘路以东地块</t>
  </si>
  <si>
    <t>2016-12-05</t>
  </si>
  <si>
    <t>广东恒基实业投资发展有限公司等2个主体组成的竞买联合体</t>
  </si>
  <si>
    <t>佛山市顺德区杏坛镇中心区N-XT-02-01-B-04地块</t>
  </si>
  <si>
    <t>2016-12-01</t>
  </si>
  <si>
    <t>陈泽明</t>
  </si>
  <si>
    <t>佛山市顺德区容桂东堤路以南、兴隆路以东地块(10号地)</t>
  </si>
  <si>
    <t>高于1.0且不高于3.6</t>
  </si>
  <si>
    <t>2016-11-14</t>
  </si>
  <si>
    <t>佛山凯蓝置业有限公司</t>
  </si>
  <si>
    <t>佛山市顺德区大良街道水一方地块</t>
  </si>
  <si>
    <t>高于1.0,且不高于2.65(其中a区高于1.0,且不高于2.70;b区高于1.0,且不高于2.56)</t>
  </si>
  <si>
    <t>2016-10-31</t>
  </si>
  <si>
    <t>广州市达晖君晨房地产投资有限公司</t>
  </si>
  <si>
    <t>佛山市顺德区伦教伦常中路以东、西宁路以南1号地块</t>
  </si>
  <si>
    <t>2016-10-20</t>
  </si>
  <si>
    <t>佛山市顺德区智合房产有限公司</t>
  </si>
  <si>
    <t>佛山市顺德区陈村镇金锠南路南侧04-01地块</t>
  </si>
  <si>
    <t>2016-10-13</t>
  </si>
  <si>
    <t>佛山招商房地产有限公司</t>
  </si>
  <si>
    <t>佛山市顺德区顺德新城德胜商务区德胜中路以南、观绿路以东地块</t>
  </si>
  <si>
    <t>不大于3.0且大于1.0</t>
  </si>
  <si>
    <t>2016-09-07</t>
  </si>
  <si>
    <t>佛山市万科置业有限公司</t>
  </si>
  <si>
    <t>佛山市顺德区大良街道南区5号地块</t>
  </si>
  <si>
    <t>不高于3.5且高于1.0</t>
  </si>
  <si>
    <t>2016-08-22</t>
  </si>
  <si>
    <t>深圳市创润房地产有限公司</t>
  </si>
  <si>
    <t>佛山市顺德区北滘镇新城区05-A-06地块</t>
  </si>
  <si>
    <t>高于1.0且不高于3.3</t>
  </si>
  <si>
    <t>2016-06-28</t>
  </si>
  <si>
    <t>广州市润景置业发展有限公司</t>
  </si>
  <si>
    <t>佛山市顺德区北滘镇新城区05-A-09地块</t>
  </si>
  <si>
    <t>佛山市顺德区龙江镇东华路西侧地块</t>
  </si>
  <si>
    <t>2016-05-11</t>
  </si>
  <si>
    <t>佛山市顺德区龙江碧桂园房地产开发有限公司</t>
  </si>
  <si>
    <t>佛山市顺德区容桂容里居委会建丰路以西、昌明西路以东地块</t>
  </si>
  <si>
    <t>2016-03-31</t>
  </si>
  <si>
    <t>深圳市钜创投资有限公司</t>
  </si>
  <si>
    <t>测算容积率</t>
    <phoneticPr fontId="143"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</si>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</sst>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2" xfId="0" applyFont="1" applyBorder="1" applyAlignment="1" applyProtection="1">
      <alignment horizontal="center" vertical="center" wrapText="1"/>
      <protection locked="0"/>
    </xf>
    <xf numFmtId="0" fontId="137" fillId="5" borderId="2" xfId="0" applyFont="1" applyFill="1" applyBorder="1" applyAlignment="1" applyProtection="1">
      <alignment horizontal="center" vertical="center" wrapText="1"/>
      <protection locked="0"/>
    </xf>
    <xf numFmtId="0" fontId="156" fillId="0" borderId="0" xfId="0" applyFont="1" applyAlignment="1">
      <alignment horizontal="center" vertical="center" wrapText="1"/>
    </xf>
    <xf numFmtId="0" fontId="113" fillId="0" borderId="0" xfId="0" applyFont="1" applyAlignment="1">
      <alignment horizontal="center" vertical="center"/>
    </xf>
    <xf numFmtId="0" fontId="113" fillId="0" borderId="0" xfId="0" applyFont="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出让国有建设用地使用权及在建建筑物房地产抵押价值预评估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受贵公司委托，我公司对出让国有建设用地使用权及在建建筑物房地产抵押价值进行了预评估。</v>
      </c>
    </row>
    <row r="7" spans="1:2" s="1596" customFormat="1">
      <c r="A7" s="1594" t="s">
        <v>1264</v>
      </c>
      <c r="B7" s="1595" t="str">
        <f>'预评函-1'!A7</f>
        <v>估价对象为出让国有建设用地使用权及在建建筑物房地产，为所有。根据《国有土地使用证》[]，估价对象（分摊）出让国有建设用地使用权面积为29092.1平方米，建筑面积为89187.31平方米。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出让国有建设用地使用权及在建建筑物房地产,属开发建设的，该项目尚在开发建设中。根据《国有土地使用证》[]，估价对象（分摊）出让国有建设用地使用权面积为29092.1平方米，规划建筑面积为89187.31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2018年3月16日（评估专业人员实地查勘之日）</v>
      </c>
    </row>
    <row r="13" spans="1:2" s="1596" customFormat="1">
      <c r="A13" s="1594" t="s">
        <v>1227</v>
      </c>
      <c r="B13" s="1595" t="str">
        <f>'预评函-1'!A18</f>
        <v>本次估价的“房地产价值”是指在正常市场情况下，在价值时点2018年3月16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65901</v>
      </c>
    </row>
    <row r="21" spans="1:2" s="1596" customFormat="1">
      <c r="A21" s="1594" t="s">
        <v>1235</v>
      </c>
      <c r="B21" s="1595">
        <f ca="1">'预评函-2'!D7</f>
        <v>7389</v>
      </c>
    </row>
    <row r="22" spans="1:2" s="1596" customFormat="1">
      <c r="A22" s="1594" t="s">
        <v>1236</v>
      </c>
      <c r="B22" s="1595" t="str">
        <f ca="1">'预评函-2'!D6</f>
        <v>陆亿伍仟玖佰零壹万元整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65901</v>
      </c>
    </row>
    <row r="31" spans="1:2" s="1596" customFormat="1">
      <c r="A31" s="1594" t="s">
        <v>1274</v>
      </c>
      <c r="B31" s="1595">
        <f ca="1">'预评函-2'!D15</f>
        <v>7389</v>
      </c>
    </row>
    <row r="32" spans="1:2" s="1596" customFormat="1">
      <c r="A32" s="1594" t="s">
        <v>1241</v>
      </c>
      <c r="B32" s="1595" t="str">
        <f ca="1">'预评函-2'!D14</f>
        <v>陆亿伍仟玖佰零壹万元整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出让国有建设用地使用权及在建建筑物房地产</v>
      </c>
    </row>
    <row r="42" spans="1:2" s="1596" customFormat="1">
      <c r="A42" s="1594" t="s">
        <v>1288</v>
      </c>
      <c r="B42" s="1595" t="str">
        <f>'预评函-3'!B2</f>
        <v>建筑面积</v>
      </c>
    </row>
    <row r="43" spans="1:2" s="1596" customFormat="1">
      <c r="A43" s="1594" t="s">
        <v>1289</v>
      </c>
      <c r="B43" s="1595">
        <f>'预评函-3'!B4</f>
        <v>89187.31</v>
      </c>
    </row>
    <row r="44" spans="1:2" s="1596" customFormat="1">
      <c r="A44" s="1594" t="s">
        <v>1273</v>
      </c>
      <c r="B44" s="1595" t="str">
        <f>'预评函-3'!C2</f>
        <v>(分摊)土地面积</v>
      </c>
    </row>
    <row r="45" spans="1:2" s="1596" customFormat="1">
      <c r="A45" s="1594" t="s">
        <v>1245</v>
      </c>
      <c r="B45" s="1595">
        <f>'预评函-3'!C4</f>
        <v>29092.1</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A30" sqref="A3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757</v>
      </c>
      <c r="C17" s="2018"/>
    </row>
    <row r="18" spans="1:3">
      <c r="A18" s="2017" t="s">
        <v>1768</v>
      </c>
      <c r="B18" s="2017" t="s">
        <v>757</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3060</v>
      </c>
      <c r="B28" s="2017" t="s">
        <v>757</v>
      </c>
      <c r="C28" s="2018"/>
    </row>
    <row r="29" spans="1:3">
      <c r="A29" s="2017" t="s">
        <v>3061</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7"/>
      <c r="B54" s="2025" t="s">
        <v>864</v>
      </c>
      <c r="C54" s="2022" t="s">
        <v>1281</v>
      </c>
    </row>
    <row r="55" spans="1:4">
      <c r="A55" s="2997"/>
      <c r="B55" s="2025" t="s">
        <v>865</v>
      </c>
      <c r="C55" s="2022" t="s">
        <v>1282</v>
      </c>
    </row>
    <row r="56" spans="1:4">
      <c r="A56" s="2997"/>
      <c r="B56" s="2025" t="s">
        <v>866</v>
      </c>
      <c r="C56" s="2022" t="s">
        <v>1286</v>
      </c>
    </row>
    <row r="57" spans="1:4">
      <c r="A57" s="299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1777</v>
      </c>
      <c r="B1" s="2998" t="str">
        <f>IF(B10="北京市","北京市",C10)&amp;F10&amp;IF(结果表!G1="在建","出让国有建设用地使用权及在建建筑物",IF(结果表!G1="土地","出让国有建设用地使用权",))&amp;B9&amp;"预评估"</f>
        <v>出让国有建设用地使用权及在建建筑物房地产抵押价值预评估</v>
      </c>
      <c r="C1" s="2999"/>
      <c r="D1" s="2999"/>
      <c r="E1" s="2999"/>
      <c r="F1" s="2999"/>
      <c r="G1" s="2999"/>
      <c r="H1" s="2999"/>
      <c r="I1" s="300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1779</v>
      </c>
      <c r="B3" s="2039">
        <v>43175</v>
      </c>
      <c r="C3" s="2040" t="s">
        <v>1780</v>
      </c>
      <c r="D3" s="2039">
        <f>B3</f>
        <v>43175</v>
      </c>
      <c r="E3" s="2029"/>
      <c r="F3" s="2029"/>
      <c r="G3" s="2029"/>
      <c r="H3" s="2029"/>
      <c r="I3" s="2029"/>
      <c r="J3" s="2029"/>
      <c r="K3" s="2030"/>
      <c r="L3" s="2031"/>
      <c r="M3" s="2031"/>
      <c r="N3" s="2032"/>
      <c r="O3" s="2033"/>
      <c r="P3" s="2032"/>
      <c r="Q3" s="2032"/>
      <c r="R3" s="2032"/>
      <c r="S3" s="2034"/>
    </row>
    <row r="4" spans="1:19" ht="18" customHeight="1" thickBot="1">
      <c r="A4" s="2041" t="s">
        <v>1781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1784</v>
      </c>
      <c r="B7" s="2056"/>
      <c r="C7" s="2053"/>
      <c r="D7" s="2054"/>
      <c r="E7" s="2037"/>
      <c r="F7" s="2045"/>
      <c r="G7" s="2045"/>
      <c r="H7" s="2045"/>
      <c r="I7" s="2045"/>
      <c r="J7" s="2045"/>
      <c r="K7" s="2057"/>
      <c r="L7" s="2031"/>
      <c r="M7" s="2031"/>
      <c r="N7" s="2032"/>
      <c r="O7" s="2033"/>
      <c r="P7" s="2032"/>
      <c r="Q7" s="2032"/>
      <c r="R7" s="2032"/>
    </row>
    <row r="8" spans="1:19" ht="18" customHeight="1">
      <c r="A8" s="2051" t="s">
        <v>1785</v>
      </c>
      <c r="B8" s="2058" t="s">
        <v>3051</v>
      </c>
      <c r="C8" s="2059"/>
      <c r="D8" s="3001" t="s">
        <v>1786</v>
      </c>
      <c r="E8" s="2060" t="s">
        <v>3054</v>
      </c>
      <c r="F8" s="2061"/>
      <c r="G8" s="2029"/>
      <c r="H8" s="2029"/>
      <c r="I8" s="2029"/>
      <c r="J8" s="2045"/>
      <c r="K8" s="2046"/>
      <c r="L8" s="2031"/>
      <c r="M8" s="2031"/>
      <c r="N8" s="2032"/>
      <c r="O8" s="2033"/>
      <c r="P8" s="2032"/>
      <c r="Q8" s="2032"/>
      <c r="R8" s="2032"/>
    </row>
    <row r="9" spans="1:19" ht="18" customHeight="1" thickBot="1">
      <c r="A9" s="2043" t="s">
        <v>1787</v>
      </c>
      <c r="B9" s="2062" t="s">
        <v>3054</v>
      </c>
      <c r="C9" s="2063"/>
      <c r="D9" s="3002"/>
      <c r="E9" s="2062" t="s">
        <v>70</v>
      </c>
      <c r="F9" s="2064"/>
      <c r="G9" s="2065"/>
      <c r="H9" s="2065"/>
      <c r="I9" s="2065"/>
      <c r="J9" s="2045"/>
      <c r="K9" s="2057"/>
      <c r="L9" s="2031"/>
      <c r="M9" s="2031"/>
      <c r="N9" s="2032"/>
      <c r="O9" s="2033"/>
      <c r="P9" s="2032"/>
      <c r="Q9" s="2032"/>
      <c r="R9" s="2032"/>
    </row>
    <row r="10" spans="1:19" ht="18" customHeight="1" thickTop="1">
      <c r="A10" s="2066" t="s">
        <v>1788</v>
      </c>
      <c r="B10" s="2067"/>
      <c r="C10" s="2068"/>
      <c r="D10" s="2050"/>
      <c r="E10" s="2069" t="s">
        <v>1789</v>
      </c>
      <c r="F10" s="2070"/>
      <c r="G10" s="2071"/>
      <c r="H10" s="2072"/>
      <c r="I10" s="2050"/>
      <c r="J10" s="2045"/>
      <c r="K10" s="2057"/>
      <c r="L10" s="2031"/>
      <c r="M10" s="2031"/>
      <c r="N10" s="2032"/>
      <c r="O10" s="2033"/>
      <c r="P10" s="2032"/>
      <c r="Q10" s="2032"/>
      <c r="R10" s="2032"/>
    </row>
    <row r="11" spans="1:19" ht="18" customHeight="1">
      <c r="A11" s="2073" t="s">
        <v>1790</v>
      </c>
      <c r="B11" s="2074" t="s">
        <v>3053</v>
      </c>
      <c r="C11" s="2075"/>
      <c r="D11" s="2076"/>
      <c r="E11" s="2045"/>
      <c r="F11" s="2045"/>
      <c r="G11" s="2045"/>
      <c r="H11" s="2045"/>
      <c r="I11" s="2045"/>
      <c r="J11" s="2045"/>
      <c r="K11" s="2057"/>
      <c r="L11" s="2031"/>
      <c r="M11" s="2031"/>
      <c r="N11" s="2032"/>
      <c r="O11" s="2033"/>
      <c r="P11" s="2032"/>
      <c r="Q11" s="2032"/>
      <c r="R11" s="2032"/>
    </row>
    <row r="12" spans="1:19" ht="18" customHeight="1">
      <c r="A12" s="2077" t="s">
        <v>1791</v>
      </c>
      <c r="B12" s="2074" t="s">
        <v>3052</v>
      </c>
      <c r="C12" s="2078" t="s">
        <v>1792</v>
      </c>
      <c r="D12" s="2079" t="s">
        <v>1793</v>
      </c>
      <c r="E12" s="2079" t="s">
        <v>1794</v>
      </c>
      <c r="F12" s="2079" t="s">
        <v>1795</v>
      </c>
      <c r="G12" s="2079" t="s">
        <v>1796</v>
      </c>
      <c r="H12" s="2079" t="s">
        <v>1797</v>
      </c>
      <c r="I12" s="2079" t="s">
        <v>1798</v>
      </c>
      <c r="J12" s="2045"/>
      <c r="K12" s="2057"/>
      <c r="L12" s="2031"/>
      <c r="M12" s="2031"/>
      <c r="N12" s="2032"/>
      <c r="O12" s="2033"/>
      <c r="P12" s="2032"/>
      <c r="Q12" s="2032"/>
      <c r="R12" s="2032"/>
    </row>
    <row r="13" spans="1:19" ht="18" customHeight="1">
      <c r="A13" s="2080"/>
      <c r="B13" s="2081"/>
      <c r="C13" s="2082" t="s">
        <v>1799</v>
      </c>
      <c r="D13" s="2083">
        <v>66031</v>
      </c>
      <c r="E13" s="2083">
        <v>55073</v>
      </c>
      <c r="F13" s="2083"/>
      <c r="G13" s="2083">
        <v>58726</v>
      </c>
      <c r="H13" s="2083"/>
      <c r="I13" s="1050"/>
      <c r="J13" s="2045"/>
      <c r="K13" s="2057"/>
      <c r="L13" s="2031"/>
      <c r="M13" s="2031"/>
      <c r="N13" s="2032"/>
      <c r="O13" s="2033"/>
      <c r="P13" s="2032"/>
      <c r="Q13" s="2032"/>
      <c r="R13" s="2032"/>
    </row>
    <row r="14" spans="1:19" ht="18" customHeight="1">
      <c r="A14" s="2080"/>
      <c r="B14" s="2081"/>
      <c r="C14" s="2082" t="s">
        <v>1800</v>
      </c>
      <c r="D14" s="1053">
        <v>70</v>
      </c>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1801</v>
      </c>
      <c r="D15" s="1052">
        <f>IF(B12="出让",IF(D13="","",ROUNDDOWN(MIN((D13-$D$3)/365,D14),2)),D14)</f>
        <v>62.61</v>
      </c>
      <c r="E15" s="1052">
        <f>IF(B12="出让",IF(E13="","",ROUNDDOWN(MIN((E13-$D$3)/365,E14),2)),E14)</f>
        <v>32.590000000000003</v>
      </c>
      <c r="F15" s="1052" t="str">
        <f>IF(B12="出让",IF(F13="","",ROUNDDOWN(MIN((F13-$D$3)/365,F14),2)),F14)</f>
        <v/>
      </c>
      <c r="G15" s="1052">
        <f>IF(B12="出让",IF(G13="","",ROUNDDOWN(MIN((G13-$D$3)/365,G14),2)),G14)</f>
        <v>42.6</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1802</v>
      </c>
      <c r="B16" s="3008"/>
      <c r="C16" s="3009"/>
      <c r="D16" s="3010"/>
      <c r="E16" s="2089" t="s">
        <v>1803</v>
      </c>
      <c r="F16" s="3011"/>
      <c r="G16" s="3012"/>
      <c r="H16" s="3012"/>
      <c r="I16" s="3013"/>
      <c r="J16" s="2032"/>
      <c r="K16" s="2086"/>
      <c r="L16" s="2087"/>
      <c r="M16" s="2087"/>
      <c r="N16" s="2088"/>
      <c r="O16" s="2087"/>
      <c r="P16" s="2088"/>
      <c r="Q16" s="2032"/>
      <c r="R16" s="2032"/>
    </row>
    <row r="17" spans="1:22" ht="18" customHeight="1">
      <c r="A17" s="2090" t="s">
        <v>1804</v>
      </c>
      <c r="B17" s="2038" t="s">
        <v>1805</v>
      </c>
      <c r="C17" s="1057">
        <f>'数据-汇总表'!E3</f>
        <v>89187.31</v>
      </c>
      <c r="D17" s="2091" t="s">
        <v>1806</v>
      </c>
      <c r="E17" s="3014" t="s">
        <v>1807</v>
      </c>
      <c r="F17" s="3015"/>
      <c r="G17" s="3015"/>
      <c r="H17" s="3015"/>
      <c r="I17" s="3016"/>
      <c r="J17" s="2032"/>
      <c r="K17" s="2092"/>
      <c r="L17" s="2087"/>
      <c r="M17" s="2087"/>
      <c r="N17" s="2088"/>
      <c r="O17" s="2087"/>
      <c r="P17" s="2088"/>
      <c r="Q17" s="2032"/>
      <c r="R17" s="2032"/>
      <c r="S17" s="2032"/>
      <c r="T17" s="2032"/>
      <c r="U17" s="2032"/>
      <c r="V17" s="2032"/>
    </row>
    <row r="18" spans="1:22" ht="36" customHeight="1" thickBot="1">
      <c r="A18" s="2093" t="s">
        <v>1808</v>
      </c>
      <c r="B18" s="2041" t="s">
        <v>1809</v>
      </c>
      <c r="C18" s="1447">
        <f>'数据-汇总表'!D3</f>
        <v>29092.1</v>
      </c>
      <c r="D18" s="2094" t="s">
        <v>1806</v>
      </c>
      <c r="E18" s="3017" t="s">
        <v>1810</v>
      </c>
      <c r="F18" s="3018"/>
      <c r="G18" s="3018"/>
      <c r="H18" s="3018"/>
      <c r="I18" s="3019"/>
      <c r="J18" s="2032"/>
      <c r="K18" s="2092"/>
      <c r="L18" s="2087"/>
      <c r="M18" s="2087"/>
      <c r="N18" s="2088"/>
      <c r="O18" s="2087"/>
      <c r="P18" s="2088"/>
      <c r="Q18" s="2032"/>
      <c r="R18" s="2032"/>
      <c r="S18" s="2032"/>
      <c r="T18" s="2032"/>
      <c r="U18" s="2032"/>
      <c r="V18" s="2032"/>
    </row>
    <row r="19" spans="1:22" ht="37.5" customHeight="1" thickTop="1" thickBot="1">
      <c r="A19" s="373" t="s">
        <v>1811</v>
      </c>
      <c r="B19" s="352" t="s">
        <v>1812</v>
      </c>
      <c r="C19" s="2095"/>
      <c r="D19" s="2096" t="s">
        <v>1813</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1814</v>
      </c>
      <c r="B20" s="3004" t="s">
        <v>1815</v>
      </c>
      <c r="C20" s="3005"/>
      <c r="D20" s="3006" t="s">
        <v>1816</v>
      </c>
      <c r="E20" s="3007"/>
      <c r="F20" s="2101" t="s">
        <v>1817</v>
      </c>
      <c r="G20" s="2045"/>
      <c r="H20" s="2045"/>
      <c r="I20" s="2045"/>
      <c r="J20" s="2045"/>
      <c r="K20" s="3003"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1819</v>
      </c>
      <c r="C21" s="2103" t="s">
        <v>1820</v>
      </c>
      <c r="D21" s="2104" t="s">
        <v>1821</v>
      </c>
      <c r="E21" s="2105" t="s">
        <v>1820</v>
      </c>
      <c r="F21" s="2106"/>
      <c r="G21" s="2045"/>
      <c r="H21" s="2045"/>
      <c r="I21" s="2045"/>
      <c r="J21" s="2045"/>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1822</v>
      </c>
      <c r="C22" s="2103" t="s">
        <v>1823</v>
      </c>
      <c r="D22" s="2029"/>
      <c r="E22" s="2029"/>
      <c r="F22" s="2108"/>
      <c r="G22" s="2045"/>
      <c r="H22" s="2045"/>
      <c r="I22" s="2045"/>
      <c r="J22" s="2045"/>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1824</v>
      </c>
      <c r="B23" s="183" t="s">
        <v>1825</v>
      </c>
      <c r="C23" s="2110"/>
      <c r="D23" s="2111" t="s">
        <v>1825</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1826</v>
      </c>
      <c r="C24" s="2115"/>
      <c r="D24" s="2109" t="s">
        <v>1826</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1827</v>
      </c>
      <c r="C25" s="2115"/>
      <c r="D25" s="2109" t="s">
        <v>1827</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1828</v>
      </c>
      <c r="C26" s="2119"/>
      <c r="D26" s="2120" t="s">
        <v>1829</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1" t="s">
        <v>1830</v>
      </c>
      <c r="B27" s="2066" t="s">
        <v>1831</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1"/>
      <c r="B28" s="2038" t="s">
        <v>1832</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1"/>
      <c r="B29" s="2038" t="s">
        <v>1833</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2"/>
      <c r="B30" s="2038" t="s">
        <v>1834</v>
      </c>
      <c r="C30" s="3023"/>
      <c r="D30" s="3024"/>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5" t="s">
        <v>1835</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6"/>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6"/>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1836</v>
      </c>
      <c r="B34" s="2137"/>
      <c r="C34" s="2137"/>
      <c r="D34" s="2137"/>
      <c r="E34" s="2137"/>
      <c r="F34" s="2137"/>
      <c r="G34" s="2137"/>
      <c r="H34" s="2137"/>
      <c r="I34" s="2045"/>
      <c r="J34" s="2045"/>
      <c r="K34" s="1798">
        <f>COUNTIF(B34:H34,"——")</f>
        <v>0</v>
      </c>
      <c r="L34" s="2078" t="s">
        <v>1837</v>
      </c>
      <c r="M34" s="2078" t="s">
        <v>1838</v>
      </c>
      <c r="N34" s="2078" t="s">
        <v>1839</v>
      </c>
      <c r="O34" s="2078" t="s">
        <v>1840</v>
      </c>
      <c r="P34" s="2078" t="s">
        <v>1841</v>
      </c>
      <c r="Q34" s="2078" t="s">
        <v>1842</v>
      </c>
      <c r="R34" s="2078" t="s">
        <v>1843</v>
      </c>
      <c r="S34" s="3020" t="s">
        <v>1844</v>
      </c>
      <c r="T34" s="2138" t="str">
        <f>NUMBERSTRING(7-K34,1)&amp;"通"</f>
        <v>七通</v>
      </c>
      <c r="U34" s="2032"/>
      <c r="V34" s="2032"/>
    </row>
    <row r="35" spans="1:22" ht="18" customHeight="1">
      <c r="A35" s="2139"/>
      <c r="B35" s="3027" t="s">
        <v>1845</v>
      </c>
      <c r="C35" s="3027"/>
      <c r="D35" s="3027"/>
      <c r="E35" s="3027"/>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32"/>
      <c r="V35" s="2032"/>
    </row>
    <row r="36" spans="1:22" ht="18" customHeight="1">
      <c r="A36" s="2141"/>
      <c r="B36" s="2140" t="s">
        <v>1846</v>
      </c>
      <c r="C36" s="2140" t="s">
        <v>1847</v>
      </c>
      <c r="D36" s="2140" t="s">
        <v>1848</v>
      </c>
      <c r="E36" s="2140" t="s">
        <v>1849</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1850</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1851</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1852</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1853</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1854</v>
      </c>
      <c r="B42" s="1798" t="s">
        <v>1855</v>
      </c>
      <c r="C42" s="1798" t="s">
        <v>1856</v>
      </c>
      <c r="D42" s="1798" t="s">
        <v>1857</v>
      </c>
      <c r="E42" s="1798" t="s">
        <v>1858</v>
      </c>
      <c r="F42" s="1798" t="s">
        <v>1859</v>
      </c>
      <c r="G42" s="1798" t="s">
        <v>1860</v>
      </c>
      <c r="H42" s="1798" t="s">
        <v>1861</v>
      </c>
      <c r="I42" s="1798" t="s">
        <v>1862</v>
      </c>
      <c r="J42" s="2156" t="s">
        <v>1863</v>
      </c>
      <c r="K42" s="2079" t="s">
        <v>1864</v>
      </c>
      <c r="L42" s="2079" t="s">
        <v>1865</v>
      </c>
      <c r="M42" s="2079" t="s">
        <v>1866</v>
      </c>
      <c r="N42" s="1798" t="s">
        <v>1867</v>
      </c>
      <c r="O42" s="1798" t="s">
        <v>1868</v>
      </c>
      <c r="P42" s="1798" t="s">
        <v>1869</v>
      </c>
      <c r="Q42" s="2078" t="s">
        <v>1870</v>
      </c>
      <c r="R42" s="2078" t="s">
        <v>1871</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D16" sqref="AD16"/>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3" width="9.5" style="2163" customWidth="1"/>
    <col min="14" max="14" width="9.5" style="2163" hidden="1" customWidth="1"/>
    <col min="15" max="15" width="9.875" style="2163" hidden="1" customWidth="1"/>
    <col min="16" max="16" width="9.75" style="2163" hidden="1"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bestFit="1" customWidth="1"/>
    <col min="31" max="31" width="9.75" style="2163" hidden="1" customWidth="1"/>
    <col min="32" max="37" width="9.5" style="2163" hidden="1" customWidth="1"/>
    <col min="38"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1872</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1873</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1874</v>
      </c>
      <c r="B2" s="11" t="s">
        <v>1875</v>
      </c>
      <c r="C2" s="11" t="s">
        <v>1876</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1877</v>
      </c>
      <c r="AZ2" s="1273" t="s">
        <v>1878</v>
      </c>
      <c r="BA2" s="11" t="s">
        <v>1879</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52355.5</v>
      </c>
      <c r="B3" s="14">
        <f>IF(C3="否",G5-AT5,G5)</f>
        <v>160505.66</v>
      </c>
      <c r="C3" s="2172" t="s">
        <v>1880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1881</v>
      </c>
      <c r="B5" s="1806"/>
      <c r="C5" s="1806"/>
      <c r="D5" s="1809"/>
      <c r="E5" s="16" t="s">
        <v>1</v>
      </c>
      <c r="F5" s="16">
        <f>SUM(F13:F587)</f>
        <v>0</v>
      </c>
      <c r="G5" s="16">
        <f>SUM(G13:G587)</f>
        <v>160505.66</v>
      </c>
      <c r="H5" s="16">
        <f t="shared" ref="H5:AT5" si="0">SUM(H13:H656)</f>
        <v>158800.53</v>
      </c>
      <c r="I5" s="16">
        <f t="shared" si="0"/>
        <v>13523.010000000002</v>
      </c>
      <c r="J5" s="16">
        <f t="shared" si="0"/>
        <v>0</v>
      </c>
      <c r="K5" s="16">
        <f t="shared" si="0"/>
        <v>107772.1</v>
      </c>
      <c r="L5" s="16">
        <f t="shared" si="0"/>
        <v>0</v>
      </c>
      <c r="M5" s="16">
        <f t="shared" si="0"/>
        <v>37505.42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1705.13</v>
      </c>
      <c r="AD5" s="16">
        <f t="shared" si="0"/>
        <v>500.91</v>
      </c>
      <c r="AE5" s="16">
        <f t="shared" si="0"/>
        <v>0</v>
      </c>
      <c r="AF5" s="16">
        <f t="shared" si="0"/>
        <v>0</v>
      </c>
      <c r="AG5" s="16">
        <f t="shared" si="0"/>
        <v>0</v>
      </c>
      <c r="AH5" s="16">
        <f t="shared" si="0"/>
        <v>0</v>
      </c>
      <c r="AI5" s="16">
        <f t="shared" si="0"/>
        <v>0</v>
      </c>
      <c r="AJ5" s="16">
        <f t="shared" si="0"/>
        <v>0</v>
      </c>
      <c r="AK5" s="16">
        <f t="shared" si="0"/>
        <v>0</v>
      </c>
      <c r="AL5" s="16">
        <f t="shared" si="0"/>
        <v>1204.22</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1881</v>
      </c>
      <c r="AW5" s="1806"/>
      <c r="AX5" s="1806"/>
      <c r="AY5" s="17" t="s">
        <v>3</v>
      </c>
      <c r="AZ5" s="18">
        <f t="shared" ref="AZ5:BT5" si="1">SUM(AZ13:AZ656)</f>
        <v>89187.31</v>
      </c>
      <c r="BA5" s="18">
        <f t="shared" si="1"/>
        <v>87482.18</v>
      </c>
      <c r="BB5" s="18">
        <f t="shared" si="1"/>
        <v>5406.9000000000005</v>
      </c>
      <c r="BC5" s="18">
        <f t="shared" si="1"/>
        <v>44569.86</v>
      </c>
      <c r="BD5" s="18">
        <f t="shared" si="1"/>
        <v>37505.42</v>
      </c>
      <c r="BE5" s="18">
        <f t="shared" si="1"/>
        <v>0</v>
      </c>
      <c r="BF5" s="18">
        <f t="shared" si="1"/>
        <v>0</v>
      </c>
      <c r="BG5" s="18">
        <f t="shared" si="1"/>
        <v>0</v>
      </c>
      <c r="BH5" s="18">
        <f t="shared" si="1"/>
        <v>0</v>
      </c>
      <c r="BI5" s="18">
        <f t="shared" si="1"/>
        <v>0</v>
      </c>
      <c r="BJ5" s="18">
        <f t="shared" si="1"/>
        <v>0</v>
      </c>
      <c r="BK5" s="18">
        <f t="shared" si="1"/>
        <v>0</v>
      </c>
      <c r="BL5" s="18">
        <f t="shared" si="1"/>
        <v>1705.13</v>
      </c>
      <c r="BM5" s="18">
        <f t="shared" si="1"/>
        <v>500.91</v>
      </c>
      <c r="BN5" s="18">
        <f t="shared" si="1"/>
        <v>0</v>
      </c>
      <c r="BO5" s="18">
        <f t="shared" si="1"/>
        <v>0</v>
      </c>
      <c r="BP5" s="18">
        <f t="shared" si="1"/>
        <v>0</v>
      </c>
      <c r="BQ5" s="18">
        <f t="shared" si="1"/>
        <v>1204.22</v>
      </c>
      <c r="BR5" s="18">
        <f t="shared" si="1"/>
        <v>0</v>
      </c>
      <c r="BS5" s="18">
        <f t="shared" si="1"/>
        <v>0</v>
      </c>
      <c r="BT5" s="19">
        <f t="shared" si="1"/>
        <v>0</v>
      </c>
    </row>
    <row r="6" spans="1:72" s="2181" customFormat="1" ht="12.75">
      <c r="A6" s="15" t="s">
        <v>1882</v>
      </c>
      <c r="B6" s="2178"/>
      <c r="C6" s="2178"/>
      <c r="D6" s="2179"/>
      <c r="E6" s="16">
        <f>H6+AC6+AT6</f>
        <v>52355.5</v>
      </c>
      <c r="F6" s="16" t="s">
        <v>1</v>
      </c>
      <c r="G6" s="16" t="s">
        <v>2</v>
      </c>
      <c r="H6" s="20">
        <f>SUMIF(I$12:AB$12,"总值",I6:AB6)</f>
        <v>51799.3</v>
      </c>
      <c r="I6" s="16">
        <f t="shared" ref="I6:AB6" si="2">ROUND($A$3*I5/$B$3,2)</f>
        <v>4411.08</v>
      </c>
      <c r="J6" s="16">
        <f t="shared" si="2"/>
        <v>0</v>
      </c>
      <c r="K6" s="16">
        <f t="shared" si="2"/>
        <v>35154.29</v>
      </c>
      <c r="L6" s="16">
        <f t="shared" si="2"/>
        <v>0</v>
      </c>
      <c r="M6" s="16">
        <f t="shared" si="2"/>
        <v>12233.93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556.20000000000005</v>
      </c>
      <c r="AD6" s="16">
        <f t="shared" ref="AD6:AS6" si="3">ROUND($A$3*AD5/$B$3,2)</f>
        <v>163.38999999999999</v>
      </c>
      <c r="AE6" s="16">
        <f t="shared" si="3"/>
        <v>0</v>
      </c>
      <c r="AF6" s="16">
        <f t="shared" si="3"/>
        <v>0</v>
      </c>
      <c r="AG6" s="16">
        <f t="shared" si="3"/>
        <v>0</v>
      </c>
      <c r="AH6" s="16">
        <f t="shared" si="3"/>
        <v>0</v>
      </c>
      <c r="AI6" s="16">
        <f t="shared" si="3"/>
        <v>0</v>
      </c>
      <c r="AJ6" s="16">
        <f t="shared" si="3"/>
        <v>0</v>
      </c>
      <c r="AK6" s="16">
        <f t="shared" si="3"/>
        <v>0</v>
      </c>
      <c r="AL6" s="16">
        <f t="shared" si="3"/>
        <v>392.81</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1882</v>
      </c>
      <c r="AW6" s="2178"/>
      <c r="AX6" s="2178"/>
      <c r="AY6" s="21">
        <f>IF(AY3&gt;0,AY3,ROUND($A$3*AZ5/$B$3,2))</f>
        <v>29092.1</v>
      </c>
      <c r="AZ6" s="16" t="s">
        <v>3</v>
      </c>
      <c r="BA6" s="16">
        <f>ROUND($AY$6*BA5/$AZ$5,2)</f>
        <v>28535.9</v>
      </c>
      <c r="BB6" s="16">
        <f>ROUND($AY$6*BB5/$AZ$5,2)</f>
        <v>1763.68</v>
      </c>
      <c r="BC6" s="16">
        <f t="shared" ref="BC6:BH6" si="4">ROUND($AY$6*BC5/$AZ$5,2)</f>
        <v>14538.29</v>
      </c>
      <c r="BD6" s="16">
        <f t="shared" si="4"/>
        <v>12233.93</v>
      </c>
      <c r="BE6" s="16">
        <f t="shared" si="4"/>
        <v>0</v>
      </c>
      <c r="BF6" s="16">
        <f t="shared" si="4"/>
        <v>0</v>
      </c>
      <c r="BG6" s="16">
        <f t="shared" si="4"/>
        <v>0</v>
      </c>
      <c r="BH6" s="16">
        <f t="shared" si="4"/>
        <v>0</v>
      </c>
      <c r="BI6" s="16">
        <f t="shared" ref="BI6:BT6" si="5">ROUND($AY$6*BI5/$AZ$5,2)</f>
        <v>0</v>
      </c>
      <c r="BJ6" s="16">
        <f t="shared" si="5"/>
        <v>0</v>
      </c>
      <c r="BK6" s="16">
        <f t="shared" si="5"/>
        <v>0</v>
      </c>
      <c r="BL6" s="16">
        <f t="shared" si="5"/>
        <v>556.20000000000005</v>
      </c>
      <c r="BM6" s="16">
        <f t="shared" si="5"/>
        <v>163.38999999999999</v>
      </c>
      <c r="BN6" s="16">
        <f t="shared" si="5"/>
        <v>0</v>
      </c>
      <c r="BO6" s="16">
        <f t="shared" si="5"/>
        <v>0</v>
      </c>
      <c r="BP6" s="16">
        <f t="shared" si="5"/>
        <v>0</v>
      </c>
      <c r="BQ6" s="16">
        <f t="shared" si="5"/>
        <v>392.81</v>
      </c>
      <c r="BR6" s="16">
        <f t="shared" si="5"/>
        <v>0</v>
      </c>
      <c r="BS6" s="16">
        <f t="shared" si="5"/>
        <v>0</v>
      </c>
      <c r="BT6" s="22">
        <f t="shared" si="5"/>
        <v>0</v>
      </c>
    </row>
    <row r="7" spans="1:72" s="2171" customFormat="1" ht="24.75">
      <c r="A7" s="2113" t="s">
        <v>1883</v>
      </c>
      <c r="B7" s="2113" t="s">
        <v>1884</v>
      </c>
      <c r="C7" s="2113" t="s">
        <v>1885</v>
      </c>
      <c r="D7" s="2113" t="s">
        <v>1886</v>
      </c>
      <c r="E7" s="2113" t="s">
        <v>1887</v>
      </c>
      <c r="F7" s="2113" t="s">
        <v>1888</v>
      </c>
      <c r="G7" s="2182" t="s">
        <v>1889</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1890</v>
      </c>
      <c r="AV7" s="23" t="s">
        <v>1891</v>
      </c>
      <c r="AW7" s="2170" t="s">
        <v>1892</v>
      </c>
      <c r="AX7" s="23" t="s">
        <v>1885</v>
      </c>
      <c r="AY7" s="1806" t="s">
        <v>1893</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1894</v>
      </c>
      <c r="H8" s="2188" t="s">
        <v>1895</v>
      </c>
      <c r="I8" s="2189"/>
      <c r="J8" s="1821"/>
      <c r="K8" s="1821"/>
      <c r="L8" s="1821"/>
      <c r="M8" s="1821"/>
      <c r="N8" s="1821"/>
      <c r="O8" s="1821"/>
      <c r="P8" s="1821"/>
      <c r="Q8" s="1821"/>
      <c r="R8" s="1821"/>
      <c r="S8" s="1821"/>
      <c r="T8" s="1821"/>
      <c r="U8" s="1821"/>
      <c r="V8" s="2190"/>
      <c r="W8" s="1821"/>
      <c r="X8" s="1821"/>
      <c r="Y8" s="1821"/>
      <c r="Z8" s="1821"/>
      <c r="AA8" s="2190"/>
      <c r="AB8" s="2191"/>
      <c r="AC8" s="984" t="s">
        <v>1896</v>
      </c>
      <c r="AD8" s="2192"/>
      <c r="AE8" s="2184"/>
      <c r="AF8" s="1821"/>
      <c r="AG8" s="1821"/>
      <c r="AH8" s="1821"/>
      <c r="AI8" s="1821"/>
      <c r="AJ8" s="1821"/>
      <c r="AK8" s="1821"/>
      <c r="AL8" s="1821"/>
      <c r="AM8" s="1821"/>
      <c r="AN8" s="1821"/>
      <c r="AO8" s="1821"/>
      <c r="AP8" s="1821"/>
      <c r="AQ8" s="1821"/>
      <c r="AR8" s="1821"/>
      <c r="AS8" s="1821"/>
      <c r="AT8" s="1295" t="s">
        <v>1897</v>
      </c>
      <c r="AU8" s="2186" t="s">
        <v>1898</v>
      </c>
      <c r="AV8" s="1295"/>
      <c r="AW8" s="2169"/>
      <c r="AX8" s="1295"/>
      <c r="AY8" s="2170" t="s">
        <v>1899</v>
      </c>
      <c r="AZ8" s="1820" t="s">
        <v>1900</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1901</v>
      </c>
      <c r="I9" s="2195" t="s">
        <v>3058</v>
      </c>
      <c r="J9" s="984"/>
      <c r="K9" s="2195" t="s">
        <v>3058</v>
      </c>
      <c r="L9" s="984"/>
      <c r="M9" s="2195" t="s">
        <v>3066</v>
      </c>
      <c r="N9" s="984"/>
      <c r="O9" s="2195"/>
      <c r="P9" s="984"/>
      <c r="Q9" s="2195"/>
      <c r="R9" s="984"/>
      <c r="S9" s="2195"/>
      <c r="T9" s="984"/>
      <c r="U9" s="2195"/>
      <c r="V9" s="984"/>
      <c r="W9" s="2195"/>
      <c r="X9" s="2196"/>
      <c r="Y9" s="2195"/>
      <c r="Z9" s="984"/>
      <c r="AA9" s="2195"/>
      <c r="AB9" s="984"/>
      <c r="AC9" s="2187"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7"/>
      <c r="AT9" s="2186"/>
      <c r="AU9" s="2186" t="s">
        <v>1904</v>
      </c>
      <c r="AV9" s="1295"/>
      <c r="AW9" s="2169"/>
      <c r="AX9" s="1295"/>
      <c r="AY9" s="28"/>
      <c r="AZ9" s="28" t="s">
        <v>1894</v>
      </c>
      <c r="BA9" s="2198" t="s">
        <v>1905</v>
      </c>
      <c r="BB9" s="2199"/>
      <c r="BC9" s="1341"/>
      <c r="BD9" s="1341"/>
      <c r="BE9" s="1341"/>
      <c r="BF9" s="1341"/>
      <c r="BG9" s="1341"/>
      <c r="BH9" s="1341"/>
      <c r="BI9" s="1341"/>
      <c r="BJ9" s="1341"/>
      <c r="BK9" s="2200"/>
      <c r="BL9" s="15" t="s">
        <v>1906</v>
      </c>
      <c r="BM9" s="1821"/>
      <c r="BN9" s="2189"/>
      <c r="BO9" s="1821"/>
      <c r="BP9" s="1821"/>
      <c r="BQ9" s="1821"/>
      <c r="BR9" s="1821"/>
      <c r="BS9" s="1821"/>
      <c r="BT9" s="26"/>
    </row>
    <row r="10" spans="1:72" s="2193" customFormat="1" ht="12.75">
      <c r="A10" s="2186"/>
      <c r="B10" s="2186"/>
      <c r="C10" s="2186"/>
      <c r="D10" s="2186"/>
      <c r="E10" s="2186"/>
      <c r="F10" s="2186"/>
      <c r="G10" s="1295"/>
      <c r="H10" s="28"/>
      <c r="I10" s="2195" t="s">
        <v>3059</v>
      </c>
      <c r="J10" s="984"/>
      <c r="K10" s="2201" t="s">
        <v>3059</v>
      </c>
      <c r="L10" s="984"/>
      <c r="M10" s="2201" t="s">
        <v>3067</v>
      </c>
      <c r="N10" s="984"/>
      <c r="O10" s="2201"/>
      <c r="P10" s="984"/>
      <c r="Q10" s="2201"/>
      <c r="R10" s="984"/>
      <c r="S10" s="2201"/>
      <c r="T10" s="984"/>
      <c r="U10" s="2201"/>
      <c r="V10" s="984"/>
      <c r="W10" s="2201"/>
      <c r="X10" s="984"/>
      <c r="Y10" s="2201"/>
      <c r="Z10" s="984"/>
      <c r="AA10" s="2201"/>
      <c r="AB10" s="984"/>
      <c r="AC10" s="1295"/>
      <c r="AD10" s="15" t="s">
        <v>1907</v>
      </c>
      <c r="AE10" s="2202"/>
      <c r="AF10" s="15" t="s">
        <v>1907</v>
      </c>
      <c r="AG10" s="2202"/>
      <c r="AH10" s="15" t="s">
        <v>1908</v>
      </c>
      <c r="AI10" s="2202"/>
      <c r="AJ10" s="15" t="s">
        <v>1908</v>
      </c>
      <c r="AK10" s="2202"/>
      <c r="AL10" s="15" t="s">
        <v>1909</v>
      </c>
      <c r="AM10" s="1301"/>
      <c r="AN10" s="15" t="s">
        <v>1909</v>
      </c>
      <c r="AO10" s="1301"/>
      <c r="AP10" s="15" t="s">
        <v>1910</v>
      </c>
      <c r="AQ10" s="1301"/>
      <c r="AR10" s="15" t="s">
        <v>1910</v>
      </c>
      <c r="AS10" s="1301"/>
      <c r="AT10" s="2186"/>
      <c r="AU10" s="2186"/>
      <c r="AV10" s="1295"/>
      <c r="AW10" s="2169"/>
      <c r="AX10" s="1295"/>
      <c r="AY10" s="28"/>
      <c r="AZ10" s="28"/>
      <c r="BA10" s="2203" t="s">
        <v>1901</v>
      </c>
      <c r="BB10" s="2204" t="str">
        <f>I9</f>
        <v>地上</v>
      </c>
      <c r="BC10" s="29" t="str">
        <f>K9</f>
        <v>地上</v>
      </c>
      <c r="BD10" s="29" t="str">
        <f>M9</f>
        <v>地下</v>
      </c>
      <c r="BE10" s="29">
        <f>O9</f>
        <v>0</v>
      </c>
      <c r="BF10" s="29">
        <f>Q9</f>
        <v>0</v>
      </c>
      <c r="BG10" s="29">
        <f>S9</f>
        <v>0</v>
      </c>
      <c r="BH10" s="29">
        <f>U9</f>
        <v>0</v>
      </c>
      <c r="BI10" s="29">
        <f>W9</f>
        <v>0</v>
      </c>
      <c r="BJ10" s="29">
        <f>Y9</f>
        <v>0</v>
      </c>
      <c r="BK10" s="29">
        <f>AA9</f>
        <v>0</v>
      </c>
      <c r="BL10" s="25" t="s">
        <v>1901</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3055</v>
      </c>
      <c r="J11" s="2207"/>
      <c r="K11" s="2206" t="s">
        <v>3056</v>
      </c>
      <c r="L11" s="2207"/>
      <c r="M11" s="2206" t="s">
        <v>3067</v>
      </c>
      <c r="N11" s="2207"/>
      <c r="O11" s="2206"/>
      <c r="P11" s="2207"/>
      <c r="Q11" s="2206"/>
      <c r="R11" s="2207"/>
      <c r="S11" s="2206"/>
      <c r="T11" s="2207"/>
      <c r="U11" s="2206"/>
      <c r="V11" s="2207"/>
      <c r="W11" s="2206"/>
      <c r="X11" s="2207"/>
      <c r="Y11" s="2206"/>
      <c r="Z11" s="2207"/>
      <c r="AA11" s="2206"/>
      <c r="AB11" s="2207"/>
      <c r="AC11" s="1295"/>
      <c r="AD11" s="2208" t="s">
        <v>1911</v>
      </c>
      <c r="AE11" s="1822"/>
      <c r="AF11" s="2208" t="s">
        <v>1911</v>
      </c>
      <c r="AG11" s="1822"/>
      <c r="AH11" s="2208" t="s">
        <v>1912</v>
      </c>
      <c r="AI11" s="2209"/>
      <c r="AJ11" s="2208" t="s">
        <v>1912</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t="str">
        <f>K10</f>
        <v>住宅</v>
      </c>
      <c r="BD11" s="2191" t="str">
        <f>M10</f>
        <v>车库</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5" t="s">
        <v>1914</v>
      </c>
      <c r="W12" s="11" t="s">
        <v>1913</v>
      </c>
      <c r="X12" s="11" t="s">
        <v>1914</v>
      </c>
      <c r="Y12" s="11" t="s">
        <v>1913</v>
      </c>
      <c r="Z12" s="11" t="s">
        <v>1914</v>
      </c>
      <c r="AA12" s="11" t="s">
        <v>1913</v>
      </c>
      <c r="AB12" s="11" t="s">
        <v>1914</v>
      </c>
      <c r="AC12" s="2213"/>
      <c r="AD12" s="1809"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1" t="s">
        <v>1914</v>
      </c>
      <c r="AT12" s="2214"/>
      <c r="AU12" s="2211"/>
      <c r="AV12" s="31"/>
      <c r="AW12" s="2170"/>
      <c r="AX12" s="31"/>
      <c r="AY12" s="2215"/>
      <c r="AZ12" s="28"/>
      <c r="BA12" s="2203"/>
      <c r="BB12" s="24" t="str">
        <f>I11</f>
        <v>多层</v>
      </c>
      <c r="BC12" s="2216" t="str">
        <f>K11</f>
        <v>高层</v>
      </c>
      <c r="BD12" s="2216" t="str">
        <f>M11</f>
        <v>车库</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45" t="s">
        <v>3072</v>
      </c>
      <c r="D13" s="2217" t="s">
        <v>3063</v>
      </c>
      <c r="E13" s="16">
        <f>IF($C$3="是",ROUND($A$3*G13/$B$3,2),ROUND($A$3*(G13-AT13)/$B$3,2))</f>
        <v>1763.68</v>
      </c>
      <c r="F13" s="32"/>
      <c r="G13" s="33">
        <f>H13+AC13+AT13</f>
        <v>5406.9000000000005</v>
      </c>
      <c r="H13" s="20">
        <f>SUMIF(I$12:AB$12,"总值",I13:AB13)</f>
        <v>5406.9000000000005</v>
      </c>
      <c r="I13" s="2218">
        <f>903.07*2+900.19*4</f>
        <v>5406.9000000000005</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多层主体</v>
      </c>
      <c r="AY13" s="1809">
        <f>ROUND($AY$6*AZ13/$AZ$5,2)</f>
        <v>1763.68</v>
      </c>
      <c r="AZ13" s="16">
        <f>BA13+BL13</f>
        <v>5406.9000000000005</v>
      </c>
      <c r="BA13" s="16">
        <f>SUM(BB13:BK13)</f>
        <v>5406.9000000000005</v>
      </c>
      <c r="BB13" s="16">
        <f>IF($D13="是",I13-J13,0)</f>
        <v>5406.9000000000005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46" t="s">
        <v>3071</v>
      </c>
      <c r="D14" s="2217" t="s">
        <v>3063</v>
      </c>
      <c r="E14" s="16">
        <f>IF($C$3="是",ROUND($A$3*G14/$B$3,2),ROUND($A$3*(G14-AT14)/$B$3,2))</f>
        <v>14538.29</v>
      </c>
      <c r="F14" s="32"/>
      <c r="G14" s="33">
        <f>H14+AC14+AT14</f>
        <v>44569.86</v>
      </c>
      <c r="H14" s="20">
        <f>SUMIF(I$12:AB$12,"总值",I14:AB14)</f>
        <v>44569.86</v>
      </c>
      <c r="I14" s="2218"/>
      <c r="J14" s="2218"/>
      <c r="K14" s="2218">
        <f>12968.74*2+18632.38*1</f>
        <v>44569.86</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高层主体</v>
      </c>
      <c r="AY14" s="1809">
        <f>ROUND($AY$6*AZ14/$AZ$5,2)</f>
        <v>14538.29</v>
      </c>
      <c r="AZ14" s="16">
        <f>BA14+BL14</f>
        <v>44569.86</v>
      </c>
      <c r="BA14" s="16">
        <f>SUM(BB14:BK14)</f>
        <v>44569.86</v>
      </c>
      <c r="BB14" s="16">
        <f>IF($D14="是",I14-J14,0)</f>
        <v>0</v>
      </c>
      <c r="BC14" s="16">
        <f>IF($D14="是",K14-L14,0)</f>
        <v>44569.86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46" t="s">
        <v>3057</v>
      </c>
      <c r="D15" s="2217" t="s">
        <v>3063</v>
      </c>
      <c r="E15" s="16">
        <f>IF($C$3="是",ROUND($A$3*G15/$B$3,2),ROUND($A$3*(G15-AT15)/$B$3,2))</f>
        <v>163.38999999999999</v>
      </c>
      <c r="F15" s="32"/>
      <c r="G15" s="33">
        <f>H15+AC15+AT15</f>
        <v>500.91</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500.91</v>
      </c>
      <c r="AD15" s="2219">
        <v>500.91</v>
      </c>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公建</v>
      </c>
      <c r="AY15" s="1809">
        <f>ROUND($AY$6*AZ15/$AZ$5,2)</f>
        <v>163.38999999999999</v>
      </c>
      <c r="AZ15" s="16">
        <f>BA15+BL15</f>
        <v>500.91</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500.91</v>
      </c>
      <c r="BM15" s="16">
        <f>IF($D15="是",AD15-AE15,0)</f>
        <v>500.91</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46" t="s">
        <v>3062</v>
      </c>
      <c r="D16" s="2217" t="s">
        <v>3063</v>
      </c>
      <c r="E16" s="16">
        <f>IF($C$3="是",ROUND($A$3*G16/$B$3,2),ROUND($A$3*(G16-AT16)/$B$3,2))</f>
        <v>392.81</v>
      </c>
      <c r="F16" s="32"/>
      <c r="G16" s="33">
        <f>H16+AC16+AT16</f>
        <v>1204.22</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1204.22</v>
      </c>
      <c r="AD16" s="2219"/>
      <c r="AE16" s="2219"/>
      <c r="AF16" s="2219"/>
      <c r="AG16" s="2219"/>
      <c r="AH16" s="2219"/>
      <c r="AI16" s="2219"/>
      <c r="AJ16" s="2219"/>
      <c r="AK16" s="2219"/>
      <c r="AL16" s="2219">
        <f>949.56+254.66</f>
        <v>1204.22</v>
      </c>
      <c r="AM16" s="2219"/>
      <c r="AN16" s="2219"/>
      <c r="AO16" s="2219"/>
      <c r="AP16" s="2219"/>
      <c r="AQ16" s="2219"/>
      <c r="AR16" s="2219"/>
      <c r="AS16" s="2219"/>
      <c r="AT16" s="2220"/>
      <c r="AU16" s="2221"/>
      <c r="AV16" s="11">
        <f t="shared" si="6"/>
        <v>0</v>
      </c>
      <c r="AW16" s="11">
        <f t="shared" si="6"/>
        <v>0</v>
      </c>
      <c r="AX16" s="11" t="str">
        <f t="shared" si="6"/>
        <v>设备等</v>
      </c>
      <c r="AY16" s="1809">
        <f>ROUND($AY$6*AZ16/$AZ$5,2)</f>
        <v>392.81</v>
      </c>
      <c r="AZ16" s="16">
        <f>BA16+BL16</f>
        <v>1204.22</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1204.22</v>
      </c>
      <c r="BM16" s="16">
        <f>IF($D16="是",AD16-AE16,0)</f>
        <v>0</v>
      </c>
      <c r="BN16" s="16">
        <f>IF($D16="是",AF16-AG16,0)</f>
        <v>0</v>
      </c>
      <c r="BO16" s="16">
        <f>IF($D16="是",AH16-AI16,0)</f>
        <v>0</v>
      </c>
      <c r="BP16" s="16">
        <f>IF($D16="是",AJ16-AK16,0)</f>
        <v>0</v>
      </c>
      <c r="BQ16" s="16">
        <f>IF($D16="是",AL16-AM16,0)</f>
        <v>1204.22</v>
      </c>
      <c r="BR16" s="16">
        <f>IF($D16="是",AN16-AO16,0)</f>
        <v>0</v>
      </c>
      <c r="BS16" s="16">
        <f>IF($D16="是",AP16-AQ16,0)</f>
        <v>0</v>
      </c>
      <c r="BT16" s="22">
        <f>IF($D16="是",AR16-AS16,0)</f>
        <v>0</v>
      </c>
    </row>
    <row r="17" spans="1:72" s="2171" customFormat="1" ht="12.75">
      <c r="A17" s="1275"/>
      <c r="B17" s="1275"/>
      <c r="C17" s="2946" t="s">
        <v>3064</v>
      </c>
      <c r="D17" s="2947" t="s">
        <v>3065</v>
      </c>
      <c r="E17" s="16">
        <f>IF($C$3="是",ROUND($A$3*G17/$B$3,2),ROUND($A$3*(G17-AT17)/$B$3,2))</f>
        <v>12233.93</v>
      </c>
      <c r="F17" s="32"/>
      <c r="G17" s="33">
        <f>H17+AC17+AT17</f>
        <v>37505.42</v>
      </c>
      <c r="H17" s="20">
        <f>SUMIF(I$12:AB$12,"总值",I17:AB17)</f>
        <v>37505.42</v>
      </c>
      <c r="I17" s="2218"/>
      <c r="J17" s="2218"/>
      <c r="K17" s="2218"/>
      <c r="L17" s="2218"/>
      <c r="M17" s="2218">
        <v>37505.42</v>
      </c>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t="str">
        <f t="shared" si="6"/>
        <v>地下车库</v>
      </c>
      <c r="AY17" s="1809">
        <f>ROUND($AY$6*AZ17/$AZ$5,2)</f>
        <v>12233.93</v>
      </c>
      <c r="AZ17" s="16">
        <f>BA17+BL17</f>
        <v>37505.42</v>
      </c>
      <c r="BA17" s="16">
        <f>SUM(BB17:BK17)</f>
        <v>37505.42</v>
      </c>
      <c r="BB17" s="16">
        <f>IF($D17="是",I17-J17,0)</f>
        <v>0</v>
      </c>
      <c r="BC17" s="16">
        <f>IF($D17="是",K17-L17,0)</f>
        <v>0</v>
      </c>
      <c r="BD17" s="16">
        <f>IF($D17="是",M17-N17,0)</f>
        <v>37505.42</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49" t="s">
        <v>3069</v>
      </c>
      <c r="D18" s="2950" t="s">
        <v>3077</v>
      </c>
      <c r="E18" s="35">
        <f t="shared" ref="E18:E112" si="7">IF($C$3="是",ROUND($A$3*G18/$B$3,2),ROUND($A$3*(G18-AT18)/$B$3,2))</f>
        <v>2647.4</v>
      </c>
      <c r="F18" s="36"/>
      <c r="G18" s="37">
        <f t="shared" ref="G18:G109" si="8">H18+AC18+AT18</f>
        <v>8116.1100000000006</v>
      </c>
      <c r="H18" s="38">
        <f t="shared" ref="H18:H109" si="9">SUMIF(I$12:AB$12,"总值",I18:AB18)</f>
        <v>8116.1100000000006</v>
      </c>
      <c r="I18" s="39">
        <f>903.07*5+900.19*4</f>
        <v>8116.1100000000006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t="str">
        <f t="shared" ref="AX18:AX112" si="13">C18</f>
        <v>未建多层</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9" t="s">
        <v>3070</v>
      </c>
      <c r="D19" s="2950" t="s">
        <v>3077</v>
      </c>
      <c r="E19" s="35">
        <f t="shared" si="7"/>
        <v>20616</v>
      </c>
      <c r="F19" s="36"/>
      <c r="G19" s="37">
        <f t="shared" si="8"/>
        <v>63202.240000000005</v>
      </c>
      <c r="H19" s="38">
        <f t="shared" si="9"/>
        <v>63202.240000000005</v>
      </c>
      <c r="I19" s="39"/>
      <c r="J19" s="39"/>
      <c r="K19" s="39">
        <f>12968.74*2+18632.38*2</f>
        <v>63202.240000000005</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t="str">
        <f t="shared" si="13"/>
        <v>基础高层</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8" t="s">
        <v>0</v>
      </c>
      <c r="B1" s="3028" t="s">
        <v>4</v>
      </c>
      <c r="C1" s="3028" t="s">
        <v>5</v>
      </c>
      <c r="D1" s="3029" t="s">
        <v>53</v>
      </c>
      <c r="E1" s="3029" t="s">
        <v>54</v>
      </c>
      <c r="F1" s="3029"/>
      <c r="G1" s="3029"/>
      <c r="H1" s="3029"/>
      <c r="I1" s="3029"/>
      <c r="J1" s="3029"/>
      <c r="K1" s="3029"/>
      <c r="L1" s="3029"/>
      <c r="M1" s="3029"/>
    </row>
    <row r="2" spans="1:13" ht="27" customHeight="1">
      <c r="A2" s="3028"/>
      <c r="B2" s="3028"/>
      <c r="C2" s="3028"/>
      <c r="D2" s="3029"/>
      <c r="E2" s="3029" t="s">
        <v>37</v>
      </c>
      <c r="F2" s="3029" t="s">
        <v>38</v>
      </c>
      <c r="G2" s="3029"/>
      <c r="H2" s="3029"/>
      <c r="I2" s="3029"/>
      <c r="J2" s="3029" t="s">
        <v>39</v>
      </c>
      <c r="K2" s="3029"/>
      <c r="L2" s="3029"/>
      <c r="M2" s="3029"/>
    </row>
    <row r="3" spans="1:13" ht="28.5">
      <c r="A3" s="3028"/>
      <c r="B3" s="3028"/>
      <c r="C3" s="3028"/>
      <c r="D3" s="3029"/>
      <c r="E3" s="30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9" t="s">
        <v>55</v>
      </c>
      <c r="B9" s="3029"/>
      <c r="C9" s="30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1940</v>
      </c>
      <c r="B1" s="1395"/>
      <c r="C1" s="1395"/>
      <c r="D1" s="1395"/>
      <c r="E1" s="1395"/>
      <c r="F1" s="1395"/>
      <c r="G1" s="1395"/>
      <c r="H1" s="1395"/>
      <c r="I1" s="1395"/>
      <c r="J1" s="1395"/>
      <c r="K1" s="1395"/>
      <c r="L1" s="1395"/>
      <c r="M1" s="1395"/>
      <c r="N1" s="1395"/>
      <c r="O1" s="1395"/>
      <c r="P1" s="1395"/>
    </row>
    <row r="2" spans="1:16" ht="15">
      <c r="A2" s="3039" t="s">
        <v>1941</v>
      </c>
      <c r="B2" s="3039"/>
      <c r="C2" s="3039"/>
      <c r="D2" s="970" t="s">
        <v>1917</v>
      </c>
      <c r="E2" s="2231" t="s">
        <v>1918</v>
      </c>
      <c r="F2" s="1395"/>
      <c r="G2" s="2232"/>
      <c r="H2" s="2233"/>
      <c r="I2" s="2234" t="s">
        <v>1942</v>
      </c>
      <c r="J2" s="1395"/>
      <c r="K2" s="1395"/>
      <c r="L2" s="1395"/>
      <c r="M2" s="1395"/>
      <c r="N2" s="1430"/>
      <c r="O2" s="1395"/>
      <c r="P2" s="1395"/>
    </row>
    <row r="3" spans="1:16" ht="15.75" thickBot="1">
      <c r="A3" s="3040" t="s">
        <v>1915</v>
      </c>
      <c r="B3" s="3040"/>
      <c r="C3" s="3040"/>
      <c r="D3" s="46">
        <f>'数据-基础表'!AY6</f>
        <v>29092.1</v>
      </c>
      <c r="E3" s="46">
        <f>'数据-基础表'!AZ5</f>
        <v>89187.31</v>
      </c>
      <c r="F3" s="1395"/>
      <c r="G3" s="1402"/>
      <c r="H3" s="1250" t="s">
        <v>1916</v>
      </c>
      <c r="I3" s="55">
        <f>ROUND('数据-基础表'!B3/'数据-基础表'!A3,2)</f>
        <v>3.07</v>
      </c>
      <c r="J3" s="1395"/>
      <c r="K3" s="1395"/>
      <c r="L3" s="1395"/>
      <c r="M3" s="1395"/>
      <c r="N3" s="1430"/>
      <c r="O3" s="1395"/>
      <c r="P3" s="1395"/>
    </row>
    <row r="4" spans="1:16" ht="15">
      <c r="A4" s="3041"/>
      <c r="B4" s="3042"/>
      <c r="C4" s="3043"/>
      <c r="D4" s="2235" t="s">
        <v>1917</v>
      </c>
      <c r="E4" s="2236" t="s">
        <v>1918</v>
      </c>
      <c r="F4" s="1395"/>
      <c r="G4" s="2237" t="s">
        <v>1943</v>
      </c>
      <c r="H4" s="1250" t="s">
        <v>1923</v>
      </c>
      <c r="I4" s="55">
        <f>ROUND(SUMIF('数据-基础表'!I9:AS9,"地上",'数据-基础表'!I5:AS5)/'数据-基础表'!A3,2)</f>
        <v>2.35</v>
      </c>
      <c r="J4" s="1395"/>
      <c r="K4" s="1395"/>
      <c r="L4" s="1395"/>
      <c r="M4" s="1395"/>
      <c r="N4" s="1430"/>
      <c r="O4" s="1395"/>
      <c r="P4" s="1395"/>
    </row>
    <row r="5" spans="1:16">
      <c r="A5" s="47" t="s">
        <v>1919</v>
      </c>
      <c r="B5" s="3044" t="s">
        <v>1920</v>
      </c>
      <c r="C5" s="3044"/>
      <c r="D5" s="48">
        <f>ROUND($D$3*E5/$E$3,2)</f>
        <v>16301.97</v>
      </c>
      <c r="E5" s="49">
        <f>SUMIF('数据-基础表'!$11:$11,"住宅",'数据-基础表'!$5:$5)</f>
        <v>49976.76</v>
      </c>
      <c r="F5" s="1395"/>
      <c r="G5" s="1402"/>
      <c r="H5" s="1250" t="s">
        <v>1916</v>
      </c>
      <c r="I5" s="55">
        <f>ROUND(E31/D31,2)</f>
        <v>3.07</v>
      </c>
      <c r="J5" s="1395"/>
      <c r="K5" s="1395"/>
      <c r="L5" s="1395"/>
      <c r="M5" s="1395"/>
      <c r="N5" s="1395"/>
      <c r="O5" s="1395"/>
      <c r="P5" s="1395"/>
    </row>
    <row r="6" spans="1:16" ht="15" thickBot="1">
      <c r="A6" s="2238"/>
      <c r="B6" s="3044" t="s">
        <v>1921</v>
      </c>
      <c r="C6" s="3044"/>
      <c r="D6" s="48">
        <f>ROUND($D$3*E6/$E$3,2)</f>
        <v>12790.13</v>
      </c>
      <c r="E6" s="49">
        <f>E3-E5</f>
        <v>39210.549999999996</v>
      </c>
      <c r="F6" s="1395"/>
      <c r="G6" s="2239" t="s">
        <v>1922</v>
      </c>
      <c r="H6" s="1402" t="s">
        <v>1923</v>
      </c>
      <c r="I6" s="942">
        <f>ROUND(F31/D31,2)</f>
        <v>1.78</v>
      </c>
      <c r="J6" s="1395"/>
      <c r="K6" s="1395"/>
      <c r="L6" s="1395"/>
      <c r="M6" s="1395"/>
      <c r="N6" s="1395"/>
      <c r="O6" s="1395"/>
      <c r="P6" s="1395"/>
    </row>
    <row r="7" spans="1:16" ht="15">
      <c r="A7" s="3036"/>
      <c r="B7" s="3037"/>
      <c r="C7" s="3038"/>
      <c r="D7" s="2235" t="s">
        <v>1917</v>
      </c>
      <c r="E7" s="2240" t="s">
        <v>1924</v>
      </c>
      <c r="F7" s="1395"/>
      <c r="G7" s="2232" t="s">
        <v>1925</v>
      </c>
      <c r="H7" s="64"/>
      <c r="I7" s="420">
        <v>2.33</v>
      </c>
      <c r="J7" s="1395"/>
      <c r="K7" s="1395"/>
      <c r="L7" s="1395"/>
      <c r="M7" s="1395"/>
      <c r="N7" s="1395"/>
      <c r="O7" s="1395"/>
      <c r="P7" s="1395"/>
    </row>
    <row r="8" spans="1:16">
      <c r="A8" s="47" t="s">
        <v>1926</v>
      </c>
      <c r="B8" s="50" t="s">
        <v>1927</v>
      </c>
      <c r="C8" s="48" t="s">
        <v>1928</v>
      </c>
      <c r="D8" s="48">
        <f t="shared" ref="D8:D15" si="0">ROUND($D$3*E8/$E$3,2)</f>
        <v>16301.97</v>
      </c>
      <c r="E8" s="51">
        <f>SUMIF('数据-基础表'!BB10:BK10,"地上",'数据-基础表'!BB5:BK5)</f>
        <v>49976.76</v>
      </c>
      <c r="F8" s="1395"/>
      <c r="G8" s="2241"/>
      <c r="H8" s="2241"/>
      <c r="I8" s="1395"/>
      <c r="J8" s="1395"/>
      <c r="K8" s="1395"/>
      <c r="L8" s="1395"/>
      <c r="M8" s="1395"/>
      <c r="N8" s="1395"/>
      <c r="O8" s="1395"/>
      <c r="P8" s="1395"/>
    </row>
    <row r="9" spans="1:16">
      <c r="A9" s="2242"/>
      <c r="B9" s="2243"/>
      <c r="C9" s="48" t="s">
        <v>1929</v>
      </c>
      <c r="D9" s="48">
        <f t="shared" si="0"/>
        <v>0</v>
      </c>
      <c r="E9" s="52">
        <v>0</v>
      </c>
      <c r="F9" s="1395"/>
      <c r="G9" s="2241"/>
      <c r="H9" s="2241"/>
      <c r="I9" s="1395"/>
      <c r="J9" s="1395"/>
      <c r="K9" s="1395"/>
      <c r="L9" s="1395"/>
      <c r="M9" s="1395"/>
      <c r="N9" s="1395"/>
      <c r="O9" s="1395"/>
      <c r="P9" s="1395"/>
    </row>
    <row r="10" spans="1:16">
      <c r="A10" s="2242"/>
      <c r="B10" s="2243"/>
      <c r="C10" s="48" t="s">
        <v>1938</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1930</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1931</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1932</v>
      </c>
      <c r="D13" s="48">
        <f t="shared" si="0"/>
        <v>12233.93</v>
      </c>
      <c r="E13" s="51">
        <f>SUMPRODUCT(('数据-基础表'!BB10:BK10="地下")*('数据-基础表'!BB11:BK11="车库")*('数据-基础表'!BB5:BK5))</f>
        <v>37505.42</v>
      </c>
      <c r="F13" s="1395"/>
      <c r="G13" s="2241"/>
      <c r="H13" s="2241"/>
      <c r="I13" s="1395"/>
      <c r="J13" s="1395"/>
      <c r="K13" s="1395"/>
      <c r="L13" s="1395"/>
      <c r="M13" s="1395"/>
      <c r="N13" s="1395"/>
      <c r="O13" s="1395"/>
      <c r="P13" s="1395"/>
    </row>
    <row r="14" spans="1:16">
      <c r="A14" s="2242"/>
      <c r="B14" s="2243"/>
      <c r="C14" s="48" t="s">
        <v>1944</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1939</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1933</v>
      </c>
      <c r="D16" s="50">
        <f>SUM(D8:D15)</f>
        <v>28535.9</v>
      </c>
      <c r="E16" s="53">
        <f>SUM(E8:E15)</f>
        <v>87482.18</v>
      </c>
      <c r="F16" s="1395"/>
      <c r="G16" s="2241"/>
      <c r="H16" s="2244" t="s">
        <v>1945</v>
      </c>
      <c r="I16" s="2245"/>
      <c r="J16" s="1395"/>
      <c r="K16" s="3033" t="s">
        <v>1945</v>
      </c>
      <c r="L16" s="3034"/>
      <c r="M16" s="3034"/>
      <c r="N16" s="3034"/>
      <c r="O16" s="3034"/>
      <c r="P16" s="3035"/>
    </row>
    <row r="17" spans="1:19" ht="15">
      <c r="A17" s="2246" t="s">
        <v>1946</v>
      </c>
      <c r="B17" s="2247" t="s">
        <v>1947</v>
      </c>
      <c r="C17" s="2248" t="s">
        <v>1948</v>
      </c>
      <c r="D17" s="2249" t="s">
        <v>1936</v>
      </c>
      <c r="E17" s="2250" t="s">
        <v>1937</v>
      </c>
      <c r="F17" s="2251"/>
      <c r="G17" s="2252"/>
      <c r="H17" s="2253" t="s">
        <v>1949</v>
      </c>
      <c r="I17" s="2254" t="s">
        <v>1934</v>
      </c>
      <c r="J17" s="1395"/>
      <c r="K17" s="3030" t="s">
        <v>1950</v>
      </c>
      <c r="L17" s="3031"/>
      <c r="M17" s="3032"/>
      <c r="N17" s="3030" t="s">
        <v>1951</v>
      </c>
      <c r="O17" s="3031"/>
      <c r="P17" s="3032"/>
      <c r="R17" s="2232" t="s">
        <v>1952</v>
      </c>
      <c r="S17" s="64"/>
    </row>
    <row r="18" spans="1:19" ht="15">
      <c r="A18" s="2242"/>
      <c r="B18" s="2255"/>
      <c r="C18" s="2256"/>
      <c r="D18" s="2257"/>
      <c r="E18" s="2258" t="s">
        <v>1953</v>
      </c>
      <c r="F18" s="2259" t="s">
        <v>1954</v>
      </c>
      <c r="G18" s="2260" t="s">
        <v>1955</v>
      </c>
      <c r="H18" s="1265" t="s">
        <v>1956</v>
      </c>
      <c r="I18" s="2261" t="s">
        <v>1957</v>
      </c>
      <c r="J18" s="1395"/>
      <c r="K18" s="1265" t="s">
        <v>1958</v>
      </c>
      <c r="L18" s="2262" t="s">
        <v>1959</v>
      </c>
      <c r="M18" s="1049" t="s">
        <v>1960</v>
      </c>
      <c r="N18" s="1265" t="s">
        <v>1958</v>
      </c>
      <c r="O18" s="2262" t="s">
        <v>1959</v>
      </c>
      <c r="P18" s="1049" t="s">
        <v>1960</v>
      </c>
      <c r="R18" s="1250" t="s">
        <v>1961</v>
      </c>
      <c r="S18" s="1250" t="s">
        <v>1962</v>
      </c>
    </row>
    <row r="19" spans="1:19">
      <c r="A19" s="2263"/>
      <c r="B19" s="50" t="s">
        <v>1935</v>
      </c>
      <c r="C19" s="2948" t="s">
        <v>3074</v>
      </c>
      <c r="D19" s="48">
        <f>ROUND($D$3*E19/$E$3,2)</f>
        <v>1763.68</v>
      </c>
      <c r="E19" s="56">
        <f t="shared" ref="E19:E26" si="1">SUM(F19:G19)</f>
        <v>5406.9000000000005</v>
      </c>
      <c r="F19" s="57">
        <f>'数据-基础表'!I13</f>
        <v>5406.9000000000005</v>
      </c>
      <c r="G19" s="58"/>
      <c r="H19" s="723">
        <f>ROUND($D$3*I19/$E$3,2)</f>
        <v>24.28</v>
      </c>
      <c r="I19" s="51">
        <f t="shared" ref="I19:I26" si="2">IF($I$17="自定义",P19,M19)</f>
        <v>74.430000000000007</v>
      </c>
      <c r="J19" s="1395"/>
      <c r="K19" s="1394">
        <f t="shared" ref="K19:K26" si="3">ROUND(E$28*E19/E$27,2)</f>
        <v>74.430000000000007</v>
      </c>
      <c r="L19" s="1250">
        <f t="shared" ref="L19:L26" si="4">ROUND(IF(COUNTIF(C19,"*住宅*")&gt;0,E$29*E19/E$32,0),2)</f>
        <v>0</v>
      </c>
      <c r="M19" s="1406">
        <f>K19+L19</f>
        <v>74.430000000000007</v>
      </c>
      <c r="N19" s="2264"/>
      <c r="O19" s="2265"/>
      <c r="P19" s="1406">
        <f>N19+O19</f>
        <v>0</v>
      </c>
      <c r="R19" s="1250">
        <f t="shared" ref="R19:S26" si="5">D19+H19</f>
        <v>1787.96</v>
      </c>
      <c r="S19" s="1251">
        <f t="shared" si="5"/>
        <v>5481.3300000000008</v>
      </c>
    </row>
    <row r="20" spans="1:19">
      <c r="A20" s="2266"/>
      <c r="B20" s="50" t="s">
        <v>1963</v>
      </c>
      <c r="C20" s="2948" t="s">
        <v>3076</v>
      </c>
      <c r="D20" s="48">
        <f t="shared" ref="D20:D26" si="6">ROUND($D$3*E20/$E$3,2)</f>
        <v>14538.29</v>
      </c>
      <c r="E20" s="56">
        <f t="shared" si="1"/>
        <v>44569.86</v>
      </c>
      <c r="F20" s="57">
        <f>'数据-基础表'!K14</f>
        <v>44569.86</v>
      </c>
      <c r="G20" s="58"/>
      <c r="H20" s="723">
        <f t="shared" ref="H20:H26" si="7">ROUND($D$3*I20/$E$3,2)</f>
        <v>200.12</v>
      </c>
      <c r="I20" s="51">
        <f t="shared" si="2"/>
        <v>613.52</v>
      </c>
      <c r="J20" s="1395"/>
      <c r="K20" s="1394">
        <f t="shared" si="3"/>
        <v>613.52</v>
      </c>
      <c r="L20" s="1250">
        <f t="shared" si="4"/>
        <v>0</v>
      </c>
      <c r="M20" s="1406">
        <f t="shared" ref="M20:M26" si="8">K20+L20</f>
        <v>613.52</v>
      </c>
      <c r="N20" s="2264"/>
      <c r="O20" s="2265"/>
      <c r="P20" s="1406">
        <f t="shared" ref="P20:P26" si="9">N20+O20</f>
        <v>0</v>
      </c>
      <c r="R20" s="1250">
        <f t="shared" si="5"/>
        <v>14738.410000000002</v>
      </c>
      <c r="S20" s="1251">
        <f t="shared" si="5"/>
        <v>45183.38</v>
      </c>
    </row>
    <row r="21" spans="1:19">
      <c r="A21" s="2266"/>
      <c r="B21" s="50" t="s">
        <v>1963</v>
      </c>
      <c r="C21" s="2948" t="s">
        <v>3068</v>
      </c>
      <c r="D21" s="48">
        <f t="shared" si="6"/>
        <v>12233.93</v>
      </c>
      <c r="E21" s="56">
        <f t="shared" si="1"/>
        <v>37505.42</v>
      </c>
      <c r="F21" s="57"/>
      <c r="G21" s="58">
        <f>'数据-基础表'!M17</f>
        <v>37505.42</v>
      </c>
      <c r="H21" s="723">
        <f t="shared" si="7"/>
        <v>168.4</v>
      </c>
      <c r="I21" s="51">
        <f t="shared" si="2"/>
        <v>516.27</v>
      </c>
      <c r="J21" s="1395"/>
      <c r="K21" s="1394">
        <f t="shared" si="3"/>
        <v>516.27</v>
      </c>
      <c r="L21" s="1250">
        <f t="shared" si="4"/>
        <v>0</v>
      </c>
      <c r="M21" s="1406">
        <f t="shared" si="8"/>
        <v>516.27</v>
      </c>
      <c r="N21" s="2264"/>
      <c r="O21" s="2265"/>
      <c r="P21" s="1406">
        <f t="shared" si="9"/>
        <v>0</v>
      </c>
      <c r="R21" s="1250">
        <f t="shared" si="5"/>
        <v>12402.33</v>
      </c>
      <c r="S21" s="1251">
        <f t="shared" si="5"/>
        <v>38021.689999999995</v>
      </c>
    </row>
    <row r="22" spans="1:19">
      <c r="A22" s="2266"/>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29.25" thickBot="1">
      <c r="A27" s="2266"/>
      <c r="B27" s="48"/>
      <c r="C27" s="2269" t="s">
        <v>1964</v>
      </c>
      <c r="D27" s="1396">
        <f>SUM(D19:D26)</f>
        <v>28535.9</v>
      </c>
      <c r="E27" s="1397">
        <f>IF(SUM(E19:E26)='数据-基础表'!BA5,SUM(E19:E26),IF(F27="地上面积有误","面积有误","地下面积有误"))</f>
        <v>87482.18</v>
      </c>
      <c r="F27" s="1396">
        <f>IF(SUM(F19:F26)=E8,SUM(F19:F26),"地上面积有误")</f>
        <v>49976.76</v>
      </c>
      <c r="G27" s="1398">
        <f>SUM(G19:G26)</f>
        <v>37505.42</v>
      </c>
      <c r="H27" s="1399">
        <f>SUM(H19:H26)</f>
        <v>392.8</v>
      </c>
      <c r="I27" s="1400">
        <f>SUM(I19:I26)</f>
        <v>1204.22</v>
      </c>
      <c r="J27" s="1395"/>
      <c r="K27" s="1403">
        <f>SUM(K19:K26)</f>
        <v>1204.22</v>
      </c>
      <c r="L27" s="1404">
        <f>SUM(L19:L26)</f>
        <v>0</v>
      </c>
      <c r="M27" s="1407">
        <f>SUM(M19:M26)</f>
        <v>1204.22</v>
      </c>
      <c r="N27" s="1403">
        <f t="shared" ref="N27:O27" si="10">SUM(N19:N26)</f>
        <v>0</v>
      </c>
      <c r="O27" s="1404">
        <f t="shared" si="10"/>
        <v>0</v>
      </c>
      <c r="P27" s="1405">
        <f>SUM(P19:P26)</f>
        <v>0</v>
      </c>
      <c r="R27" s="1252" t="str">
        <f>IF(SUM(R19:R26)=$D$3,SUM(R19:R26),SUM(R19:R26)&amp;"误差"&amp;ROUND(SUM(R19:R26)-$D$3,2))</f>
        <v>28928.7误差-163.4</v>
      </c>
      <c r="S27" s="1250" t="str">
        <f>IF(SUM(S19:S26)=$E$3,SUM(S19:S26),SUM(S19:S26)&amp;"误差"&amp;ROUND(SUM(S19:S26)-E3,2))</f>
        <v>88686.4误差-500.91</v>
      </c>
    </row>
    <row r="28" spans="1:19">
      <c r="A28" s="2266"/>
      <c r="B28" s="50" t="s">
        <v>1965</v>
      </c>
      <c r="C28" s="1262" t="s">
        <v>1966</v>
      </c>
      <c r="D28" s="48">
        <f>ROUND($D$3*E28/$E$3,2)</f>
        <v>392.81</v>
      </c>
      <c r="E28" s="56">
        <f>SUM(F28:G28)</f>
        <v>1204.22</v>
      </c>
      <c r="F28" s="64">
        <f>'数据-基础表'!BQ5+'数据-基础表'!BS5</f>
        <v>1204.22</v>
      </c>
      <c r="G28" s="65">
        <f>'数据-基础表'!BR5+'数据-基础表'!BT5</f>
        <v>0</v>
      </c>
      <c r="H28" s="1395"/>
      <c r="I28" s="1395"/>
      <c r="J28" s="1395"/>
      <c r="K28" s="1395"/>
      <c r="L28" s="1395"/>
      <c r="M28" s="1395"/>
      <c r="N28" s="1395"/>
      <c r="O28" s="1395"/>
      <c r="P28" s="1395"/>
    </row>
    <row r="29" spans="1:19">
      <c r="A29" s="2266"/>
      <c r="B29" s="50" t="s">
        <v>1965</v>
      </c>
      <c r="C29" s="2270" t="s">
        <v>1967</v>
      </c>
      <c r="D29" s="48">
        <f>ROUND($D$3*E29/$E$3,2)</f>
        <v>163.38999999999999</v>
      </c>
      <c r="E29" s="56">
        <f>SUM(F29:G29)</f>
        <v>500.91</v>
      </c>
      <c r="F29" s="66">
        <f>'数据-基础表'!BM5+'数据-基础表'!BO5</f>
        <v>500.91</v>
      </c>
      <c r="G29" s="67">
        <f>'数据-基础表'!BN5+'数据-基础表'!BP5</f>
        <v>0</v>
      </c>
      <c r="H29" s="1395"/>
      <c r="I29" s="1395"/>
      <c r="J29" s="1395"/>
      <c r="K29" s="1395"/>
      <c r="L29" s="1395"/>
      <c r="M29" s="1395"/>
      <c r="N29" s="1395"/>
      <c r="O29" s="1395"/>
      <c r="P29" s="1395"/>
    </row>
    <row r="30" spans="1:19" ht="15">
      <c r="A30" s="2266"/>
      <c r="B30" s="50"/>
      <c r="C30" s="2271" t="s">
        <v>1964</v>
      </c>
      <c r="D30" s="1396">
        <f>SUM(D28:D29)</f>
        <v>556.20000000000005</v>
      </c>
      <c r="E30" s="1396">
        <f>SUM(E28:E29)</f>
        <v>1705.13</v>
      </c>
      <c r="F30" s="1396">
        <f>SUM(F28:F29)</f>
        <v>1705.13</v>
      </c>
      <c r="G30" s="1398">
        <f>SUM(G28:G29)</f>
        <v>0</v>
      </c>
      <c r="H30" s="1395"/>
      <c r="I30" s="1395"/>
      <c r="J30" s="1395"/>
      <c r="K30" s="1395"/>
      <c r="L30" s="1395"/>
      <c r="M30" s="1395"/>
      <c r="N30" s="1395"/>
      <c r="O30" s="1395"/>
      <c r="P30" s="1395"/>
    </row>
    <row r="31" spans="1:19" ht="15.75" thickBot="1">
      <c r="A31" s="2272"/>
      <c r="B31" s="2273"/>
      <c r="C31" s="1010" t="s">
        <v>1968</v>
      </c>
      <c r="D31" s="729">
        <f>D27+D30</f>
        <v>29092.100000000002</v>
      </c>
      <c r="E31" s="729">
        <f>E27+E30</f>
        <v>89187.31</v>
      </c>
      <c r="F31" s="730">
        <f>F27+F30</f>
        <v>51681.89</v>
      </c>
      <c r="G31" s="731">
        <f>G27+G30</f>
        <v>37505.42</v>
      </c>
      <c r="H31" s="1395"/>
      <c r="I31" s="1395"/>
      <c r="J31" s="1395"/>
      <c r="K31" s="1395"/>
      <c r="L31" s="1395"/>
      <c r="M31" s="1395"/>
      <c r="N31" s="1395"/>
      <c r="O31" s="1395"/>
      <c r="P31" s="1395"/>
    </row>
    <row r="32" spans="1:19">
      <c r="A32" s="2237"/>
      <c r="B32" s="2237" t="s">
        <v>1969</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Q23" sqref="Q23"/>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1970</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1971</v>
      </c>
      <c r="B2" s="1269">
        <f>项目基本情况!D3</f>
        <v>43175</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1972</v>
      </c>
      <c r="B4" s="2284"/>
      <c r="C4" s="2285"/>
      <c r="D4" s="2286"/>
      <c r="E4" s="2285" t="s">
        <v>1973</v>
      </c>
      <c r="F4" s="2285"/>
      <c r="G4" s="2285"/>
      <c r="H4" s="2285"/>
      <c r="I4" s="2285"/>
      <c r="J4" s="2287"/>
      <c r="K4" s="2288"/>
      <c r="L4" s="2289"/>
      <c r="M4" s="2285"/>
      <c r="N4" s="2285" t="s">
        <v>1974</v>
      </c>
      <c r="O4" s="2285"/>
      <c r="P4" s="2285"/>
      <c r="Q4" s="2285"/>
      <c r="R4" s="2285"/>
      <c r="S4" s="2287"/>
      <c r="T4" s="2290" t="str">
        <f>'数据-汇总表'!I17</f>
        <v>按面积比例</v>
      </c>
      <c r="U4" s="2284" t="s">
        <v>1975</v>
      </c>
      <c r="V4" s="2285"/>
      <c r="W4" s="2285"/>
      <c r="X4" s="2285"/>
      <c r="Y4" s="2287"/>
      <c r="Z4" s="2248" t="s">
        <v>1976</v>
      </c>
      <c r="AA4" s="2248"/>
      <c r="AB4" s="2248"/>
      <c r="AC4" s="2248"/>
      <c r="AD4" s="2248"/>
      <c r="AE4" s="2246" t="s">
        <v>1977</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1978</v>
      </c>
      <c r="B5" s="2293" t="s">
        <v>1979</v>
      </c>
      <c r="C5" s="2294" t="s">
        <v>1980</v>
      </c>
      <c r="D5" s="2295" t="s">
        <v>1981</v>
      </c>
      <c r="E5" s="1271" t="s">
        <v>1982</v>
      </c>
      <c r="F5" s="2296" t="s">
        <v>1983</v>
      </c>
      <c r="G5" s="1271" t="s">
        <v>1984</v>
      </c>
      <c r="H5" s="1271" t="s">
        <v>1985</v>
      </c>
      <c r="I5" s="1271" t="s">
        <v>1986</v>
      </c>
      <c r="J5" s="2297" t="s">
        <v>1987</v>
      </c>
      <c r="K5" s="2298" t="s">
        <v>1988</v>
      </c>
      <c r="L5" s="2299" t="s">
        <v>1989</v>
      </c>
      <c r="M5" s="2300" t="s">
        <v>1990</v>
      </c>
      <c r="N5" s="2301" t="s">
        <v>1991</v>
      </c>
      <c r="O5" s="2299" t="s">
        <v>1992</v>
      </c>
      <c r="P5" s="2302" t="s">
        <v>1993</v>
      </c>
      <c r="Q5" s="69" t="s">
        <v>1994</v>
      </c>
      <c r="R5" s="2303" t="s">
        <v>1995</v>
      </c>
      <c r="S5" s="2304" t="s">
        <v>1996</v>
      </c>
      <c r="T5" s="2305" t="s">
        <v>1997</v>
      </c>
      <c r="U5" s="1270" t="s">
        <v>1998</v>
      </c>
      <c r="V5" s="1271" t="s">
        <v>1999</v>
      </c>
      <c r="W5" s="1271" t="s">
        <v>2000</v>
      </c>
      <c r="X5" s="71"/>
      <c r="Y5" s="70" t="s">
        <v>2001</v>
      </c>
      <c r="Z5" s="2306" t="s">
        <v>1998</v>
      </c>
      <c r="AA5" s="1271" t="s">
        <v>1999</v>
      </c>
      <c r="AB5" s="1271" t="s">
        <v>2000</v>
      </c>
      <c r="AC5" s="71"/>
      <c r="AD5" s="71" t="s">
        <v>2001</v>
      </c>
      <c r="AE5" s="1270" t="s">
        <v>2002</v>
      </c>
      <c r="AF5" s="1271" t="s">
        <v>2003</v>
      </c>
      <c r="AG5" s="70" t="s">
        <v>2004</v>
      </c>
      <c r="AH5" s="1270" t="s">
        <v>2005</v>
      </c>
      <c r="AI5" s="2306" t="s">
        <v>2006</v>
      </c>
      <c r="AJ5" s="2306" t="s">
        <v>2007</v>
      </c>
      <c r="AK5" s="1271" t="s">
        <v>2008</v>
      </c>
      <c r="AL5" s="1271" t="s">
        <v>2009</v>
      </c>
      <c r="AM5" s="70" t="s">
        <v>2010</v>
      </c>
      <c r="AN5" s="2307" t="s">
        <v>2011</v>
      </c>
      <c r="AO5" s="2078" t="s">
        <v>2012</v>
      </c>
      <c r="AP5" s="1252" t="s">
        <v>2013</v>
      </c>
      <c r="AQ5" s="2308" t="s">
        <v>2014</v>
      </c>
      <c r="AR5" s="2308" t="s">
        <v>2015</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多层已建</v>
      </c>
      <c r="B6" s="2310" t="str">
        <f>IF(A6=0,"","经营性")</f>
        <v>经营性</v>
      </c>
      <c r="C6" s="2311" t="s">
        <v>3059</v>
      </c>
      <c r="D6" s="1054">
        <f>SUMIF(项目基本情况!D$12:I$12,C6,项目基本情况!D$14:I$14)</f>
        <v>70</v>
      </c>
      <c r="E6" s="1051">
        <f>IF(B6="","",SUMIF(项目基本情况!D$12:I$12,C6,项目基本情况!D$13:I$13))</f>
        <v>66031</v>
      </c>
      <c r="F6" s="72">
        <f>SUMIF(项目基本情况!D$12:I$12,C6,项目基本情况!D$15:I$15)</f>
        <v>62.61</v>
      </c>
      <c r="G6" s="73">
        <f>IF(ISERROR(ROUND(POWER(1+H6,D6-F6)*(POWER(1+H6,F6)-1)/(POWER(1+H6,D6)-1),3)),0,ROUND(POWER(1+H6,D6-F6)*(POWER(1+H6,F6)-1)/(POWER(1+H6,D6)-1),3))</f>
        <v>0.98199999999999998</v>
      </c>
      <c r="H6" s="802">
        <v>4.4999999999999998E-2</v>
      </c>
      <c r="I6" s="802">
        <v>0.05</v>
      </c>
      <c r="J6" s="74">
        <v>8.5000000000000006E-2</v>
      </c>
      <c r="K6" s="1254">
        <f>SUMIF('数据-汇总表'!C$19:C$33,A6,'数据-汇总表'!E$19:E$33)</f>
        <v>5406.9000000000005</v>
      </c>
      <c r="L6" s="803">
        <v>2400</v>
      </c>
      <c r="M6" s="75">
        <f t="shared" ref="M6:M14" si="0">ROUND(K6*L6/10000,0)</f>
        <v>1298</v>
      </c>
      <c r="N6" s="801">
        <v>0.6</v>
      </c>
      <c r="O6" s="75">
        <f>IF($N$5="成新度","——",ROUND(M6*N6,0))</f>
        <v>779</v>
      </c>
      <c r="P6" s="76">
        <f>IF($N$5="成新度","——",M6-O6)</f>
        <v>519</v>
      </c>
      <c r="Q6" s="804">
        <v>0.1</v>
      </c>
      <c r="R6" s="77">
        <f ca="1">SUMIF('数据-汇总表'!C$19:C$33,A6,'数据-汇总表'!R$19:R$27)</f>
        <v>1787.96</v>
      </c>
      <c r="S6" s="54">
        <f>IF('数据-汇总表'!$I$17="按面积比例",SUMIF('数据-汇总表'!C$19:C$33,A6,'数据-汇总表'!K$19:K$33),SUMIF('数据-汇总表'!C$19:C$33,A6,'数据-汇总表'!N$19:N$33))</f>
        <v>74.430000000000007</v>
      </c>
      <c r="T6" s="1446">
        <f>ROUND($L$14*S6/10000,0)</f>
        <v>15</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12"/>
      <c r="AO6" s="55" t="e">
        <f ca="1">SUMIF(INDIRECT("'"&amp;AN6&amp;"'"&amp;"!A:A"),"总价",INDIRECT("'"&amp;AN6&amp;"'"&amp;"!B:B"))</f>
        <v>#REF!</v>
      </c>
      <c r="AP6" s="2313">
        <f>IF(C6="住宅",K6*L6,0)</f>
        <v>12976560.000000002</v>
      </c>
      <c r="AQ6" s="55">
        <f>ROUND($L$14*$N$14*S6/10000,0)</f>
        <v>2</v>
      </c>
      <c r="AR6" s="55">
        <f>ROUND($L$14*(1-$N$14)*S6/10000,0)</f>
        <v>13</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高层已出地面</v>
      </c>
      <c r="B7" s="2310" t="str">
        <f t="shared" ref="B7:B13" si="1">IF(A7=0,"","经营性")</f>
        <v>经营性</v>
      </c>
      <c r="C7" s="2311" t="s">
        <v>3059</v>
      </c>
      <c r="D7" s="1054">
        <f>SUMIF(项目基本情况!D$12:I$12,C7,项目基本情况!D$14:I$14)</f>
        <v>70</v>
      </c>
      <c r="E7" s="1051">
        <f>IF(B7="","",SUMIF(项目基本情况!D$12:I$12,C7,项目基本情况!D$13:I$13))</f>
        <v>66031</v>
      </c>
      <c r="F7" s="72">
        <f>SUMIF(项目基本情况!D$12:I$12,C7,项目基本情况!D$15:I$15)</f>
        <v>62.61</v>
      </c>
      <c r="G7" s="73">
        <f t="shared" ref="G7:G11" si="2">IF(ISERROR(ROUND(POWER(1+H7,D7-F7)*(POWER(1+H7,F7)-1)/(POWER(1+H7,D7)-1),3)),0,ROUND(POWER(1+H7,D7-F7)*(POWER(1+H7,F7)-1)/(POWER(1+H7,D7)-1),3))</f>
        <v>0.98199999999999998</v>
      </c>
      <c r="H7" s="802">
        <v>4.4999999999999998E-2</v>
      </c>
      <c r="I7" s="802">
        <v>0.05</v>
      </c>
      <c r="J7" s="74">
        <v>8.5000000000000006E-2</v>
      </c>
      <c r="K7" s="1254">
        <f>SUMIF('数据-汇总表'!C$19:C$33,A7,'数据-汇总表'!E$19:E$33)</f>
        <v>44569.86</v>
      </c>
      <c r="L7" s="803">
        <v>2600</v>
      </c>
      <c r="M7" s="75">
        <f t="shared" si="0"/>
        <v>11588</v>
      </c>
      <c r="N7" s="801">
        <v>0.15</v>
      </c>
      <c r="O7" s="75">
        <f t="shared" ref="O7:O14" si="3">IF($N$5="成新度","——",ROUND(M7*N7,0))</f>
        <v>1738</v>
      </c>
      <c r="P7" s="76">
        <f t="shared" ref="P7:P14" si="4">IF($N$5="成新度","——",M7-O7)</f>
        <v>9850</v>
      </c>
      <c r="Q7" s="804">
        <v>0.1</v>
      </c>
      <c r="R7" s="77">
        <f ca="1">SUMIF('数据-汇总表'!C$19:C$33,A7,'数据-汇总表'!R$19:R$27)</f>
        <v>14738.410000000002</v>
      </c>
      <c r="S7" s="54">
        <f>IF('数据-汇总表'!$I$17="按面积比例",SUMIF('数据-汇总表'!C$19:C$33,A7,'数据-汇总表'!K$19:K$33),SUMIF('数据-汇总表'!C$19:C$33,A7,'数据-汇总表'!N$19:N$33))</f>
        <v>613.52</v>
      </c>
      <c r="T7" s="1446">
        <f t="shared" ref="T7:T13" si="5">ROUND($L$14*S7/10000,0)</f>
        <v>123</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115881636</v>
      </c>
      <c r="AQ7" s="55">
        <f t="shared" ref="AQ7:AQ13" si="10">ROUND($L$14*$N$14*S7/10000,0)</f>
        <v>16</v>
      </c>
      <c r="AR7" s="55">
        <f t="shared" ref="AR7:AR13" si="11">ROUND($L$14*(1-$N$14)*S7/10000,0)</f>
        <v>107</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地下车库</v>
      </c>
      <c r="B8" s="2310" t="str">
        <f t="shared" si="1"/>
        <v>经营性</v>
      </c>
      <c r="C8" s="2311" t="s">
        <v>3067</v>
      </c>
      <c r="D8" s="1054">
        <f>SUMIF(项目基本情况!D$12:I$12,C8,项目基本情况!D$14:I$14)</f>
        <v>50</v>
      </c>
      <c r="E8" s="1051">
        <f>IF(B8="","",SUMIF(项目基本情况!D$12:I$12,C8,项目基本情况!D$13:I$13))</f>
        <v>58726</v>
      </c>
      <c r="F8" s="72">
        <f>SUMIF(项目基本情况!D$12:I$12,C8,项目基本情况!D$15:I$15)</f>
        <v>42.6</v>
      </c>
      <c r="G8" s="73">
        <f t="shared" si="2"/>
        <v>0.94499999999999995</v>
      </c>
      <c r="H8" s="802">
        <v>0.04</v>
      </c>
      <c r="I8" s="802">
        <v>4.4999999999999998E-2</v>
      </c>
      <c r="J8" s="74">
        <v>8.5000000000000006E-2</v>
      </c>
      <c r="K8" s="1254">
        <f>SUMIF('数据-汇总表'!C$19:C$33,A8,'数据-汇总表'!E$19:E$33)</f>
        <v>37505.42</v>
      </c>
      <c r="L8" s="803">
        <v>2000</v>
      </c>
      <c r="M8" s="75">
        <f>ROUND(K8*L8/10000,0)</f>
        <v>7501</v>
      </c>
      <c r="N8" s="801">
        <v>0.6</v>
      </c>
      <c r="O8" s="75">
        <f t="shared" si="3"/>
        <v>4501</v>
      </c>
      <c r="P8" s="76">
        <f t="shared" si="4"/>
        <v>3000</v>
      </c>
      <c r="Q8" s="804">
        <v>0.05</v>
      </c>
      <c r="R8" s="77">
        <f ca="1">SUMIF('数据-汇总表'!C$19:C$33,A8,'数据-汇总表'!R$19:R$27)</f>
        <v>12402.33</v>
      </c>
      <c r="S8" s="54">
        <f>IF('数据-汇总表'!$I$17="按面积比例",SUMIF('数据-汇总表'!C$19:C$33,A8,'数据-汇总表'!K$19:K$33),SUMIF('数据-汇总表'!C$19:C$33,A8,'数据-汇总表'!N$19:N$33))</f>
        <v>516.27</v>
      </c>
      <c r="T8" s="1446">
        <f t="shared" si="5"/>
        <v>103</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13</v>
      </c>
      <c r="AR8" s="55">
        <f t="shared" si="11"/>
        <v>90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2016</v>
      </c>
      <c r="B14" s="2310" t="s">
        <v>2017</v>
      </c>
      <c r="C14" s="2315" t="s">
        <v>2016</v>
      </c>
      <c r="D14" s="1054"/>
      <c r="E14" s="1051"/>
      <c r="F14" s="72"/>
      <c r="G14" s="73"/>
      <c r="H14" s="1253"/>
      <c r="I14" s="1253"/>
      <c r="J14" s="1253"/>
      <c r="K14" s="1254">
        <f>SUMIF('数据-汇总表'!C$19:C$33,A14,'数据-汇总表'!E$19:E$33)</f>
        <v>1204.22</v>
      </c>
      <c r="L14" s="91">
        <v>2000</v>
      </c>
      <c r="M14" s="75">
        <f t="shared" si="0"/>
        <v>241</v>
      </c>
      <c r="N14" s="92">
        <v>0.13</v>
      </c>
      <c r="O14" s="75">
        <f t="shared" si="3"/>
        <v>31</v>
      </c>
      <c r="P14" s="76">
        <f t="shared" si="4"/>
        <v>210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2018</v>
      </c>
      <c r="B15" s="2310" t="s">
        <v>2017</v>
      </c>
      <c r="C15" s="2315" t="s">
        <v>2019</v>
      </c>
      <c r="D15" s="1054"/>
      <c r="E15" s="1051"/>
      <c r="F15" s="72"/>
      <c r="G15" s="73"/>
      <c r="H15" s="1253"/>
      <c r="I15" s="1253"/>
      <c r="J15" s="1253"/>
      <c r="K15" s="1254">
        <f>SUMIF('数据-汇总表'!C$19:C$33,A15,'数据-汇总表'!E$19:E$33)</f>
        <v>500.91</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2020</v>
      </c>
      <c r="B16" s="97"/>
      <c r="C16" s="1008"/>
      <c r="D16" s="2317"/>
      <c r="E16" s="97"/>
      <c r="F16" s="97"/>
      <c r="G16" s="98">
        <f>ROUND(SUMPRODUCT(G6:G13,K6:K13)/SUMPRODUCT((G6:G13&gt;0)*(K6:K13)),3)</f>
        <v>0.96599999999999997</v>
      </c>
      <c r="H16" s="99">
        <f>ROUND(SUMPRODUCT(H6:H13,K6:K13)/SUMPRODUCT((H6:H13&gt;0)*(K6:K13)),3)</f>
        <v>4.2999999999999997E-2</v>
      </c>
      <c r="I16" s="100"/>
      <c r="J16" s="100"/>
      <c r="K16" s="101">
        <f>SUM(K6:K15)</f>
        <v>89187.31</v>
      </c>
      <c r="L16" s="102">
        <f>ROUND(M16*10000/SUM(K6:K14),0)</f>
        <v>2326</v>
      </c>
      <c r="M16" s="102">
        <f>SUM(M6:M14)</f>
        <v>20628</v>
      </c>
      <c r="N16" s="103">
        <f>ROUND(SUMPRODUCT(M6:M14,N6:N14)/M16,3)</f>
        <v>0.34200000000000003</v>
      </c>
      <c r="O16" s="102">
        <f>SUM(O6:O14)</f>
        <v>7049</v>
      </c>
      <c r="P16" s="102">
        <f>SUM(P6:P14)</f>
        <v>13579</v>
      </c>
      <c r="Q16" s="104">
        <f>ROUND(SUMPRODUCT(Q6:Q13,K6:K13)/SUMPRODUCT((Q6:Q13&gt;0)*(K6:K13)),2)</f>
        <v>0.08</v>
      </c>
      <c r="R16" s="1258">
        <f ca="1">SUM(R6:R13)</f>
        <v>28928.700000000004</v>
      </c>
      <c r="S16" s="105">
        <f>SUM(S6:S13)</f>
        <v>1204.22</v>
      </c>
      <c r="T16" s="106">
        <f>IF(SUMIF(T6:T13,"&lt;9E307")=M14,SUMIF(T6:T13,"&lt;9E307"),"有误，请检查")</f>
        <v>241</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2021</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2022</v>
      </c>
      <c r="B19" s="112">
        <v>0</v>
      </c>
      <c r="C19" s="2280" t="s">
        <v>2023</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2024</v>
      </c>
      <c r="B20" s="113">
        <v>2</v>
      </c>
      <c r="C20" s="2280" t="s">
        <v>2025</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2026</v>
      </c>
      <c r="B21" s="113">
        <f>B20*N16</f>
        <v>0.68400000000000005</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2027</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2028</v>
      </c>
      <c r="B23" s="114">
        <f>B19+B21</f>
        <v>0.68400000000000005</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2029</v>
      </c>
      <c r="B24" s="115">
        <f>B20-B21</f>
        <v>1.3159999999999998</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2030</v>
      </c>
      <c r="B26" s="2323" t="s">
        <v>2031</v>
      </c>
      <c r="C26" s="2324" t="s">
        <v>2032</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2033</v>
      </c>
      <c r="B27" s="116">
        <v>200</v>
      </c>
      <c r="C27" s="1767" t="s">
        <v>2034</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2035</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2036</v>
      </c>
      <c r="B29" s="121">
        <v>0</v>
      </c>
      <c r="C29" s="1767" t="s">
        <v>2037</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2038</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2039</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2040</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2041</v>
      </c>
      <c r="B33" s="726">
        <v>0.03</v>
      </c>
      <c r="C33" s="1766" t="s">
        <v>2042</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2043</v>
      </c>
      <c r="B34" s="122">
        <v>0.03</v>
      </c>
      <c r="C34" s="1766" t="s">
        <v>2044</v>
      </c>
      <c r="D34" s="2281" t="s">
        <v>2045</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2046</v>
      </c>
      <c r="B35" s="119">
        <v>200</v>
      </c>
      <c r="C35" s="1766" t="s">
        <v>2047</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2048</v>
      </c>
      <c r="B36" s="123">
        <v>1.4999999999999999E-2</v>
      </c>
      <c r="C36" s="1766" t="s">
        <v>2049</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2050</v>
      </c>
      <c r="B37" s="124">
        <v>0.02</v>
      </c>
      <c r="C37" s="1766" t="s">
        <v>2051</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2052</v>
      </c>
      <c r="B38" s="122">
        <v>0.02</v>
      </c>
      <c r="C38" s="1766" t="s">
        <v>2051</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2053</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2054</v>
      </c>
      <c r="B40" s="1303">
        <f ca="1">存贷款利率!G1</f>
        <v>4.7500000000000001E-2</v>
      </c>
      <c r="C40" s="1766" t="s">
        <v>2055</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2056</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2057</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2058</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2059</v>
      </c>
      <c r="B44" s="128">
        <v>7.0000000000000007E-2</v>
      </c>
      <c r="C44" s="1766" t="s">
        <v>2060</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2061</v>
      </c>
      <c r="B45" s="126">
        <v>0.03</v>
      </c>
      <c r="C45" s="1767" t="s">
        <v>2062</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2063</v>
      </c>
      <c r="B46" s="126">
        <v>0.02</v>
      </c>
      <c r="C46" s="1767" t="s">
        <v>2064</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2065</v>
      </c>
      <c r="B47" s="129"/>
      <c r="C47" s="1767" t="s">
        <v>2066</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2067</v>
      </c>
      <c r="B48" s="130">
        <v>0.03</v>
      </c>
      <c r="C48" s="1774" t="s">
        <v>2068</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2069</v>
      </c>
      <c r="B49" s="126">
        <v>5.0000000000000001E-4</v>
      </c>
      <c r="C49" s="1774" t="s">
        <v>2070</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2071</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2072</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2073</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2074</v>
      </c>
      <c r="B53" s="2339"/>
      <c r="C53" s="1430" t="s">
        <v>2075</v>
      </c>
      <c r="D53" s="2340" t="s">
        <v>2076</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2077</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2078</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2079</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2080</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2081</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2082</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2083</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2084</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2085</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2086</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45" t="s">
        <v>2087</v>
      </c>
      <c r="B1" s="3046"/>
      <c r="C1" s="3046"/>
      <c r="D1" s="3046"/>
      <c r="E1" s="3046"/>
      <c r="F1" s="3046"/>
      <c r="G1" s="3046"/>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2088</v>
      </c>
      <c r="D2" s="2369"/>
      <c r="E2" s="2370"/>
      <c r="F2" s="2289"/>
      <c r="G2" s="2368" t="s">
        <v>2089</v>
      </c>
      <c r="H2" s="2371"/>
      <c r="I2" s="2371"/>
      <c r="J2" s="2371"/>
      <c r="K2" s="2371"/>
      <c r="L2" s="2371"/>
      <c r="M2" s="2371"/>
      <c r="N2" s="2371"/>
      <c r="O2" s="2371"/>
      <c r="P2" s="2371"/>
      <c r="Q2" s="2371"/>
      <c r="R2" s="2371"/>
    </row>
    <row r="3" spans="1:29" ht="54">
      <c r="A3" s="415" t="s">
        <v>2090</v>
      </c>
      <c r="B3" s="1271" t="s">
        <v>2091</v>
      </c>
      <c r="C3" s="2373" t="s">
        <v>2092</v>
      </c>
      <c r="D3" s="2374"/>
      <c r="E3" s="431" t="s">
        <v>2090</v>
      </c>
      <c r="F3" s="2375" t="s">
        <v>2093</v>
      </c>
      <c r="G3" s="2376" t="s">
        <v>2094</v>
      </c>
      <c r="H3" s="2371"/>
      <c r="I3" s="2371"/>
      <c r="J3" s="2371"/>
      <c r="K3" s="2371"/>
      <c r="L3" s="2371"/>
      <c r="M3" s="2371"/>
      <c r="N3" s="2371"/>
      <c r="O3" s="2371"/>
      <c r="P3" s="2371"/>
      <c r="Q3" s="2371"/>
      <c r="R3" s="2371"/>
    </row>
    <row r="4" spans="1:29" ht="41.25">
      <c r="A4" s="431"/>
      <c r="B4" s="1798" t="s">
        <v>2095</v>
      </c>
      <c r="C4" s="2377" t="s">
        <v>2096</v>
      </c>
      <c r="D4" s="2374"/>
      <c r="E4" s="2378"/>
      <c r="F4" s="42" t="s">
        <v>2097</v>
      </c>
      <c r="G4" s="2379" t="s">
        <v>2098</v>
      </c>
      <c r="H4" s="2371"/>
      <c r="I4" s="2371"/>
      <c r="J4" s="2371"/>
      <c r="K4" s="2371"/>
      <c r="L4" s="2371"/>
      <c r="M4" s="2371"/>
      <c r="N4" s="2371"/>
      <c r="O4" s="2371"/>
      <c r="P4" s="2371"/>
      <c r="Q4" s="2371"/>
      <c r="R4" s="2371"/>
    </row>
    <row r="5" spans="1:29" ht="41.25">
      <c r="A5" s="431"/>
      <c r="B5" s="1798" t="s">
        <v>2099</v>
      </c>
      <c r="C5" s="2377" t="s">
        <v>2100</v>
      </c>
      <c r="D5" s="2374"/>
      <c r="E5" s="2378"/>
      <c r="F5" s="1798" t="s">
        <v>2101</v>
      </c>
      <c r="G5" s="2379" t="s">
        <v>2102</v>
      </c>
      <c r="H5" s="2371"/>
      <c r="I5" s="2371"/>
      <c r="J5" s="2371"/>
      <c r="K5" s="2371"/>
      <c r="L5" s="2371"/>
      <c r="M5" s="2371"/>
      <c r="N5" s="2371"/>
      <c r="O5" s="2371"/>
      <c r="P5" s="2371"/>
      <c r="Q5" s="2371"/>
      <c r="R5" s="2371"/>
    </row>
    <row r="6" spans="1:29" ht="54">
      <c r="A6" s="431"/>
      <c r="B6" s="1798" t="s">
        <v>2103</v>
      </c>
      <c r="C6" s="2379" t="s">
        <v>2098</v>
      </c>
      <c r="D6" s="2374"/>
      <c r="E6" s="2378"/>
      <c r="F6" s="1798" t="s">
        <v>2104</v>
      </c>
      <c r="G6" s="2379" t="s">
        <v>2105</v>
      </c>
      <c r="H6" s="2371"/>
      <c r="I6" s="2371"/>
      <c r="J6" s="2371"/>
      <c r="K6" s="2371"/>
      <c r="L6" s="2371"/>
      <c r="M6" s="2371"/>
      <c r="N6" s="2371"/>
      <c r="O6" s="2371"/>
      <c r="P6" s="2371"/>
      <c r="Q6" s="2371"/>
      <c r="R6" s="2371"/>
    </row>
    <row r="7" spans="1:29" ht="41.25" thickBot="1">
      <c r="A7" s="431"/>
      <c r="B7" s="1798" t="s">
        <v>2101</v>
      </c>
      <c r="C7" s="2379" t="s">
        <v>2102</v>
      </c>
      <c r="D7" s="2380"/>
      <c r="E7" s="2381"/>
      <c r="F7" s="2382" t="s">
        <v>2106</v>
      </c>
      <c r="G7" s="2383" t="s">
        <v>2107</v>
      </c>
      <c r="H7" s="2371"/>
      <c r="I7" s="2371"/>
      <c r="J7" s="2371"/>
      <c r="K7" s="2371"/>
      <c r="L7" s="2371"/>
      <c r="M7" s="2371"/>
      <c r="N7" s="2371"/>
      <c r="O7" s="2371"/>
      <c r="P7" s="2371"/>
      <c r="Q7" s="2371"/>
      <c r="R7" s="2371"/>
    </row>
    <row r="8" spans="1:29" ht="27">
      <c r="A8" s="431"/>
      <c r="B8" s="1798" t="s">
        <v>2104</v>
      </c>
      <c r="C8" s="2379" t="s">
        <v>2105</v>
      </c>
      <c r="D8" s="2380"/>
      <c r="E8" s="2380"/>
      <c r="F8" s="1136"/>
      <c r="G8" s="1136"/>
      <c r="H8" s="2371"/>
      <c r="I8" s="2371"/>
      <c r="J8" s="2371"/>
      <c r="K8" s="2371"/>
      <c r="L8" s="2371"/>
      <c r="M8" s="2371"/>
      <c r="N8" s="2371"/>
      <c r="O8" s="2371"/>
      <c r="P8" s="2371"/>
      <c r="Q8" s="2371"/>
      <c r="R8" s="2371"/>
    </row>
    <row r="9" spans="1:29" ht="27">
      <c r="A9" s="431"/>
      <c r="B9" s="1798" t="s">
        <v>2108</v>
      </c>
      <c r="C9" s="2377" t="s">
        <v>2109</v>
      </c>
      <c r="D9" s="2374"/>
      <c r="E9" s="2380"/>
      <c r="F9" s="1136"/>
      <c r="G9" s="1136"/>
      <c r="H9" s="2371"/>
      <c r="I9" s="2371"/>
      <c r="J9" s="2371"/>
      <c r="K9" s="2371"/>
      <c r="L9" s="2371"/>
      <c r="M9" s="2371"/>
      <c r="N9" s="2371"/>
      <c r="O9" s="2371"/>
      <c r="P9" s="2371"/>
      <c r="Q9" s="2371"/>
      <c r="R9" s="2371"/>
    </row>
    <row r="10" spans="1:29" s="117" customFormat="1" ht="15.75" thickBot="1">
      <c r="A10" s="2384"/>
      <c r="B10" s="2385" t="s">
        <v>2110</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2111</v>
      </c>
      <c r="B13" s="2391"/>
      <c r="C13" s="2391"/>
      <c r="D13" s="2398"/>
      <c r="E13" s="2391"/>
      <c r="F13" s="2391"/>
      <c r="G13" s="2391"/>
    </row>
    <row r="14" spans="1:29" ht="15.75" thickBot="1">
      <c r="A14" s="2402"/>
      <c r="B14" s="2403"/>
      <c r="C14" s="2404" t="s">
        <v>2112</v>
      </c>
      <c r="D14" s="2374"/>
      <c r="E14" s="2405"/>
      <c r="F14" s="2405"/>
      <c r="G14" s="2368" t="s">
        <v>2113</v>
      </c>
    </row>
    <row r="15" spans="1:29" ht="57">
      <c r="A15" s="68" t="s">
        <v>2114</v>
      </c>
      <c r="B15" s="1270" t="s">
        <v>2091</v>
      </c>
      <c r="C15" s="2406" t="str">
        <f>C3</f>
        <v>估价对象周边居住用地比例、居住小区规模和社区发展完善程度，综合评价居住社区成熟度一般</v>
      </c>
      <c r="D15" s="2374"/>
      <c r="E15" s="2407" t="s">
        <v>2115</v>
      </c>
      <c r="F15" s="1270" t="s">
        <v>2116</v>
      </c>
      <c r="G15" s="135" t="str">
        <f>G3</f>
        <v>估价对象位于XX开发区，园区建设成熟度XX，产业集聚程度XX</v>
      </c>
    </row>
    <row r="16" spans="1:29" ht="42.75">
      <c r="A16" s="645"/>
      <c r="B16" s="2408" t="s">
        <v>2095</v>
      </c>
      <c r="C16" s="2409" t="str">
        <f>C4</f>
        <v>估价对象位于XX商圈，周边商业氛围成熟，人流量大，商业繁华度好</v>
      </c>
      <c r="D16" s="2374"/>
      <c r="E16" s="2410"/>
      <c r="F16" s="2411" t="s">
        <v>2097</v>
      </c>
      <c r="G16" s="136" t="str">
        <f>G4</f>
        <v>估价对象周边道路状况、公共交通通达情况、停车便捷程度，综合评价交通便捷度较好</v>
      </c>
    </row>
    <row r="17" spans="1:18" ht="42.75">
      <c r="A17" s="645"/>
      <c r="B17" s="2408" t="s">
        <v>2099</v>
      </c>
      <c r="C17" s="2409" t="str">
        <f>C5</f>
        <v>估价对象位于XX商圈，周边办公楼项目较多，入驻率高，办公集聚程度较好</v>
      </c>
      <c r="D17" s="2380"/>
      <c r="E17" s="2410"/>
      <c r="F17" s="2411" t="s">
        <v>2117</v>
      </c>
      <c r="G17" s="1572"/>
    </row>
    <row r="18" spans="1:18" ht="57">
      <c r="A18" s="645"/>
      <c r="B18" s="2411" t="s">
        <v>2103</v>
      </c>
      <c r="C18" s="136" t="str">
        <f>C6</f>
        <v>估价对象周边道路状况、公共交通通达情况、停车便捷程度，综合评价交通便捷度较好</v>
      </c>
      <c r="D18" s="2380"/>
      <c r="E18" s="2410"/>
      <c r="F18" s="2411" t="s">
        <v>2106</v>
      </c>
      <c r="G18" s="136" t="str">
        <f>G7</f>
        <v>该园区内是否有污染型企业，绿化情况，卫生条件，整体环境状况判断</v>
      </c>
    </row>
    <row r="19" spans="1:18" ht="28.5">
      <c r="A19" s="645"/>
      <c r="B19" s="2411" t="s">
        <v>2118</v>
      </c>
      <c r="C19" s="1572"/>
      <c r="D19" s="2374"/>
      <c r="E19" s="2410"/>
      <c r="F19" s="1798" t="s">
        <v>2101</v>
      </c>
      <c r="G19" s="136" t="str">
        <f>G5</f>
        <v>估价对象所在区域公共配套设施齐备情况</v>
      </c>
    </row>
    <row r="20" spans="1:18" ht="28.5">
      <c r="A20" s="645"/>
      <c r="B20" s="2411" t="s">
        <v>2119</v>
      </c>
      <c r="C20" s="2409" t="str">
        <f>C9</f>
        <v>区域自然环境：；人文环境；综合评价环境状况一般</v>
      </c>
      <c r="D20" s="2380"/>
      <c r="E20" s="2410"/>
      <c r="F20" s="1798" t="s">
        <v>2120</v>
      </c>
      <c r="G20" s="136" t="str">
        <f>G6</f>
        <v>估价对象所在区域基础设施水平</v>
      </c>
    </row>
    <row r="21" spans="1:18" ht="28.5">
      <c r="A21" s="645"/>
      <c r="B21" s="1798" t="s">
        <v>2101</v>
      </c>
      <c r="C21" s="136" t="str">
        <f>C7</f>
        <v>估价对象所在区域公共配套设施齐备情况</v>
      </c>
      <c r="D21" s="2374"/>
      <c r="E21" s="2410"/>
      <c r="F21" s="2411" t="s">
        <v>2121</v>
      </c>
      <c r="G21" s="2412"/>
    </row>
    <row r="22" spans="1:18" ht="13.5" customHeight="1">
      <c r="A22" s="645"/>
      <c r="B22" s="1798" t="s">
        <v>2104</v>
      </c>
      <c r="C22" s="136" t="str">
        <f>C8</f>
        <v>估价对象所在区域基础设施水平</v>
      </c>
      <c r="D22" s="2374"/>
      <c r="E22" s="2410"/>
      <c r="F22" s="2411" t="s">
        <v>2110</v>
      </c>
      <c r="G22" s="1572"/>
    </row>
    <row r="23" spans="1:18" s="2371" customFormat="1" ht="15.75" thickBot="1">
      <c r="A23" s="645"/>
      <c r="B23" s="2411" t="s">
        <v>2121</v>
      </c>
      <c r="C23" s="2412"/>
      <c r="D23" s="2399"/>
      <c r="E23" s="2413"/>
      <c r="F23" s="2414" t="s">
        <v>2122</v>
      </c>
      <c r="G23" s="2415"/>
      <c r="H23" s="2399"/>
      <c r="I23" s="2400"/>
      <c r="J23" s="2399"/>
      <c r="K23" s="2399"/>
      <c r="L23" s="2400"/>
      <c r="M23" s="2399"/>
      <c r="N23" s="2399"/>
      <c r="O23" s="2400"/>
      <c r="P23" s="2399"/>
      <c r="Q23" s="2399"/>
      <c r="R23" s="2401"/>
    </row>
    <row r="24" spans="1:18" s="2371" customFormat="1" ht="15.75" thickBot="1">
      <c r="A24" s="2416"/>
      <c r="B24" s="2414" t="s">
        <v>2123</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89187.31</v>
      </c>
      <c r="C1" s="1745"/>
      <c r="D1" s="1745"/>
      <c r="E1" s="1745"/>
      <c r="F1" s="1745"/>
      <c r="G1" s="1743"/>
    </row>
    <row r="2" spans="1:10" ht="16.5">
      <c r="A2" s="1746" t="s">
        <v>1353</v>
      </c>
      <c r="B2" s="1746">
        <f>SUM(C14:C23)</f>
        <v>29092.1</v>
      </c>
      <c r="C2" s="1745"/>
      <c r="D2" s="1745"/>
      <c r="E2" s="1745"/>
      <c r="F2" s="1745"/>
      <c r="G2" s="1743"/>
    </row>
    <row r="3" spans="1:10" ht="16.5">
      <c r="A3" s="1746" t="s">
        <v>1362</v>
      </c>
      <c r="B3" s="1747">
        <f>项目基本情况!D3</f>
        <v>43175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65901</v>
      </c>
      <c r="C5" s="1746">
        <f ca="1">ROUND(B5*10000/$B$1,0)</f>
        <v>7389</v>
      </c>
      <c r="D5" s="1746">
        <f ca="1">ROUND(B5*10000/$B$2,0)</f>
        <v>22653</v>
      </c>
      <c r="E5" s="1745"/>
      <c r="F5" s="1743"/>
      <c r="G5" s="1743"/>
    </row>
    <row r="6" spans="1:10" ht="16.5">
      <c r="A6" s="1746" t="s">
        <v>1356</v>
      </c>
      <c r="B6" s="1746">
        <f ca="1">SUM(G14:G23)</f>
        <v>65901</v>
      </c>
      <c r="C6" s="1746">
        <f ca="1">ROUND(B6*10000/$B$1,0)</f>
        <v>7389</v>
      </c>
      <c r="D6" s="1746">
        <f ca="1">ROUND(B6*10000/$B$2,0)</f>
        <v>22653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89187.31</v>
      </c>
      <c r="C14" s="1744">
        <f>结果表!C118</f>
        <v>29092.1</v>
      </c>
      <c r="D14" s="1744">
        <f ca="1">结果表!H118</f>
        <v>65901</v>
      </c>
      <c r="E14" s="1744">
        <f ca="1">ROUND(D14*10000/B14,0)</f>
        <v>7389</v>
      </c>
      <c r="F14" s="1744">
        <f ca="1">ROUND(D14*10000/C14,0)</f>
        <v>22653</v>
      </c>
      <c r="G14" s="1744">
        <f ca="1">结果表!D122</f>
        <v>65901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3" zoomScaleNormal="100" zoomScaleSheetLayoutView="100" zoomScalePageLayoutView="80" workbookViewId="0">
      <selection activeCell="F32" sqref="F32"/>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2124</v>
      </c>
      <c r="B1" s="2422"/>
      <c r="C1" s="2423"/>
      <c r="D1" s="2422"/>
      <c r="E1" s="2422"/>
      <c r="F1" s="2424" t="s">
        <v>2125</v>
      </c>
      <c r="G1" s="2074" t="s">
        <v>2126</v>
      </c>
      <c r="H1" s="2425" t="str">
        <f>IF(G1="现房","——","估价对象范围")</f>
        <v>估价对象范围</v>
      </c>
      <c r="I1" s="2426"/>
    </row>
    <row r="2" spans="1:12" ht="21.75" customHeight="1" thickBot="1">
      <c r="A2" s="3119" t="str">
        <f>项目基本情况!S2</f>
        <v>出让国有建设用地使用权及在建建筑物房地产</v>
      </c>
      <c r="B2" s="3120"/>
      <c r="C2" s="3120"/>
      <c r="D2" s="3120"/>
      <c r="E2" s="3120"/>
      <c r="F2" s="3120"/>
      <c r="G2" s="3120"/>
      <c r="H2" s="3120"/>
      <c r="I2" s="3121"/>
    </row>
    <row r="3" spans="1:12" ht="12.75">
      <c r="A3" s="3123" t="s">
        <v>2127</v>
      </c>
      <c r="B3" s="3124"/>
      <c r="C3" s="3124"/>
      <c r="D3" s="3124"/>
      <c r="E3" s="3124"/>
      <c r="F3" s="3124"/>
      <c r="G3" s="3124"/>
      <c r="H3" s="3124"/>
      <c r="I3" s="3124"/>
    </row>
    <row r="4" spans="1:12" ht="14.25">
      <c r="A4" s="2429" t="s">
        <v>2128</v>
      </c>
      <c r="B4" s="2430" t="s">
        <v>2129</v>
      </c>
      <c r="C4" s="2431" t="s">
        <v>3078</v>
      </c>
      <c r="D4" s="2431" t="s">
        <v>3079</v>
      </c>
      <c r="E4" s="3103" t="s">
        <v>2130</v>
      </c>
      <c r="F4" s="3116"/>
      <c r="G4" s="3116"/>
      <c r="H4" s="3116"/>
      <c r="I4" s="3104"/>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094" t="s">
        <v>2131</v>
      </c>
      <c r="B5" s="3020">
        <v>25</v>
      </c>
      <c r="C5" s="3125"/>
      <c r="D5" s="3122"/>
      <c r="E5" s="140" t="s">
        <v>2132</v>
      </c>
      <c r="F5" s="2433"/>
      <c r="G5" s="2433"/>
      <c r="H5" s="2433"/>
      <c r="I5" s="1834"/>
    </row>
    <row r="6" spans="1:12" ht="12.75">
      <c r="A6" s="3094"/>
      <c r="B6" s="3020"/>
      <c r="C6" s="3127"/>
      <c r="D6" s="3122"/>
      <c r="E6" s="140" t="s">
        <v>2133</v>
      </c>
      <c r="F6" s="2433"/>
      <c r="G6" s="2433"/>
      <c r="H6" s="2433"/>
      <c r="I6" s="1834"/>
    </row>
    <row r="7" spans="1:12" ht="12.75">
      <c r="A7" s="3094"/>
      <c r="B7" s="3020"/>
      <c r="C7" s="3126"/>
      <c r="D7" s="3122"/>
      <c r="E7" s="140" t="s">
        <v>2134</v>
      </c>
      <c r="F7" s="2433"/>
      <c r="G7" s="2433"/>
      <c r="H7" s="2433"/>
      <c r="I7" s="1834"/>
    </row>
    <row r="8" spans="1:12" ht="12.75">
      <c r="A8" s="3094" t="s">
        <v>2135</v>
      </c>
      <c r="B8" s="3020">
        <v>15</v>
      </c>
      <c r="C8" s="3125"/>
      <c r="D8" s="3122"/>
      <c r="E8" s="140" t="s">
        <v>2136</v>
      </c>
      <c r="F8" s="2433"/>
      <c r="G8" s="2433"/>
      <c r="H8" s="2433"/>
      <c r="I8" s="1834"/>
    </row>
    <row r="9" spans="1:12" ht="12.75">
      <c r="A9" s="3094"/>
      <c r="B9" s="3020"/>
      <c r="C9" s="3126"/>
      <c r="D9" s="3122"/>
      <c r="E9" s="140" t="s">
        <v>2137</v>
      </c>
      <c r="F9" s="2433"/>
      <c r="G9" s="2433"/>
      <c r="H9" s="2433"/>
      <c r="I9" s="1834"/>
    </row>
    <row r="10" spans="1:12" ht="12.75">
      <c r="A10" s="3094" t="s">
        <v>2138</v>
      </c>
      <c r="B10" s="3020">
        <v>15</v>
      </c>
      <c r="C10" s="3125"/>
      <c r="D10" s="3122"/>
      <c r="E10" s="140" t="s">
        <v>2139</v>
      </c>
      <c r="F10" s="2433"/>
      <c r="G10" s="2433"/>
      <c r="H10" s="2433"/>
      <c r="I10" s="1834"/>
    </row>
    <row r="11" spans="1:12" ht="12.75">
      <c r="A11" s="3094"/>
      <c r="B11" s="3020"/>
      <c r="C11" s="3126"/>
      <c r="D11" s="3122"/>
      <c r="E11" s="140" t="s">
        <v>2140</v>
      </c>
      <c r="F11" s="2433"/>
      <c r="G11" s="2433"/>
      <c r="H11" s="2433"/>
      <c r="I11" s="1834"/>
    </row>
    <row r="12" spans="1:12" ht="12.75">
      <c r="A12" s="3094" t="s">
        <v>2141</v>
      </c>
      <c r="B12" s="3020">
        <v>15</v>
      </c>
      <c r="C12" s="3125"/>
      <c r="D12" s="3122"/>
      <c r="E12" s="140" t="s">
        <v>2142</v>
      </c>
      <c r="F12" s="2433"/>
      <c r="G12" s="2433"/>
      <c r="H12" s="2433"/>
      <c r="I12" s="1834"/>
    </row>
    <row r="13" spans="1:12" ht="12.75">
      <c r="A13" s="3094"/>
      <c r="B13" s="3020"/>
      <c r="C13" s="3126"/>
      <c r="D13" s="3122"/>
      <c r="E13" s="140" t="s">
        <v>2143</v>
      </c>
      <c r="F13" s="2433"/>
      <c r="G13" s="2433"/>
      <c r="H13" s="2433"/>
      <c r="I13" s="1834"/>
    </row>
    <row r="14" spans="1:12" ht="12.75">
      <c r="A14" s="3094" t="s">
        <v>2144</v>
      </c>
      <c r="B14" s="3020">
        <v>30</v>
      </c>
      <c r="C14" s="3138">
        <v>60</v>
      </c>
      <c r="D14" s="3112">
        <v>40</v>
      </c>
      <c r="E14" s="140" t="s">
        <v>2145</v>
      </c>
      <c r="F14" s="2433"/>
      <c r="G14" s="2433"/>
      <c r="H14" s="2433"/>
      <c r="I14" s="1834"/>
    </row>
    <row r="15" spans="1:12" ht="12.75">
      <c r="A15" s="3094"/>
      <c r="B15" s="3020"/>
      <c r="C15" s="3139"/>
      <c r="D15" s="3112"/>
      <c r="E15" s="140" t="s">
        <v>2146</v>
      </c>
      <c r="F15" s="2433"/>
      <c r="G15" s="2433"/>
      <c r="H15" s="2433"/>
      <c r="I15" s="1834"/>
    </row>
    <row r="16" spans="1:12" ht="12.75">
      <c r="A16" s="3094"/>
      <c r="B16" s="3020"/>
      <c r="C16" s="3140"/>
      <c r="D16" s="3112"/>
      <c r="E16" s="140" t="s">
        <v>2147</v>
      </c>
      <c r="F16" s="2433"/>
      <c r="G16" s="2433"/>
      <c r="H16" s="2433"/>
      <c r="I16" s="1834"/>
    </row>
    <row r="17" spans="1:35" ht="15">
      <c r="A17" s="2434" t="s">
        <v>2148</v>
      </c>
      <c r="B17" s="64"/>
      <c r="C17" s="141">
        <f>SUM(C5:C16)</f>
        <v>60</v>
      </c>
      <c r="D17" s="141">
        <f>SUM(D5:D16)</f>
        <v>40</v>
      </c>
      <c r="E17" s="138"/>
      <c r="F17" s="138"/>
      <c r="G17" s="138"/>
      <c r="H17" s="138"/>
      <c r="I17" s="138"/>
      <c r="K17" s="2432"/>
      <c r="L17" s="2435" t="s">
        <v>2149</v>
      </c>
      <c r="M17" s="2435" t="s">
        <v>2150</v>
      </c>
    </row>
    <row r="18" spans="1:35" ht="15.75" thickBot="1">
      <c r="A18" s="2436" t="s">
        <v>2151</v>
      </c>
      <c r="B18" s="2437"/>
      <c r="C18" s="142">
        <f>ROUND(C17/SUM(C17:D17),2)</f>
        <v>0.6</v>
      </c>
      <c r="D18" s="142">
        <f>1-C18</f>
        <v>0.4</v>
      </c>
      <c r="E18" s="138"/>
      <c r="F18" s="138"/>
      <c r="G18" s="138"/>
      <c r="H18" s="138"/>
      <c r="I18" s="138"/>
      <c r="K18" s="2432" t="s">
        <v>2152</v>
      </c>
      <c r="L18" s="2432">
        <f>IF(C1="",'数据-汇总表'!E3,SUMIF(项目类型,C1,'数据-汇总表'!E17:E26)+SUMIF(项目类型,C1,'数据-汇总表'!I17:I26))</f>
        <v>89187.31</v>
      </c>
      <c r="M18" s="2432">
        <f>IF(C1="",'数据-汇总表'!E3,SUMIF(项目类型,C1,'数据-汇总表'!E17:E26))</f>
        <v>89187.31</v>
      </c>
    </row>
    <row r="19" spans="1:35" ht="15">
      <c r="A19" s="2438" t="s">
        <v>2153</v>
      </c>
      <c r="B19" s="2439" t="s">
        <v>2154</v>
      </c>
      <c r="C19" s="143">
        <f ca="1">SUMIF(INDIRECT("'"&amp;C4&amp;"'"&amp;"!A:A"),结果表!B19,INDIRECT("'"&amp;C4&amp;"'"&amp;"!B:B"))</f>
        <v>77926</v>
      </c>
      <c r="D19" s="144">
        <f ca="1">SUMIF(INDIRECT("'"&amp;D4&amp;"'"&amp;"!A:A"),结果表!B19,INDIRECT("'"&amp;D4&amp;"'"&amp;"!B:B"))</f>
        <v>47863</v>
      </c>
      <c r="E19" s="2438" t="s">
        <v>2155</v>
      </c>
      <c r="F19" s="2439" t="s">
        <v>2154</v>
      </c>
      <c r="G19" s="145">
        <f ca="1">ROUND(C19*$C$18+D19*$D$18,0)</f>
        <v>65901</v>
      </c>
      <c r="H19" s="2440" t="s">
        <v>2156</v>
      </c>
      <c r="I19" s="138"/>
      <c r="K19" s="2432" t="s">
        <v>2157</v>
      </c>
      <c r="L19" s="2432">
        <f>IF(C1="",'数据-汇总表'!D3,SUMIF(项目类型,C1,'数据-汇总表'!D17:D26)+SUMIF(项目类型,C1,'数据-汇总表'!H17:H27))</f>
        <v>29092.1</v>
      </c>
      <c r="M19" s="2432">
        <f>IF(C1="",'数据-汇总表'!D3,SUMIF(项目类型,C1,'数据-汇总表'!D17:D26))</f>
        <v>29092.1</v>
      </c>
    </row>
    <row r="20" spans="1:35" ht="15">
      <c r="A20" s="2441"/>
      <c r="B20" s="1250" t="s">
        <v>2158</v>
      </c>
      <c r="C20" s="146">
        <f ca="1">SUMIF(INDIRECT("'"&amp;C4&amp;"'"&amp;"!A:A"),结果表!B20,INDIRECT("'"&amp;C4&amp;"'"&amp;"!B:B"))</f>
        <v>8737</v>
      </c>
      <c r="D20" s="147">
        <f ca="1">SUMIF(INDIRECT("'"&amp;D4&amp;"'"&amp;"!A:A"),结果表!B20,INDIRECT("'"&amp;D4&amp;"'"&amp;"!B:B"))</f>
        <v>5367</v>
      </c>
      <c r="E20" s="2441"/>
      <c r="F20" s="1250" t="s">
        <v>2158</v>
      </c>
      <c r="G20" s="148">
        <f ca="1">ROUND(C20*$C$18+D20*$D$18,0)</f>
        <v>7389</v>
      </c>
      <c r="H20" s="983" t="s">
        <v>2159</v>
      </c>
      <c r="I20" s="138"/>
    </row>
    <row r="21" spans="1:35" ht="15" customHeight="1" thickBot="1">
      <c r="A21" s="1003"/>
      <c r="B21" s="2442" t="s">
        <v>2160</v>
      </c>
      <c r="C21" s="789">
        <f ca="1">ROUND(C19*10000/L19,0)</f>
        <v>26786</v>
      </c>
      <c r="D21" s="790">
        <f ca="1">ROUND(D19*10000/L19,0)</f>
        <v>16452</v>
      </c>
      <c r="E21" s="1003"/>
      <c r="F21" s="2442" t="s">
        <v>2160</v>
      </c>
      <c r="G21" s="149">
        <f ca="1">ROUND(G19*10000/L19,0)</f>
        <v>22653</v>
      </c>
      <c r="H21" s="2443" t="s">
        <v>2159</v>
      </c>
      <c r="I21" s="138"/>
    </row>
    <row r="22" spans="1:35" ht="15" thickBot="1">
      <c r="A22" s="2284" t="s">
        <v>2161</v>
      </c>
      <c r="B22" s="2444"/>
      <c r="C22" s="2445"/>
      <c r="D22" s="791">
        <f ca="1">IF(C19&lt;D19,D19/C19-1,C19/D19-1)</f>
        <v>0.62810521697344512</v>
      </c>
      <c r="E22" s="138"/>
      <c r="F22" s="138"/>
      <c r="G22" s="138"/>
      <c r="H22" s="138"/>
      <c r="I22" s="138"/>
    </row>
    <row r="23" spans="1:35" ht="13.5" thickBot="1">
      <c r="A23" s="2422"/>
      <c r="B23" s="2422"/>
      <c r="C23" s="2422"/>
      <c r="D23" s="2422"/>
      <c r="E23" s="138"/>
      <c r="F23" s="138"/>
      <c r="G23" s="138"/>
      <c r="H23" s="138"/>
      <c r="I23" s="138"/>
    </row>
    <row r="24" spans="1:35" ht="14.25">
      <c r="A24" s="3134" t="s">
        <v>2162</v>
      </c>
      <c r="B24" s="2439" t="s">
        <v>2154</v>
      </c>
      <c r="C24" s="145">
        <f>IF(B30=0,0,D30)</f>
        <v>0</v>
      </c>
      <c r="D24" s="2446"/>
      <c r="E24" s="138"/>
      <c r="F24" s="138"/>
      <c r="G24" s="138"/>
      <c r="H24" s="138"/>
      <c r="I24" s="138"/>
    </row>
    <row r="25" spans="1:35" ht="14.25">
      <c r="A25" s="3135"/>
      <c r="B25" s="1250" t="s">
        <v>2158</v>
      </c>
      <c r="C25" s="150">
        <f>IF(B30=0,0,C30)</f>
        <v>0</v>
      </c>
      <c r="D25" s="2447"/>
      <c r="E25" s="138"/>
      <c r="F25" s="138"/>
      <c r="G25" s="138"/>
      <c r="H25" s="138"/>
      <c r="I25" s="138"/>
    </row>
    <row r="26" spans="1:35" ht="13.5" customHeight="1">
      <c r="A26" s="2448" t="s">
        <v>2163</v>
      </c>
      <c r="B26" s="151" t="s">
        <v>2164</v>
      </c>
      <c r="C26" s="151" t="s">
        <v>2165</v>
      </c>
      <c r="D26" s="152" t="s">
        <v>2166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f ca="1">G19*10000/'数据-汇总表'!F31</f>
        <v>12751.275156539361</v>
      </c>
      <c r="E28" s="138"/>
      <c r="F28" s="138"/>
      <c r="G28" s="138"/>
      <c r="H28" s="138"/>
      <c r="I28" s="138"/>
    </row>
    <row r="29" spans="1:35" ht="14.25">
      <c r="A29" s="2448"/>
      <c r="B29" s="151"/>
      <c r="C29" s="151"/>
      <c r="D29" s="152"/>
      <c r="E29" s="138"/>
      <c r="F29" s="138"/>
      <c r="G29" s="138"/>
      <c r="H29" s="138"/>
      <c r="I29" s="138"/>
    </row>
    <row r="30" spans="1:35" ht="14.25">
      <c r="A30" s="151" t="s">
        <v>2167</v>
      </c>
      <c r="B30" s="151"/>
      <c r="C30" s="151"/>
      <c r="D30" s="151"/>
      <c r="E30" s="2931" t="s">
        <v>3047</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2168</v>
      </c>
      <c r="B32" s="2452"/>
      <c r="C32" s="153">
        <f ca="1">IF(D32="总价",G19-C24,G20-C25)</f>
        <v>65901</v>
      </c>
      <c r="D32" s="2453" t="s">
        <v>2169</v>
      </c>
      <c r="E32" s="138"/>
      <c r="F32" s="138"/>
      <c r="G32" s="138"/>
      <c r="H32" s="138"/>
      <c r="I32" s="138"/>
    </row>
    <row r="33" spans="1:15" ht="15">
      <c r="A33" s="960" t="s">
        <v>2170</v>
      </c>
      <c r="B33" s="2454"/>
      <c r="C33" s="2455"/>
      <c r="D33" s="2456"/>
      <c r="E33" s="2457" t="s">
        <v>2171</v>
      </c>
      <c r="F33" s="2458" t="str">
        <f>IF(D32="楼面单价","取值（单价）","取值（总价）")</f>
        <v>取值（总价）</v>
      </c>
      <c r="G33" s="138"/>
      <c r="H33" s="138"/>
      <c r="I33" s="138"/>
    </row>
    <row r="34" spans="1:15" ht="15">
      <c r="A34" s="2459"/>
      <c r="B34" s="2460" t="s">
        <v>2172</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2173</v>
      </c>
      <c r="F34" s="1739"/>
      <c r="G34" s="138"/>
      <c r="H34" s="138"/>
      <c r="I34" s="138"/>
    </row>
    <row r="35" spans="1:15" ht="15.75" thickBot="1">
      <c r="A35" s="2462"/>
      <c r="B35" s="2463" t="s">
        <v>2174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2175</v>
      </c>
      <c r="F35" s="163"/>
      <c r="G35" s="138"/>
      <c r="H35" s="138"/>
      <c r="I35" s="138"/>
    </row>
    <row r="36" spans="1:15" ht="15.75" thickBot="1">
      <c r="A36" s="3113" t="s">
        <v>2176</v>
      </c>
      <c r="B36" s="2465" t="s">
        <v>2177</v>
      </c>
      <c r="C36" s="154"/>
      <c r="D36" s="2466"/>
      <c r="E36" s="2467"/>
      <c r="F36" s="2468"/>
      <c r="G36" s="138"/>
      <c r="H36" s="138"/>
      <c r="I36" s="138"/>
    </row>
    <row r="37" spans="1:15" ht="15.75" thickBot="1">
      <c r="A37" s="3114"/>
      <c r="B37" s="2270" t="s">
        <v>2178</v>
      </c>
      <c r="C37" s="156"/>
      <c r="D37" s="1395"/>
      <c r="E37" s="1395"/>
      <c r="F37" s="2468"/>
      <c r="G37" s="138"/>
      <c r="H37" s="138"/>
      <c r="I37" s="138"/>
    </row>
    <row r="38" spans="1:15" ht="15.75" thickBot="1">
      <c r="A38" s="3115"/>
      <c r="B38" s="2469" t="s">
        <v>2179</v>
      </c>
      <c r="C38" s="727"/>
      <c r="D38" s="2470" t="s">
        <v>2180</v>
      </c>
      <c r="E38" s="1395"/>
      <c r="F38" s="2468"/>
      <c r="G38" s="138"/>
      <c r="H38" s="138"/>
      <c r="I38" s="138"/>
    </row>
    <row r="39" spans="1:15" ht="15">
      <c r="A39" s="2441" t="s">
        <v>2181</v>
      </c>
      <c r="B39" s="2471" t="s">
        <v>2182</v>
      </c>
      <c r="C39" s="2472" t="s">
        <v>2183</v>
      </c>
      <c r="D39" s="2472" t="s">
        <v>2184</v>
      </c>
      <c r="E39" s="2473" t="s">
        <v>2185</v>
      </c>
      <c r="F39" s="2468"/>
      <c r="G39" s="138"/>
      <c r="H39" s="138"/>
      <c r="I39" s="138"/>
    </row>
    <row r="40" spans="1:15" ht="14.25">
      <c r="A40" s="2474" t="s">
        <v>2186</v>
      </c>
      <c r="B40" s="158"/>
      <c r="C40" s="159"/>
      <c r="D40" s="159"/>
      <c r="E40" s="160"/>
      <c r="F40" s="2468"/>
      <c r="G40" s="138"/>
      <c r="H40" s="138"/>
      <c r="I40" s="138"/>
    </row>
    <row r="41" spans="1:15" ht="14.25">
      <c r="A41" s="2474" t="s">
        <v>2187</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2188</v>
      </c>
      <c r="B44" s="2479"/>
      <c r="C44" s="2479"/>
      <c r="D44" s="2480"/>
      <c r="E44" s="2480"/>
      <c r="F44" s="2481"/>
      <c r="G44" s="2481"/>
      <c r="H44" s="2481"/>
      <c r="I44" s="2481"/>
      <c r="J44" s="2482" t="s">
        <v>2189</v>
      </c>
      <c r="K44" s="2483"/>
      <c r="L44" s="2483"/>
      <c r="M44" s="2483"/>
      <c r="N44" s="2483"/>
      <c r="O44" s="2483"/>
    </row>
    <row r="45" spans="1:15" ht="14.25" customHeight="1" thickBot="1">
      <c r="A45" s="3131" t="s">
        <v>2190</v>
      </c>
      <c r="B45" s="3132"/>
      <c r="C45" s="3133"/>
      <c r="D45" s="164">
        <f ca="1">ROUND(H101*F45,0)</f>
        <v>65901</v>
      </c>
      <c r="E45" s="165" t="s">
        <v>2191</v>
      </c>
      <c r="F45" s="166">
        <v>1</v>
      </c>
      <c r="G45" s="167" t="s">
        <v>2192</v>
      </c>
      <c r="H45" s="138"/>
      <c r="I45" s="138"/>
      <c r="J45" s="3049" t="s">
        <v>2193</v>
      </c>
      <c r="K45" s="3049"/>
      <c r="L45" s="3049"/>
      <c r="M45" s="3049"/>
      <c r="N45" s="3049"/>
      <c r="O45" s="3049"/>
    </row>
    <row r="46" spans="1:15" ht="14.25" customHeight="1">
      <c r="A46" s="3128" t="s">
        <v>2194</v>
      </c>
      <c r="B46" s="3129"/>
      <c r="C46" s="3129"/>
      <c r="D46" s="3129"/>
      <c r="E46" s="3129"/>
      <c r="F46" s="3129"/>
      <c r="G46" s="3130"/>
      <c r="H46" s="2484"/>
      <c r="I46" s="168"/>
      <c r="J46" s="1812">
        <v>1</v>
      </c>
      <c r="K46" s="3049" t="s">
        <v>2195</v>
      </c>
      <c r="L46" s="3049"/>
      <c r="M46" s="3050"/>
      <c r="N46" s="3050"/>
      <c r="O46" s="3050"/>
    </row>
    <row r="47" spans="1:15" ht="12" customHeight="1">
      <c r="A47" s="169" t="s">
        <v>2196</v>
      </c>
      <c r="B47" s="170"/>
      <c r="C47" s="171"/>
      <c r="D47" s="172" t="s">
        <v>2197</v>
      </c>
      <c r="E47" s="24" t="s">
        <v>2198</v>
      </c>
      <c r="F47" s="173" t="s">
        <v>2199</v>
      </c>
      <c r="G47" s="174" t="s">
        <v>2200</v>
      </c>
      <c r="H47" s="2484"/>
      <c r="I47" s="168"/>
      <c r="J47" s="1812">
        <v>2</v>
      </c>
      <c r="K47" s="3049" t="s">
        <v>2201</v>
      </c>
      <c r="L47" s="3049"/>
      <c r="M47" s="3051">
        <f>'数据-取费表'!B2</f>
        <v>43175</v>
      </c>
      <c r="N47" s="3051"/>
      <c r="O47" s="3051"/>
    </row>
    <row r="48" spans="1:15" ht="25.5">
      <c r="A48" s="3117" t="s">
        <v>2202</v>
      </c>
      <c r="B48" s="3118"/>
      <c r="C48" s="3118"/>
      <c r="D48" s="140">
        <f>IF(H48="情况1",0,IF(H48="情况2",D52,IF(H48="情况3",D53,IF(H48="情况4",D54))))</f>
        <v>0</v>
      </c>
      <c r="E48" s="1801" t="str">
        <f>IF(H48="情况4","(销售额-原购置价)×税（费）率","销售额×税（费）率")</f>
        <v>销售额×税（费）率</v>
      </c>
      <c r="F48" s="175" t="str">
        <f>IF(H48="情况1","免征",'数据-取费表'!B41)</f>
        <v>免征</v>
      </c>
      <c r="G48" s="2485" t="s">
        <v>2203</v>
      </c>
      <c r="H48" s="2486" t="s">
        <v>2204</v>
      </c>
      <c r="I48" s="2484"/>
      <c r="J48" s="1812">
        <v>3</v>
      </c>
      <c r="K48" s="3049" t="s">
        <v>2205</v>
      </c>
      <c r="L48" s="3049"/>
      <c r="M48" s="3052">
        <f ca="1">H101</f>
        <v>65901</v>
      </c>
      <c r="N48" s="3052"/>
      <c r="O48" s="3052"/>
    </row>
    <row r="49" spans="1:35" ht="25.5" customHeight="1">
      <c r="A49" s="176" t="s">
        <v>2206</v>
      </c>
      <c r="B49" s="3097" t="s">
        <v>2207</v>
      </c>
      <c r="C49" s="3097"/>
      <c r="D49" s="177">
        <v>0</v>
      </c>
      <c r="E49" s="23" t="s">
        <v>2208</v>
      </c>
      <c r="F49" s="28" t="s">
        <v>34</v>
      </c>
      <c r="G49" s="3078"/>
      <c r="H49" s="138"/>
      <c r="I49" s="2487"/>
      <c r="J49" s="1812">
        <v>4</v>
      </c>
      <c r="K49" s="3049" t="str">
        <f>IF(项目基本情况!E8="房地产抵押价值","房地产抵押价值","抵押担保权已注销时的房地产抵押价值")</f>
        <v>房地产抵押价值</v>
      </c>
      <c r="L49" s="3049"/>
      <c r="M49" s="3052">
        <f ca="1">IF(项目基本情况!E8="房地产抵押价值",H107,H109)</f>
        <v>65901</v>
      </c>
      <c r="N49" s="3052"/>
      <c r="O49" s="3052"/>
    </row>
    <row r="50" spans="1:35" ht="25.5" customHeight="1">
      <c r="A50" s="178"/>
      <c r="B50" s="3097" t="s">
        <v>2209</v>
      </c>
      <c r="C50" s="3097"/>
      <c r="D50" s="179"/>
      <c r="E50" s="31"/>
      <c r="F50" s="180"/>
      <c r="G50" s="3079"/>
      <c r="H50" s="138"/>
      <c r="I50" s="2487"/>
      <c r="J50" s="3049" t="s">
        <v>2210</v>
      </c>
      <c r="K50" s="3049"/>
      <c r="L50" s="3049"/>
      <c r="M50" s="3049"/>
      <c r="N50" s="3049"/>
      <c r="O50" s="3049"/>
    </row>
    <row r="51" spans="1:35" ht="12" customHeight="1">
      <c r="A51" s="181"/>
      <c r="B51" s="3097" t="s">
        <v>2211</v>
      </c>
      <c r="C51" s="3097"/>
      <c r="D51" s="182"/>
      <c r="E51" s="30"/>
      <c r="F51" s="180"/>
      <c r="G51" s="3080"/>
      <c r="H51" s="138"/>
      <c r="I51" s="2487"/>
      <c r="J51" s="2488" t="s">
        <v>2212</v>
      </c>
      <c r="K51" s="3049" t="s">
        <v>2213</v>
      </c>
      <c r="L51" s="3049"/>
      <c r="M51" s="2488" t="s">
        <v>2214</v>
      </c>
      <c r="N51" s="2488" t="s">
        <v>2215</v>
      </c>
      <c r="O51" s="2488" t="s">
        <v>2216</v>
      </c>
    </row>
    <row r="52" spans="1:35" ht="24" customHeight="1">
      <c r="A52" s="183" t="s">
        <v>2217</v>
      </c>
      <c r="B52" s="3097" t="s">
        <v>2218</v>
      </c>
      <c r="C52" s="3097"/>
      <c r="D52" s="182">
        <f ca="1">ROUND(D45*'数据-取费表'!B41/(1+'数据-取费表'!C42),0)</f>
        <v>3515</v>
      </c>
      <c r="E52" s="11" t="s">
        <v>2219</v>
      </c>
      <c r="F52" s="184">
        <f>'数据-取费表'!B41</f>
        <v>5.6000000000000001E-2</v>
      </c>
      <c r="G52" s="2489"/>
      <c r="H52" s="138"/>
      <c r="I52" s="2487"/>
      <c r="J52" s="1812">
        <v>1</v>
      </c>
      <c r="K52" s="3072" t="s">
        <v>2220</v>
      </c>
      <c r="L52" s="3072"/>
      <c r="M52" s="1754">
        <f>D48</f>
        <v>0</v>
      </c>
      <c r="N52" s="1812" t="str">
        <f>E48</f>
        <v>销售额×税（费）率</v>
      </c>
      <c r="O52" s="1755" t="str">
        <f>F48</f>
        <v>免征</v>
      </c>
    </row>
    <row r="53" spans="1:35" ht="12" customHeight="1">
      <c r="A53" s="183" t="s">
        <v>2221</v>
      </c>
      <c r="B53" s="3098" t="s">
        <v>2222</v>
      </c>
      <c r="C53" s="3099"/>
      <c r="D53" s="182">
        <f ca="1">ROUND(D45*'数据-取费表'!B41/(1+'数据-取费表'!C42),0)</f>
        <v>3515</v>
      </c>
      <c r="E53" s="11" t="s">
        <v>2219</v>
      </c>
      <c r="F53" s="184">
        <f>'数据-取费表'!B41</f>
        <v>5.6000000000000001E-2</v>
      </c>
      <c r="G53" s="2489"/>
      <c r="H53" s="138"/>
      <c r="I53" s="2487"/>
      <c r="J53" s="1812">
        <v>2</v>
      </c>
      <c r="K53" s="3072" t="s">
        <v>2223</v>
      </c>
      <c r="L53" s="3072"/>
      <c r="M53" s="1754">
        <f t="shared" ref="M53:O54" ca="1" si="0">D55</f>
        <v>33</v>
      </c>
      <c r="N53" s="1812" t="str">
        <f t="shared" si="0"/>
        <v>销售额×税（费）率</v>
      </c>
      <c r="O53" s="1755">
        <f t="shared" si="0"/>
        <v>5.0000000000000001E-4</v>
      </c>
    </row>
    <row r="54" spans="1:35" ht="12" customHeight="1">
      <c r="A54" s="183" t="s">
        <v>2224</v>
      </c>
      <c r="B54" s="3098" t="s">
        <v>2225</v>
      </c>
      <c r="C54" s="3099"/>
      <c r="D54" s="182">
        <f ca="1">C68</f>
        <v>3515</v>
      </c>
      <c r="E54" s="30" t="s">
        <v>2226</v>
      </c>
      <c r="F54" s="184">
        <f>'数据-取费表'!B41</f>
        <v>5.6000000000000001E-2</v>
      </c>
      <c r="G54" s="2489"/>
      <c r="H54" s="2490"/>
      <c r="I54" s="2487"/>
      <c r="J54" s="1812">
        <v>3</v>
      </c>
      <c r="K54" s="3072" t="s">
        <v>2227</v>
      </c>
      <c r="L54" s="3072"/>
      <c r="M54" s="1754">
        <f t="shared" ca="1" si="0"/>
        <v>37300</v>
      </c>
      <c r="N54" s="1812" t="str">
        <f t="shared" si="0"/>
        <v>增值额×税（费）率</v>
      </c>
      <c r="O54" s="1756" t="str">
        <f t="shared" si="0"/>
        <v>——</v>
      </c>
    </row>
    <row r="55" spans="1:35" ht="24" customHeight="1">
      <c r="A55" s="3137" t="s">
        <v>2228</v>
      </c>
      <c r="B55" s="3118"/>
      <c r="C55" s="3118"/>
      <c r="D55" s="185">
        <f ca="1">IF(H55="个人住宅",0,ROUND(D45*I55,0))</f>
        <v>33</v>
      </c>
      <c r="E55" s="11" t="s">
        <v>2229</v>
      </c>
      <c r="F55" s="184">
        <f>IF(H55="正常",I55,"免征")</f>
        <v>5.0000000000000001E-4</v>
      </c>
      <c r="G55" s="2489"/>
      <c r="H55" s="2486" t="s">
        <v>2230</v>
      </c>
      <c r="I55" s="186">
        <f>'数据-取费表'!B49</f>
        <v>5.0000000000000001E-4</v>
      </c>
      <c r="J55" s="1812" t="str">
        <f>IF(H59="非个人房产","",4)</f>
        <v/>
      </c>
      <c r="K55" s="3072" t="str">
        <f>IF(H59="非个人房产","——","个人所得税")</f>
        <v>——</v>
      </c>
      <c r="L55" s="3072"/>
      <c r="M55" s="1757" t="str">
        <f>D59</f>
        <v>——</v>
      </c>
      <c r="N55" s="1810" t="str">
        <f>E59</f>
        <v>——</v>
      </c>
      <c r="O55" s="1758" t="str">
        <f>F59</f>
        <v>——</v>
      </c>
    </row>
    <row r="56" spans="1:35" ht="24.75">
      <c r="A56" s="3137" t="s">
        <v>2231</v>
      </c>
      <c r="B56" s="3118"/>
      <c r="C56" s="3118"/>
      <c r="D56" s="185">
        <f ca="1">IF(H56="个人住宅",D57,D58)</f>
        <v>37300</v>
      </c>
      <c r="E56" s="11" t="s">
        <v>2232</v>
      </c>
      <c r="F56" s="184" t="str">
        <f>IF(H56="正常",F58,"免征")</f>
        <v>——</v>
      </c>
      <c r="G56" s="2491" t="s">
        <v>2233</v>
      </c>
      <c r="H56" s="2492" t="s">
        <v>2230</v>
      </c>
      <c r="I56" s="2493"/>
      <c r="J56" s="1812" t="str">
        <f>IF(项目基本情况!K6="上海银行",IF(J55="",4,J55+1),"")</f>
        <v/>
      </c>
      <c r="K56" s="3055" t="str">
        <f>IF(项目基本情况!K6="上海银行","其他处置费用","")</f>
        <v/>
      </c>
      <c r="L56" s="3056"/>
      <c r="M56" s="1754" t="str">
        <f>IF(项目基本情况!K6="上海银行",M69,"")</f>
        <v/>
      </c>
      <c r="N56" s="3058" t="str">
        <f>IF(项目基本情况!K6="上海银行","包含处置中涉及的律师、诉讼、拍卖、评估等费用","")</f>
        <v/>
      </c>
      <c r="O56" s="3059"/>
    </row>
    <row r="57" spans="1:35" ht="12.75">
      <c r="A57" s="183" t="s">
        <v>2206</v>
      </c>
      <c r="B57" s="3103" t="s">
        <v>2234</v>
      </c>
      <c r="C57" s="3104"/>
      <c r="D57" s="187">
        <v>0</v>
      </c>
      <c r="E57" s="23" t="s">
        <v>2208</v>
      </c>
      <c r="F57" s="155"/>
      <c r="G57" s="2489"/>
      <c r="H57" s="2493"/>
      <c r="I57" s="2493"/>
      <c r="J57" s="3072">
        <f>IF(AND(J55="",J56=""),4,IF(项目基本情况!K6="上海银行",结果表!J56+1,结果表!J55+1))</f>
        <v>4</v>
      </c>
      <c r="K57" s="3072" t="s">
        <v>2235</v>
      </c>
      <c r="L57" s="2494" t="s">
        <v>2236</v>
      </c>
      <c r="M57" s="1759"/>
      <c r="N57" s="1760">
        <f ca="1">SUMIF(M52:M56,"&lt;9e307")</f>
        <v>37333</v>
      </c>
      <c r="O57" s="2495"/>
      <c r="P57" s="1753">
        <f ca="1">N57/M49</f>
        <v>0.56650126705209325</v>
      </c>
    </row>
    <row r="58" spans="1:35" ht="24.75">
      <c r="A58" s="183" t="s">
        <v>2217</v>
      </c>
      <c r="B58" s="3103" t="s">
        <v>2237</v>
      </c>
      <c r="C58" s="3116"/>
      <c r="D58" s="185">
        <f ca="1">IF(H58="转让取得",C81,C97)</f>
        <v>37300</v>
      </c>
      <c r="E58" s="11" t="s">
        <v>2232</v>
      </c>
      <c r="F58" s="24" t="s">
        <v>34</v>
      </c>
      <c r="G58" s="2489"/>
      <c r="H58" s="2492" t="s">
        <v>2238</v>
      </c>
      <c r="I58" s="2493"/>
      <c r="J58" s="3072"/>
      <c r="K58" s="3072"/>
      <c r="L58" s="2494" t="s">
        <v>2239</v>
      </c>
      <c r="M58" s="1761"/>
      <c r="N58" s="2496" t="str">
        <f ca="1">NUMBERSTRING(INT(N57*10000),2)&amp;"元整"</f>
        <v>叁亿柒仟叁佰叁拾叁万元整</v>
      </c>
      <c r="O58" s="2497"/>
    </row>
    <row r="59" spans="1:35" ht="24.75" thickBot="1">
      <c r="A59" s="3076" t="s">
        <v>2240</v>
      </c>
      <c r="B59" s="3077"/>
      <c r="C59" s="3077"/>
      <c r="D59" s="188" t="str">
        <f>IF(H59="非个人房产","——",IF(H59="个人住宅",0,ROUND(D45*I59,0)))</f>
        <v>——</v>
      </c>
      <c r="E59" s="189" t="str">
        <f>IF(H59="非个人房产","——","销售额×税（费）率")</f>
        <v>——</v>
      </c>
      <c r="F59" s="190" t="str">
        <f>IF(H59="非个人房产","——",IF(H59="个人住宅","免征",I59))</f>
        <v>——</v>
      </c>
      <c r="G59" s="2498" t="s">
        <v>2233</v>
      </c>
      <c r="H59" s="2492" t="s">
        <v>2241</v>
      </c>
      <c r="I59" s="191">
        <v>0.01</v>
      </c>
      <c r="J59" s="3074">
        <f>J57+1</f>
        <v>5</v>
      </c>
      <c r="K59" s="3072" t="s">
        <v>2242</v>
      </c>
      <c r="L59" s="1812" t="s">
        <v>2236</v>
      </c>
      <c r="M59" s="1762"/>
      <c r="N59" s="1763">
        <f ca="1">M49-N57</f>
        <v>28568</v>
      </c>
      <c r="O59" s="2499"/>
    </row>
    <row r="60" spans="1:35" ht="12" customHeight="1">
      <c r="A60" s="2500"/>
      <c r="B60" s="2422"/>
      <c r="C60" s="2422"/>
      <c r="D60" s="2422"/>
      <c r="E60" s="2170"/>
      <c r="F60" s="2493"/>
      <c r="G60" s="2493"/>
      <c r="H60" s="2501"/>
      <c r="I60" s="138"/>
      <c r="J60" s="3075"/>
      <c r="K60" s="3072"/>
      <c r="L60" s="2494" t="s">
        <v>2239</v>
      </c>
      <c r="M60" s="1761"/>
      <c r="N60" s="2496" t="str">
        <f ca="1">NUMBERSTRING(INT(N59*10000),2)&amp;"元整"</f>
        <v>贰亿捌仟伍佰陆拾捌万元整</v>
      </c>
      <c r="O60" s="2497"/>
    </row>
    <row r="61" spans="1:35" ht="13.5" thickBot="1">
      <c r="A61" s="3136" t="s">
        <v>2243</v>
      </c>
      <c r="B61" s="3136"/>
      <c r="C61" s="3136"/>
      <c r="D61" s="3136"/>
      <c r="E61" s="3136"/>
      <c r="F61" s="2493"/>
      <c r="G61" s="2493"/>
      <c r="H61" s="2501"/>
      <c r="I61" s="138"/>
      <c r="J61" s="1812">
        <f>J59+1</f>
        <v>6</v>
      </c>
      <c r="K61" s="3072" t="s">
        <v>2244</v>
      </c>
      <c r="L61" s="3072"/>
      <c r="M61" s="1764"/>
      <c r="N61" s="1765">
        <f ca="1">ROUND(N59*10000/'数据-汇总表'!E3,0)</f>
        <v>3203</v>
      </c>
      <c r="O61" s="2502"/>
    </row>
    <row r="62" spans="1:35" ht="12.75">
      <c r="A62" s="3092" t="s">
        <v>2245</v>
      </c>
      <c r="B62" s="3093"/>
      <c r="C62" s="1804"/>
      <c r="D62" s="1804" t="s">
        <v>2246</v>
      </c>
      <c r="E62" s="192" t="s">
        <v>2247</v>
      </c>
      <c r="F62" s="2493"/>
      <c r="G62" s="2493"/>
      <c r="H62" s="2501"/>
      <c r="I62" s="138"/>
    </row>
    <row r="63" spans="1:35" ht="12.75">
      <c r="A63" s="203" t="s">
        <v>775</v>
      </c>
      <c r="B63" s="193" t="s">
        <v>2248</v>
      </c>
      <c r="C63" s="194">
        <f ca="1">ROUND((C64+C65)/(1+'数据-取费表'!C42),0)</f>
        <v>62763</v>
      </c>
      <c r="D63" s="195"/>
      <c r="E63" s="196"/>
      <c r="F63" s="2493"/>
      <c r="G63" s="2493"/>
      <c r="H63" s="2501"/>
      <c r="I63" s="138"/>
      <c r="J63" s="3057" t="s">
        <v>2249</v>
      </c>
      <c r="K63" s="2503" t="s">
        <v>2250</v>
      </c>
      <c r="L63" s="1752">
        <f ca="1">IF(M49&gt;10000,M49*0.5%,IF(AND(M49&gt;1000,M49&lt;=10000),M49*1%,IF(AND(M49&gt;100,M49&lt;=1000),M49*3%,IF(AND(M49&gt;10,M49&lt;=100),M49*5%,M49*8%))))</f>
        <v>329.505</v>
      </c>
      <c r="M63" s="24">
        <f ca="1">ROUND(L63,1)</f>
        <v>329.5</v>
      </c>
      <c r="Z63" s="2427"/>
      <c r="AI63" s="2428"/>
    </row>
    <row r="64" spans="1:35" ht="14.25" customHeight="1">
      <c r="A64" s="197" t="s">
        <v>770</v>
      </c>
      <c r="B64" s="198" t="s">
        <v>2251</v>
      </c>
      <c r="C64" s="199">
        <f ca="1">D45</f>
        <v>65901</v>
      </c>
      <c r="D64" s="200" t="s">
        <v>32</v>
      </c>
      <c r="E64" s="201"/>
      <c r="F64" s="2493"/>
      <c r="G64" s="2493"/>
      <c r="H64" s="2501"/>
      <c r="I64" s="138"/>
      <c r="J64" s="3057"/>
      <c r="K64" s="2503" t="s">
        <v>2252</v>
      </c>
      <c r="L64" s="1752">
        <f ca="1">IF(M49&gt;2000,M49*0.5%,IF(AND(M49&gt;1000,M49&lt;=2000),M49*0.6%,IF(AND(M49&gt;500,M49&lt;=1000),M49*0.7%,IF(AND(M49&gt;200,M49&lt;=500),M49*0.8%,IF(AND(M49&gt;100,M49&lt;=200),M49*0.9%,IF(AND(M49&gt;50,M49&lt;=100),M49*1%,IF(AND(M49&gt;20,M49&lt;=50),M49*1.5%,IF(AND(M49&gt;10,M49&lt;=20),M49*2%,IF(AND(M49&gt;1,M49&lt;=10),M49*2.5%)))))))))</f>
        <v>329.505</v>
      </c>
      <c r="M64" s="24">
        <f t="shared" ref="M64:M65" ca="1" si="1">ROUND(L64,1)</f>
        <v>329.5</v>
      </c>
      <c r="N64" s="138" t="s">
        <v>2253</v>
      </c>
      <c r="Z64" s="2427"/>
      <c r="AI64" s="2428"/>
    </row>
    <row r="65" spans="1:35" ht="14.25" customHeight="1">
      <c r="A65" s="197" t="s">
        <v>771</v>
      </c>
      <c r="B65" s="198" t="s">
        <v>2254</v>
      </c>
      <c r="C65" s="202"/>
      <c r="D65" s="200"/>
      <c r="E65" s="201"/>
      <c r="F65" s="2493"/>
      <c r="G65" s="2493"/>
      <c r="H65" s="2501"/>
      <c r="I65" s="138"/>
      <c r="J65" s="3057"/>
      <c r="K65" s="2503" t="s">
        <v>2255</v>
      </c>
      <c r="L65" s="1752">
        <f ca="1">IF(M49&gt;1000,M49*0.1%,IF(AND(M49&gt;500,M49&lt;=1000),M49*0.5%,IF(AND(M49&gt;50,M49&lt;=500),M49*1%,IF(AND(M49&gt;1,M49&lt;=50),M49*1.5%))))</f>
        <v>65.900999999999996</v>
      </c>
      <c r="M65" s="24">
        <f t="shared" ca="1" si="1"/>
        <v>65.900000000000006</v>
      </c>
      <c r="N65" s="138" t="s">
        <v>2253</v>
      </c>
      <c r="Z65" s="2427"/>
      <c r="AI65" s="2428"/>
    </row>
    <row r="66" spans="1:35" ht="14.25" customHeight="1">
      <c r="A66" s="203" t="s">
        <v>772</v>
      </c>
      <c r="B66" s="204" t="s">
        <v>2256</v>
      </c>
      <c r="C66" s="205"/>
      <c r="D66" s="206" t="s">
        <v>32</v>
      </c>
      <c r="E66" s="1776" t="s">
        <v>1371</v>
      </c>
      <c r="F66" s="2493"/>
      <c r="G66" s="2493"/>
      <c r="H66" s="2501"/>
      <c r="I66" s="138"/>
      <c r="J66" s="3057"/>
      <c r="K66" s="2503" t="s">
        <v>2257</v>
      </c>
      <c r="L66" s="1752">
        <f ca="1">M49*0.5%</f>
        <v>329.505</v>
      </c>
      <c r="M66" s="24">
        <f ca="1">IF(L66&gt;0.5,0.5,ROUND(L66,0))</f>
        <v>0.5</v>
      </c>
      <c r="N66" s="138" t="s">
        <v>2258</v>
      </c>
      <c r="Z66" s="2427"/>
      <c r="AI66" s="2428"/>
    </row>
    <row r="67" spans="1:35" ht="14.25" customHeight="1">
      <c r="A67" s="203" t="s">
        <v>773</v>
      </c>
      <c r="B67" s="204" t="s">
        <v>2259</v>
      </c>
      <c r="C67" s="207">
        <f ca="1">C63-C66</f>
        <v>62763</v>
      </c>
      <c r="D67" s="200" t="s">
        <v>32</v>
      </c>
      <c r="E67" s="201"/>
      <c r="F67" s="2493"/>
      <c r="G67" s="2493"/>
      <c r="H67" s="2501"/>
      <c r="I67" s="138"/>
      <c r="J67" s="3057"/>
      <c r="K67" s="2503" t="s">
        <v>2260</v>
      </c>
      <c r="L67" s="1752">
        <f ca="1">IF(M49&gt;=10000,(8.25+(M49-10000)*0.01%),IF(AND(M49&gt;=8000,M49&lt;10000),(7.85+(M49-8000)*0.02%),IF(AND(M49&gt;=5000,M49&lt;8000),(6.65+(M49-5000)*0.04%),IF(AND(M49&gt;=2000,M49&lt;5000),(4.25+(PM49-2000)*0.08%),IF(AND(M49&gt;=1000,M49&lt;2000),(2.75+(M49-1000)*0.15%),IF(AND(M49&gt;=100,M49&lt;1000),(0.5+(M49-100)*0.25%),IF(AND(M49&gt;0,M49&lt;100),M49*0.5%)))))))</f>
        <v>13.8401</v>
      </c>
      <c r="M67" s="24">
        <f ca="1">ROUND(L67*0.9,1)</f>
        <v>12.5</v>
      </c>
      <c r="Z67" s="2427"/>
      <c r="AI67" s="2428"/>
    </row>
    <row r="68" spans="1:35" ht="14.25" customHeight="1" thickBot="1">
      <c r="A68" s="208" t="s">
        <v>774</v>
      </c>
      <c r="B68" s="209" t="s">
        <v>2261</v>
      </c>
      <c r="C68" s="210">
        <f ca="1">IF(C67&lt;=0,0,ROUND(C67*D68,0))</f>
        <v>3515</v>
      </c>
      <c r="D68" s="211">
        <f>'数据-取费表'!B41</f>
        <v>5.6000000000000001E-2</v>
      </c>
      <c r="E68" s="212"/>
      <c r="F68" s="2493"/>
      <c r="G68" s="2493"/>
      <c r="H68" s="2501"/>
      <c r="I68" s="138"/>
      <c r="J68" s="3057"/>
      <c r="K68" s="2503" t="s">
        <v>2262</v>
      </c>
      <c r="L68" s="1752">
        <f ca="1">IF(M49&gt;10000,M49*0.5%,IF(AND(M49&gt;5000,M49&lt;=10000),M49*1%,IF(AND(M49&gt;1000,M49&lt;=5000),M49*2%,IF(AND(M49&gt;200,M49&lt;=1000),M49*3%,M49*5%))))</f>
        <v>329.505</v>
      </c>
      <c r="M68" s="24">
        <f ca="1">ROUND(L68,1)</f>
        <v>329.5</v>
      </c>
      <c r="Z68" s="2427"/>
      <c r="AI68" s="2428"/>
    </row>
    <row r="69" spans="1:35" s="2450" customFormat="1" ht="16.5" customHeight="1">
      <c r="A69" s="2504"/>
      <c r="B69" s="2505"/>
      <c r="C69" s="2506"/>
      <c r="D69" s="2507"/>
      <c r="E69" s="2508"/>
      <c r="F69" s="2170"/>
      <c r="G69" s="2170"/>
      <c r="H69" s="2169"/>
      <c r="I69" s="2422"/>
      <c r="J69" s="3057"/>
      <c r="K69" s="2503" t="s">
        <v>2263</v>
      </c>
      <c r="L69" s="2509"/>
      <c r="M69" s="24">
        <f ca="1">ROUND(SUM(M63:M68),0)</f>
        <v>1067</v>
      </c>
      <c r="N69" s="1753">
        <f ca="1">M69/M49</f>
        <v>1.6190953096311134E-2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01" t="s">
        <v>2264</v>
      </c>
      <c r="B70" s="3102"/>
      <c r="C70" s="3102"/>
      <c r="D70" s="3102"/>
      <c r="E70" s="3102"/>
      <c r="F70" s="3102"/>
      <c r="G70" s="3102"/>
      <c r="H70" s="3102"/>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2" t="s">
        <v>2245</v>
      </c>
      <c r="B71" s="3093"/>
      <c r="C71" s="1804"/>
      <c r="D71" s="1804" t="s">
        <v>2246</v>
      </c>
      <c r="E71" s="213" t="s">
        <v>2247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2265</v>
      </c>
      <c r="C72" s="207">
        <f ca="1">ROUND(D45/(1+'数据-取费表'!C42),0)</f>
        <v>62763</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2266</v>
      </c>
      <c r="C73" s="207">
        <f ca="1">C74+C78</f>
        <v>377</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2267</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2268</v>
      </c>
      <c r="C75" s="218"/>
      <c r="D75" s="200" t="s">
        <v>32</v>
      </c>
      <c r="E75" s="219" t="s">
        <v>2269</v>
      </c>
      <c r="F75" s="2515" t="s">
        <v>2270</v>
      </c>
      <c r="G75" s="219" t="s">
        <v>2271</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2272</v>
      </c>
      <c r="C76" s="200">
        <f>IF(F75="购房发票",ROUND(C75*H75*D76,0),0)</f>
        <v>0</v>
      </c>
      <c r="D76" s="222">
        <v>0.05</v>
      </c>
      <c r="E76" s="3098" t="s">
        <v>2273</v>
      </c>
      <c r="F76" s="3097"/>
      <c r="G76" s="3097"/>
      <c r="H76" s="3100"/>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2274</v>
      </c>
      <c r="C77" s="200">
        <f>ROUND(IF(G77="个人住宅",0,IF(G77="2016年5月1日前购买",C75*D77,C75*D77/(1+'数据-取费表'!C42))),0)</f>
        <v>0</v>
      </c>
      <c r="D77" s="223">
        <f>'数据-取费表'!B48+'数据-取费表'!B49</f>
        <v>3.0499999999999999E-2</v>
      </c>
      <c r="E77" s="15" t="s">
        <v>2275</v>
      </c>
      <c r="F77" s="224"/>
      <c r="G77" s="2517" t="s">
        <v>2276</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2277</v>
      </c>
      <c r="C78" s="225">
        <f ca="1">ROUND(D45*D78/(1+'数据-取费表'!C42),0)</f>
        <v>377</v>
      </c>
      <c r="D78" s="226">
        <f>'数据-取费表'!B43</f>
        <v>6.000000000000001E-3</v>
      </c>
      <c r="E78" s="3089" t="s">
        <v>2278</v>
      </c>
      <c r="F78" s="3090"/>
      <c r="G78" s="3090"/>
      <c r="H78" s="3091"/>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2279</v>
      </c>
      <c r="C79" s="207">
        <f ca="1">C72-C73</f>
        <v>62386</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2280</v>
      </c>
      <c r="C80" s="227">
        <f ca="1">IF(C79&lt;=0,0,C79/C73)</f>
        <v>165.48010610079575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2281</v>
      </c>
      <c r="C81" s="228">
        <f ca="1">ROUND(IF(C79&lt;=0,0,IF(C80&gt;=200%,C79*60%-C73*35%,IF(C80&gt;=100%,C79*50%-C73*15%,IF(C80&gt;=50%,C79*40%-C73*5%,IF(C80&lt;50%,C79*30%,0))))),0)</f>
        <v>37300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1" t="s">
        <v>2282</v>
      </c>
      <c r="B83" s="3102"/>
      <c r="C83" s="3102"/>
      <c r="D83" s="3102"/>
      <c r="E83" s="3102"/>
      <c r="F83" s="3102"/>
      <c r="G83" s="3102"/>
      <c r="H83" s="3102"/>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2" t="s">
        <v>2245</v>
      </c>
      <c r="B84" s="3093"/>
      <c r="C84" s="1804"/>
      <c r="D84" s="1804" t="s">
        <v>2246</v>
      </c>
      <c r="E84" s="213" t="s">
        <v>2247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2265</v>
      </c>
      <c r="C85" s="207">
        <f ca="1">ROUND(D45/(1+'数据-取费表'!C42),0)</f>
        <v>62763</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2266</v>
      </c>
      <c r="C86" s="207">
        <f ca="1">IF(H88="仅含出让金",C87+C90+C91+C92+C93+C94,C87+C91+C92+C93+C94)</f>
        <v>377</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2283</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2284</v>
      </c>
      <c r="C88" s="236"/>
      <c r="D88" s="226"/>
      <c r="E88" s="237" t="s">
        <v>2285</v>
      </c>
      <c r="F88" s="1800"/>
      <c r="G88" s="238" t="s">
        <v>2286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2274</v>
      </c>
      <c r="C89" s="225">
        <f>ROUND(C88*D89,0)</f>
        <v>0</v>
      </c>
      <c r="D89" s="226">
        <f>'数据-取费表'!B48+'数据-取费表'!B49</f>
        <v>3.0499999999999999E-2</v>
      </c>
      <c r="E89" s="237" t="s">
        <v>2287</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2288</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2289</v>
      </c>
      <c r="B91" s="198" t="s">
        <v>2290</v>
      </c>
      <c r="C91" s="225">
        <f>IF(H91="——",成本法!C33,I91)</f>
        <v>0</v>
      </c>
      <c r="D91" s="226"/>
      <c r="E91" s="3089" t="s">
        <v>2291</v>
      </c>
      <c r="F91" s="3090"/>
      <c r="G91" s="3090"/>
      <c r="H91" s="2522" t="s">
        <v>2292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2293</v>
      </c>
      <c r="B92" s="198" t="s">
        <v>2294</v>
      </c>
      <c r="C92" s="225">
        <f>ROUND((C87+C90+C91)*D92,0)</f>
        <v>0</v>
      </c>
      <c r="D92" s="226">
        <v>0.1</v>
      </c>
      <c r="E92" s="3089" t="s">
        <v>2295</v>
      </c>
      <c r="F92" s="3090"/>
      <c r="G92" s="3090"/>
      <c r="H92" s="3091"/>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2296</v>
      </c>
      <c r="B93" s="198" t="s">
        <v>2277</v>
      </c>
      <c r="C93" s="225">
        <f ca="1">ROUND(D45*D93/(1+'数据-取费表'!C42),0)</f>
        <v>377</v>
      </c>
      <c r="D93" s="226">
        <f>'数据-取费表'!B43</f>
        <v>6.000000000000001E-3</v>
      </c>
      <c r="E93" s="3089" t="s">
        <v>2278</v>
      </c>
      <c r="F93" s="3090"/>
      <c r="G93" s="3090"/>
      <c r="H93" s="3091"/>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2297</v>
      </c>
      <c r="B94" s="198" t="s">
        <v>2298</v>
      </c>
      <c r="C94" s="236">
        <f>ROUND((C87+C90+C91)*D94,0)</f>
        <v>0</v>
      </c>
      <c r="D94" s="226">
        <v>0.2</v>
      </c>
      <c r="E94" s="3141" t="s">
        <v>2299</v>
      </c>
      <c r="F94" s="3142"/>
      <c r="G94" s="3142"/>
      <c r="H94" s="3143"/>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2279</v>
      </c>
      <c r="C95" s="207">
        <f ca="1">ROUND(C85-C86,0)</f>
        <v>62386</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2280</v>
      </c>
      <c r="C96" s="227">
        <f ca="1">IF(C95&lt;=0,0,C95/C86)</f>
        <v>165.48010610079575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2281</v>
      </c>
      <c r="C97" s="228">
        <f ca="1">ROUND(IF(C95&lt;=0,0,IF(C96&gt;=200%,C95*60%-C86*35%,IF(C96&gt;=100%,C95*50%-C86*15%,IF(C96&gt;=50%,C95*40%-C86*5%,IF(C96&lt;50%,C95*30%,0))))),0)</f>
        <v>37300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2300</v>
      </c>
      <c r="B99" s="2422"/>
      <c r="C99" s="2422"/>
      <c r="D99" s="2422"/>
      <c r="E99" s="2170"/>
      <c r="F99" s="2170"/>
      <c r="G99" s="2170"/>
      <c r="H99" s="2169"/>
      <c r="I99" s="138"/>
    </row>
    <row r="100" spans="1:35" ht="18.75" customHeight="1">
      <c r="A100" s="3041" t="s">
        <v>2301</v>
      </c>
      <c r="B100" s="3042"/>
      <c r="C100" s="3042"/>
      <c r="D100" s="3073"/>
      <c r="E100" s="3042" t="s">
        <v>2302</v>
      </c>
      <c r="F100" s="3042"/>
      <c r="G100" s="3042"/>
      <c r="H100" s="3073"/>
      <c r="I100" s="138"/>
    </row>
    <row r="101" spans="1:35" ht="18.75" customHeight="1">
      <c r="A101" s="3081" t="s">
        <v>2303</v>
      </c>
      <c r="B101" s="3082"/>
      <c r="C101" s="736" t="str">
        <f>C4</f>
        <v>成本法</v>
      </c>
      <c r="D101" s="737" t="str">
        <f>D4</f>
        <v>假设开发法</v>
      </c>
      <c r="E101" s="3053" t="s">
        <v>2304</v>
      </c>
      <c r="F101" s="3054"/>
      <c r="G101" s="2524" t="s">
        <v>2305</v>
      </c>
      <c r="H101" s="1048">
        <f ca="1">H118</f>
        <v>65901</v>
      </c>
      <c r="I101" s="138"/>
    </row>
    <row r="102" spans="1:35" ht="18.75" customHeight="1">
      <c r="A102" s="3083" t="s">
        <v>2306</v>
      </c>
      <c r="B102" s="2524" t="s">
        <v>2305</v>
      </c>
      <c r="C102" s="736">
        <f ca="1">C19</f>
        <v>77926</v>
      </c>
      <c r="D102" s="737">
        <f ca="1">D19</f>
        <v>47863</v>
      </c>
      <c r="E102" s="3053"/>
      <c r="F102" s="3054"/>
      <c r="G102" s="2524" t="s">
        <v>2307</v>
      </c>
      <c r="H102" s="371">
        <f ca="1">I118</f>
        <v>7389</v>
      </c>
      <c r="I102" s="138"/>
    </row>
    <row r="103" spans="1:35" ht="42.75" customHeight="1">
      <c r="A103" s="3083"/>
      <c r="B103" s="2524" t="s">
        <v>2307</v>
      </c>
      <c r="C103" s="738">
        <f ca="1">C20</f>
        <v>8737</v>
      </c>
      <c r="D103" s="739">
        <f ca="1">D20</f>
        <v>5367</v>
      </c>
      <c r="E103" s="3047" t="s">
        <v>2308</v>
      </c>
      <c r="F103" s="3048"/>
      <c r="G103" s="2525" t="s">
        <v>2309</v>
      </c>
      <c r="H103" s="1048">
        <f>IF(D36="正常操作",H104+H105+H106,H105+H106)</f>
        <v>0</v>
      </c>
      <c r="I103" s="138"/>
    </row>
    <row r="104" spans="1:35" ht="18.75" customHeight="1">
      <c r="A104" s="3083" t="s">
        <v>2310</v>
      </c>
      <c r="B104" s="2526" t="s">
        <v>2305</v>
      </c>
      <c r="C104" s="740">
        <f ca="1">H118</f>
        <v>65901</v>
      </c>
      <c r="D104" s="741"/>
      <c r="E104" s="2270" t="s">
        <v>2311</v>
      </c>
      <c r="F104" s="2262"/>
      <c r="G104" s="2525" t="s">
        <v>2309</v>
      </c>
      <c r="H104" s="1049">
        <f>IF(D36="同一抵押权人同一抵押物续贷",C36&amp;"（未扣减，详见特别提示）",C36)</f>
        <v>0</v>
      </c>
      <c r="I104" s="138"/>
    </row>
    <row r="105" spans="1:35" ht="18.75" customHeight="1" thickBot="1">
      <c r="A105" s="3095"/>
      <c r="B105" s="2527" t="s">
        <v>2307</v>
      </c>
      <c r="C105" s="742">
        <f ca="1">I118</f>
        <v>7389</v>
      </c>
      <c r="D105" s="743"/>
      <c r="E105" s="2270" t="s">
        <v>2312</v>
      </c>
      <c r="F105" s="2262"/>
      <c r="G105" s="2525" t="s">
        <v>2309</v>
      </c>
      <c r="H105" s="1049">
        <f>C37</f>
        <v>0</v>
      </c>
      <c r="I105" s="138"/>
    </row>
    <row r="106" spans="1:35" ht="18.75" customHeight="1">
      <c r="A106" s="2422" t="s">
        <v>2313</v>
      </c>
      <c r="B106" s="2422"/>
      <c r="C106" s="2422"/>
      <c r="D106" s="2422"/>
      <c r="E106" s="2528" t="s">
        <v>2314</v>
      </c>
      <c r="F106" s="2262"/>
      <c r="G106" s="2525" t="s">
        <v>2309</v>
      </c>
      <c r="H106" s="1049">
        <f>C38</f>
        <v>0</v>
      </c>
      <c r="I106" s="138"/>
    </row>
    <row r="107" spans="1:35" ht="18.75" customHeight="1">
      <c r="A107" s="138"/>
      <c r="B107" s="138"/>
      <c r="C107" s="138"/>
      <c r="D107" s="138"/>
      <c r="E107" s="3084" t="str">
        <f>IF(项目基本情况!E8="已注销","——","3.房地产抵押价值")</f>
        <v>3.房地产抵押价值</v>
      </c>
      <c r="F107" s="3054"/>
      <c r="G107" s="2524" t="s">
        <v>2305</v>
      </c>
      <c r="H107" s="1048">
        <f ca="1">IF(E107="——","——",H101-H103)</f>
        <v>65901</v>
      </c>
      <c r="I107" s="138"/>
    </row>
    <row r="108" spans="1:35" ht="18.75" customHeight="1">
      <c r="A108" s="138"/>
      <c r="B108" s="138"/>
      <c r="C108" s="138"/>
      <c r="D108" s="138"/>
      <c r="E108" s="3084"/>
      <c r="F108" s="3054"/>
      <c r="G108" s="2524" t="s">
        <v>2307</v>
      </c>
      <c r="H108" s="371">
        <f ca="1">ROUND(H107*10000/'数据-汇总表'!E3,0)</f>
        <v>7389</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v>
      </c>
      <c r="F109" s="3054"/>
      <c r="G109" s="2524" t="s">
        <v>2305</v>
      </c>
      <c r="H109" s="348" t="str">
        <f>IF(E109="——","——",H101-H105-H106)</f>
        <v>——</v>
      </c>
      <c r="I109" s="138"/>
    </row>
    <row r="110" spans="1:35" ht="18.75" customHeight="1">
      <c r="A110" s="138"/>
      <c r="B110" s="138"/>
      <c r="C110" s="138"/>
      <c r="D110" s="138"/>
      <c r="E110" s="3084"/>
      <c r="F110" s="3054"/>
      <c r="G110" s="2524" t="s">
        <v>2307</v>
      </c>
      <c r="H110" s="371" t="str">
        <f>IF(H109="——","——",ROUND(H109*10000/'数据-汇总表'!E3,0))</f>
        <v>——</v>
      </c>
      <c r="I110" s="138"/>
    </row>
    <row r="111" spans="1:35" ht="18.75" customHeight="1">
      <c r="A111" s="138"/>
      <c r="B111" s="138"/>
      <c r="C111" s="138"/>
      <c r="D111" s="138"/>
      <c r="E111" s="3085" t="str">
        <f>IF(项目基本情况!E9="抵押净值",IF(OR(项目基本情况!E8="已注销",项目基本情况!E8="房地产抵押价值"),"4.抵押净值","5.抵押净值"),"——")</f>
        <v>——</v>
      </c>
      <c r="F111" s="3086"/>
      <c r="G111" s="2524" t="s">
        <v>2305</v>
      </c>
      <c r="H111" s="1048" t="str">
        <f>IF(E111="——","——",N59)</f>
        <v>——</v>
      </c>
      <c r="I111" s="138"/>
    </row>
    <row r="112" spans="1:35" ht="18.75" customHeight="1" thickBot="1">
      <c r="A112" s="138"/>
      <c r="B112" s="138"/>
      <c r="C112" s="138"/>
      <c r="D112" s="138"/>
      <c r="E112" s="3087"/>
      <c r="F112" s="3088"/>
      <c r="G112" s="2529" t="s">
        <v>2307</v>
      </c>
      <c r="H112" s="790" t="str">
        <f>IF(E111="——","——",N61)</f>
        <v>——</v>
      </c>
      <c r="I112" s="138"/>
    </row>
    <row r="113" spans="1:11" ht="18.75" customHeight="1">
      <c r="A113" s="138"/>
      <c r="B113" s="138"/>
      <c r="C113" s="138"/>
      <c r="D113" s="138"/>
      <c r="E113" s="3096" t="s">
        <v>2313</v>
      </c>
      <c r="F113" s="3096"/>
      <c r="G113" s="3096"/>
      <c r="H113" s="3096"/>
      <c r="I113" s="138"/>
    </row>
    <row r="114" spans="1:11" ht="3.75" customHeight="1">
      <c r="A114" s="2422"/>
      <c r="B114" s="2422"/>
      <c r="C114" s="2422"/>
      <c r="D114" s="2422"/>
      <c r="E114" s="2500"/>
      <c r="F114" s="2500"/>
      <c r="G114" s="2500"/>
      <c r="H114" s="2500"/>
      <c r="I114" s="2422"/>
    </row>
    <row r="115" spans="1:11" ht="18.75" customHeight="1">
      <c r="A115" s="3109" t="s">
        <v>2315</v>
      </c>
      <c r="B115" s="3110"/>
      <c r="C115" s="3110"/>
      <c r="D115" s="3110"/>
      <c r="E115" s="3110"/>
      <c r="F115" s="3110"/>
      <c r="G115" s="3110"/>
      <c r="H115" s="3110"/>
      <c r="I115" s="3111"/>
    </row>
    <row r="116" spans="1:11" ht="27" customHeight="1">
      <c r="A116" s="3020" t="s">
        <v>2316</v>
      </c>
      <c r="B116" s="3063" t="s">
        <v>2317</v>
      </c>
      <c r="C116" s="3063" t="s">
        <v>2318</v>
      </c>
      <c r="D116" s="3069" t="s">
        <v>2319</v>
      </c>
      <c r="E116" s="3070"/>
      <c r="F116" s="3105" t="s">
        <v>2320</v>
      </c>
      <c r="G116" s="3105"/>
      <c r="H116" s="3020" t="s">
        <v>2321</v>
      </c>
      <c r="I116" s="3020"/>
    </row>
    <row r="117" spans="1:11" ht="18.75" customHeight="1">
      <c r="A117" s="3020"/>
      <c r="B117" s="3064"/>
      <c r="C117" s="3064"/>
      <c r="D117" s="1798" t="s">
        <v>2322</v>
      </c>
      <c r="E117" s="1798" t="s">
        <v>2323</v>
      </c>
      <c r="F117" s="1798" t="s">
        <v>2322</v>
      </c>
      <c r="G117" s="1798" t="s">
        <v>2324</v>
      </c>
      <c r="H117" s="1798" t="s">
        <v>2322</v>
      </c>
      <c r="I117" s="1798" t="s">
        <v>2324</v>
      </c>
    </row>
    <row r="118" spans="1:11" ht="24.75" customHeight="1">
      <c r="A118" s="2530" t="str">
        <f>项目基本情况!S2</f>
        <v>出让国有建设用地使用权及在建建筑物房地产</v>
      </c>
      <c r="B118" s="1798">
        <f>M18</f>
        <v>89187.31</v>
      </c>
      <c r="C118" s="1798">
        <f>M19</f>
        <v>29092.1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65901</v>
      </c>
      <c r="I118" s="1798">
        <f ca="1">ROUND(IF(D32="楼面单价",C32,H118*10000/B118),0)</f>
        <v>7389</v>
      </c>
    </row>
    <row r="119" spans="1:11" ht="18.75" customHeight="1">
      <c r="A119" s="3020" t="s">
        <v>2325</v>
      </c>
      <c r="B119" s="3020"/>
      <c r="C119" s="3020"/>
      <c r="D119" s="3065" t="e">
        <f ca="1">NUMBERSTRING(INT(D118*10000),2)&amp;"元整"</f>
        <v>#REF!</v>
      </c>
      <c r="E119" s="3066"/>
      <c r="F119" s="3065" t="e">
        <f ca="1">NUMBERSTRING(INT(F118*10000),2)&amp;"元整"</f>
        <v>#REF!</v>
      </c>
      <c r="G119" s="3066"/>
      <c r="H119" s="3065" t="str">
        <f ca="1">NUMBERSTRING(INT(H118*10000),2)&amp;"元整"</f>
        <v>陆亿伍仟玖佰零壹万元整</v>
      </c>
      <c r="I119" s="3066"/>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2427" t="str">
        <f>IF(D120=0,"故，本次评估不存在"&amp;A120,"故，本次评估"&amp;A120&amp;"为人民币"&amp;D120&amp;"万元整。")</f>
        <v>故，本次评估不存在估价师知悉的法定优先受偿款</v>
      </c>
    </row>
    <row r="121" spans="1:11" ht="18.75" customHeight="1">
      <c r="A121" s="3106" t="s">
        <v>2325</v>
      </c>
      <c r="B121" s="3107"/>
      <c r="C121" s="3108"/>
      <c r="D121" s="3065" t="str">
        <f>IF(D120=0,"零元整",NUMBERSTRING(INT(D120*10000),2)&amp;"元整")</f>
        <v>零元整</v>
      </c>
      <c r="E121" s="3067"/>
      <c r="F121" s="3067"/>
      <c r="G121" s="3067"/>
      <c r="H121" s="3067"/>
      <c r="I121" s="3066"/>
    </row>
    <row r="122" spans="1:11" ht="18.75" customHeight="1">
      <c r="A122" s="3071" t="str">
        <f>IF(项目基本情况!B9="房地产市场价值","",MID(E107,3,LEN(E107)-2))</f>
        <v>房地产抵押价值</v>
      </c>
      <c r="B122" s="3071"/>
      <c r="C122" s="3071"/>
      <c r="D122" s="3060">
        <f ca="1">H107</f>
        <v>65901</v>
      </c>
      <c r="E122" s="3061"/>
      <c r="F122" s="3061"/>
      <c r="G122" s="3061"/>
      <c r="H122" s="3061"/>
      <c r="I122" s="3062"/>
    </row>
    <row r="123" spans="1:11" ht="18.75" customHeight="1">
      <c r="A123" s="3020" t="s">
        <v>2325</v>
      </c>
      <c r="B123" s="3020"/>
      <c r="C123" s="3020"/>
      <c r="D123" s="3065" t="str">
        <f ca="1">NUMBERSTRING(INT(D122*10000),2)&amp;"元整"</f>
        <v>陆亿伍仟玖佰零壹万元整</v>
      </c>
      <c r="E123" s="3067"/>
      <c r="F123" s="3067"/>
      <c r="G123" s="3067"/>
      <c r="H123" s="3067"/>
      <c r="I123" s="3066"/>
    </row>
    <row r="124" spans="1:11" ht="18.75" customHeight="1">
      <c r="A124" s="3071" t="str">
        <f>IF(项目基本情况!B9="房地产市场价值","",MID(E109,3,LEN(E109)-2))</f>
        <v/>
      </c>
      <c r="B124" s="3071"/>
      <c r="C124" s="3071"/>
      <c r="D124" s="3060" t="str">
        <f>H109</f>
        <v>——</v>
      </c>
      <c r="E124" s="3061"/>
      <c r="F124" s="3061"/>
      <c r="G124" s="3061"/>
      <c r="H124" s="3061"/>
      <c r="I124" s="3062"/>
    </row>
    <row r="125" spans="1:11" ht="18.75" customHeight="1">
      <c r="A125" s="3020" t="s">
        <v>2325</v>
      </c>
      <c r="B125" s="3020"/>
      <c r="C125" s="3020"/>
      <c r="D125" s="3065" t="e">
        <f>NUMBERSTRING(INT(D124*10000),2)&amp;"元整"</f>
        <v>#VALUE!</v>
      </c>
      <c r="E125" s="3067"/>
      <c r="F125" s="3067"/>
      <c r="G125" s="3067"/>
      <c r="H125" s="3067"/>
      <c r="I125" s="3066"/>
    </row>
    <row r="126" spans="1:11" ht="18.75" customHeight="1">
      <c r="A126" s="3071" t="str">
        <f>IF(项目基本情况!B9="房地产市场价值","",MID(E111,3,LEN(E111)-2))</f>
        <v/>
      </c>
      <c r="B126" s="3071"/>
      <c r="C126" s="3071"/>
      <c r="D126" s="3060" t="str">
        <f>H111</f>
        <v>——</v>
      </c>
      <c r="E126" s="3061"/>
      <c r="F126" s="3061"/>
      <c r="G126" s="3061"/>
      <c r="H126" s="3061"/>
      <c r="I126" s="3062"/>
    </row>
    <row r="127" spans="1:11" ht="18.75" customHeight="1">
      <c r="A127" s="3020" t="s">
        <v>2325</v>
      </c>
      <c r="B127" s="3020"/>
      <c r="C127" s="3020"/>
      <c r="D127" s="3065" t="e">
        <f>NUMBERSTRING(INT(D126*10000),2)&amp;"元整"</f>
        <v>#VALUE!</v>
      </c>
      <c r="E127" s="3067"/>
      <c r="F127" s="3067"/>
      <c r="G127" s="3067"/>
      <c r="H127" s="3067"/>
      <c r="I127" s="3066"/>
    </row>
    <row r="128" spans="1:11" ht="21.75" customHeight="1">
      <c r="A128" s="3068" t="s">
        <v>2326</v>
      </c>
      <c r="B128" s="3068"/>
      <c r="C128" s="3068"/>
      <c r="D128" s="3068"/>
      <c r="E128" s="3068"/>
      <c r="F128" s="3068"/>
      <c r="G128" s="3068"/>
      <c r="H128" s="3068"/>
      <c r="I128" s="3068"/>
    </row>
    <row r="129" spans="1:35" ht="21.75" customHeight="1">
      <c r="A129" s="2531" t="s">
        <v>2327</v>
      </c>
      <c r="B129" s="2532"/>
      <c r="C129" s="2533" t="s">
        <v>2328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2329</v>
      </c>
      <c r="G135" s="2548"/>
      <c r="H135" s="2548"/>
      <c r="I135" s="2549" t="s">
        <v>2330</v>
      </c>
    </row>
    <row r="136" spans="1:35" ht="21.75" customHeight="1">
      <c r="A136" s="795"/>
      <c r="B136" s="2550" t="s">
        <v>2331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2332</v>
      </c>
    </row>
    <row r="139" spans="1:35" ht="21.75" customHeight="1">
      <c r="A139" s="795"/>
      <c r="B139" s="2550" t="s">
        <v>2333</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2332</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2334</v>
      </c>
      <c r="B1" s="1940"/>
      <c r="C1" s="242"/>
      <c r="D1" s="242"/>
      <c r="E1" s="242"/>
      <c r="F1" s="242"/>
      <c r="G1" s="1382">
        <f>MATCH(B1,'数据-取费表'!A6:A16,0)+5</f>
        <v>9</v>
      </c>
    </row>
    <row r="2" spans="1:9" s="244" customFormat="1" ht="18" customHeight="1">
      <c r="A2" s="245" t="s">
        <v>2335</v>
      </c>
      <c r="B2" s="246">
        <f ca="1">IF(D2="——",C52,C52-E2)</f>
        <v>77926</v>
      </c>
      <c r="C2" s="243" t="s">
        <v>2336</v>
      </c>
      <c r="D2" s="2553" t="s">
        <v>70</v>
      </c>
      <c r="E2" s="1443" t="e">
        <f ca="1">SUMIF(INDIRECT("'"&amp;G2&amp;"'"&amp;"!A:A"),"承租人权益价值",INDIRECT("'"&amp;G2&amp;"'"&amp;"!c:c"))</f>
        <v>#REF!</v>
      </c>
      <c r="F2" s="2554" t="s">
        <v>2336</v>
      </c>
      <c r="G2" s="2555"/>
    </row>
    <row r="3" spans="1:9" s="244" customFormat="1" ht="18" customHeight="1" thickBot="1">
      <c r="A3" s="247" t="s">
        <v>2337</v>
      </c>
      <c r="B3" s="248">
        <f ca="1">ROUND(B2*10000/(IF(B1="",'数据-汇总表'!E3,INDIRECT("'数据-取费表'!k"&amp;$G$1))),0)</f>
        <v>8737</v>
      </c>
      <c r="C3" s="243" t="s">
        <v>2338</v>
      </c>
      <c r="D3" s="243"/>
      <c r="E3" s="243"/>
      <c r="F3" s="243"/>
      <c r="G3" s="243"/>
    </row>
    <row r="4" spans="1:9" s="252" customFormat="1" ht="15.75">
      <c r="A4" s="249" t="s">
        <v>2339</v>
      </c>
      <c r="B4" s="250"/>
      <c r="C4" s="250"/>
      <c r="D4" s="250"/>
      <c r="E4" s="250"/>
      <c r="F4" s="250"/>
      <c r="G4" s="251"/>
    </row>
    <row r="5" spans="1:9" s="258" customFormat="1" ht="13.5" customHeight="1">
      <c r="A5" s="299" t="s">
        <v>2340</v>
      </c>
      <c r="B5" s="254" t="s">
        <v>2341</v>
      </c>
      <c r="C5" s="255">
        <f>C6+C7+C8</f>
        <v>56651</v>
      </c>
      <c r="D5" s="255" t="s">
        <v>2342</v>
      </c>
      <c r="E5" s="256" t="s">
        <v>2343</v>
      </c>
      <c r="F5" s="256" t="s">
        <v>2344</v>
      </c>
      <c r="G5" s="257"/>
    </row>
    <row r="6" spans="1:9" s="258" customFormat="1" ht="13.5" customHeight="1">
      <c r="A6" s="952" t="s">
        <v>2345</v>
      </c>
      <c r="B6" s="259" t="s">
        <v>2346</v>
      </c>
      <c r="C6" s="260">
        <f>ROUND(11000*'数据-汇总表'!F27/10000,0)</f>
        <v>54974</v>
      </c>
      <c r="D6" s="261"/>
      <c r="E6" s="262"/>
      <c r="F6" s="262"/>
      <c r="G6" s="263"/>
    </row>
    <row r="7" spans="1:9" s="258" customFormat="1" ht="13.5" customHeight="1">
      <c r="A7" s="952" t="s">
        <v>2347</v>
      </c>
      <c r="B7" s="259" t="s">
        <v>2348</v>
      </c>
      <c r="C7" s="264">
        <f>ROUND(C6*F7,0)</f>
        <v>1677</v>
      </c>
      <c r="D7" s="264"/>
      <c r="E7" s="262"/>
      <c r="F7" s="265">
        <f>'数据-取费表'!B48+'数据-取费表'!B49</f>
        <v>3.0499999999999999E-2</v>
      </c>
      <c r="G7" s="263"/>
    </row>
    <row r="8" spans="1:9" s="267" customFormat="1">
      <c r="A8" s="952" t="s">
        <v>2349</v>
      </c>
      <c r="B8" s="259" t="s">
        <v>2350</v>
      </c>
      <c r="C8" s="264">
        <f>IF(G8="已包含在土地购买价格中","0",IF(B1="",'数据-取费表'!B29,IF(G9="全部缴纳",C9+C10,H9)))</f>
        <v>0</v>
      </c>
      <c r="D8" s="266"/>
      <c r="E8" s="264"/>
      <c r="F8" s="265"/>
      <c r="G8" s="2556" t="s">
        <v>3264</v>
      </c>
    </row>
    <row r="9" spans="1:9" s="258" customFormat="1" ht="13.5" customHeight="1">
      <c r="A9" s="953" t="s">
        <v>800</v>
      </c>
      <c r="B9" s="268" t="s">
        <v>2351</v>
      </c>
      <c r="C9" s="269">
        <f ca="1">ROUND(D9*E9/10000,0)</f>
        <v>1000</v>
      </c>
      <c r="D9" s="1035">
        <f ca="1">IF(B1="",'数据-汇总表'!E5,IF(INDIRECT("'数据-取费表'!c"&amp;$G$1)="住宅",INDIRECT("'数据-取费表'!k"&amp;$G$1),0))</f>
        <v>49976.76</v>
      </c>
      <c r="E9" s="269">
        <f>'数据-取费表'!B27</f>
        <v>200</v>
      </c>
      <c r="F9" s="265"/>
      <c r="G9" s="2557"/>
      <c r="H9" s="1393"/>
      <c r="I9" s="2558" t="s">
        <v>2352</v>
      </c>
    </row>
    <row r="10" spans="1:9" s="258" customFormat="1" ht="13.5" customHeight="1">
      <c r="A10" s="953" t="s">
        <v>801</v>
      </c>
      <c r="B10" s="268" t="s">
        <v>2353</v>
      </c>
      <c r="C10" s="269">
        <f ca="1">ROUND(D10*E10/10000,0)</f>
        <v>784</v>
      </c>
      <c r="D10" s="1035">
        <f ca="1">IF(B1="",'数据-汇总表'!E6,IF(INDIRECT("'数据-取费表'!c"&amp;$G$1)="住宅",INDIRECT("'数据-取费表'!s"&amp;$G$1),INDIRECT("'数据-取费表'!k"&amp;$G$1)+INDIRECT("'数据-取费表'!s"&amp;$G$1)))</f>
        <v>39210.549999999996</v>
      </c>
      <c r="E10" s="269">
        <f>'数据-取费表'!B28</f>
        <v>200</v>
      </c>
      <c r="F10" s="265"/>
      <c r="G10" s="270"/>
    </row>
    <row r="11" spans="1:9" s="258" customFormat="1" ht="13.5" hidden="1" customHeight="1">
      <c r="A11" s="271" t="s">
        <v>7</v>
      </c>
      <c r="B11" s="259" t="s">
        <v>2354</v>
      </c>
      <c r="C11" s="255"/>
      <c r="D11" s="1037"/>
      <c r="E11" s="262"/>
      <c r="F11" s="262"/>
      <c r="G11" s="263"/>
    </row>
    <row r="12" spans="1:9" s="258" customFormat="1" ht="13.5" hidden="1" customHeight="1">
      <c r="A12" s="271" t="s">
        <v>8</v>
      </c>
      <c r="B12" s="259" t="s">
        <v>2355</v>
      </c>
      <c r="C12" s="255">
        <v>0</v>
      </c>
      <c r="D12" s="1037"/>
      <c r="E12" s="272"/>
      <c r="F12" s="265">
        <v>3.0499999999999999E-2</v>
      </c>
      <c r="G12" s="263"/>
    </row>
    <row r="13" spans="1:9" s="258" customFormat="1" ht="13.5" hidden="1" customHeight="1">
      <c r="A13" s="271" t="s">
        <v>9</v>
      </c>
      <c r="B13" s="259" t="s">
        <v>2356</v>
      </c>
      <c r="C13" s="255"/>
      <c r="D13" s="1037"/>
      <c r="E13" s="262"/>
      <c r="F13" s="262"/>
      <c r="G13" s="263"/>
    </row>
    <row r="14" spans="1:9" s="258" customFormat="1" ht="13.5" hidden="1" customHeight="1">
      <c r="A14" s="271" t="s">
        <v>10</v>
      </c>
      <c r="B14" s="259" t="s">
        <v>2357</v>
      </c>
      <c r="C14" s="255"/>
      <c r="D14" s="1037"/>
      <c r="E14" s="262"/>
      <c r="F14" s="262"/>
      <c r="G14" s="263" t="s">
        <v>2358</v>
      </c>
    </row>
    <row r="15" spans="1:9" s="258" customFormat="1" ht="13.5" hidden="1" customHeight="1">
      <c r="A15" s="271" t="s">
        <v>11</v>
      </c>
      <c r="B15" s="259" t="s">
        <v>2359</v>
      </c>
      <c r="C15" s="264"/>
      <c r="D15" s="1037"/>
      <c r="E15" s="262"/>
      <c r="F15" s="262"/>
      <c r="G15" s="263" t="s">
        <v>2360</v>
      </c>
    </row>
    <row r="16" spans="1:9" s="258" customFormat="1" ht="13.5" hidden="1" customHeight="1">
      <c r="A16" s="271" t="s">
        <v>12</v>
      </c>
      <c r="B16" s="259" t="s">
        <v>2357</v>
      </c>
      <c r="C16" s="264"/>
      <c r="D16" s="1037"/>
      <c r="E16" s="262"/>
      <c r="F16" s="262"/>
      <c r="G16" s="263"/>
    </row>
    <row r="17" spans="1:7" s="258" customFormat="1" ht="13.5" hidden="1" customHeight="1">
      <c r="A17" s="271" t="s">
        <v>13</v>
      </c>
      <c r="B17" s="259" t="s">
        <v>2361</v>
      </c>
      <c r="C17" s="273"/>
      <c r="D17" s="1038"/>
      <c r="E17" s="273"/>
      <c r="F17" s="273"/>
      <c r="G17" s="263" t="s">
        <v>2360</v>
      </c>
    </row>
    <row r="18" spans="1:7" s="258" customFormat="1" ht="13.5" hidden="1" customHeight="1">
      <c r="A18" s="271" t="s">
        <v>14</v>
      </c>
      <c r="B18" s="259" t="s">
        <v>2362</v>
      </c>
      <c r="C18" s="264">
        <v>0</v>
      </c>
      <c r="D18" s="1037"/>
      <c r="E18" s="262"/>
      <c r="F18" s="265">
        <v>3.0499999999999999E-2</v>
      </c>
      <c r="G18" s="263" t="s">
        <v>2363</v>
      </c>
    </row>
    <row r="19" spans="1:7" s="267" customFormat="1" ht="13.5" customHeight="1">
      <c r="A19" s="299" t="s">
        <v>2364</v>
      </c>
      <c r="B19" s="254" t="s">
        <v>2365</v>
      </c>
      <c r="C19" s="255">
        <f ca="1">IF(G19="已包含在土地取得成本中","0",ROUND(D19*E19/10000,0))</f>
        <v>1784</v>
      </c>
      <c r="D19" s="1039">
        <f ca="1">D9+D10</f>
        <v>89187.31</v>
      </c>
      <c r="E19" s="255">
        <f>'数据-取费表'!B31</f>
        <v>200</v>
      </c>
      <c r="F19" s="275"/>
      <c r="G19" s="2556"/>
    </row>
    <row r="20" spans="1:7" s="258" customFormat="1" ht="13.5" customHeight="1">
      <c r="A20" s="299" t="s">
        <v>2366</v>
      </c>
      <c r="B20" s="254" t="s">
        <v>2367</v>
      </c>
      <c r="C20" s="276">
        <f ca="1">ROUND((C5+C19)*F20,0)</f>
        <v>1169</v>
      </c>
      <c r="D20" s="276"/>
      <c r="E20" s="276"/>
      <c r="F20" s="277">
        <f>'数据-取费表'!B37</f>
        <v>0.02</v>
      </c>
      <c r="G20" s="278" t="s">
        <v>2368</v>
      </c>
    </row>
    <row r="21" spans="1:7" s="258" customFormat="1" ht="13.5" customHeight="1">
      <c r="A21" s="299" t="s">
        <v>2369</v>
      </c>
      <c r="B21" s="254" t="s">
        <v>2370</v>
      </c>
      <c r="C21" s="279">
        <f>F21</f>
        <v>0.02</v>
      </c>
      <c r="D21" s="280" t="s">
        <v>2371</v>
      </c>
      <c r="E21" s="276"/>
      <c r="F21" s="277">
        <f>'数据-取费表'!B38</f>
        <v>0.02</v>
      </c>
      <c r="G21" s="278" t="s">
        <v>2372</v>
      </c>
    </row>
    <row r="22" spans="1:7" s="258" customFormat="1" ht="13.5" customHeight="1">
      <c r="A22" s="299" t="s">
        <v>2373</v>
      </c>
      <c r="B22" s="254" t="s">
        <v>2374</v>
      </c>
      <c r="C22" s="1357">
        <f ca="1">ROUND(SUM(C23:C25),0)</f>
        <v>1904</v>
      </c>
      <c r="D22" s="279">
        <f ca="1">C26</f>
        <v>2.9999999999999997E-4</v>
      </c>
      <c r="E22" s="280" t="s">
        <v>2371</v>
      </c>
      <c r="F22" s="281">
        <f ca="1">'数据-取费表'!B40</f>
        <v>4.7500000000000001E-2</v>
      </c>
      <c r="G22" s="278" t="str">
        <f>IF('数据-取费表'!B22&lt;=1,"单利计息","复利计息")</f>
        <v>复利计息</v>
      </c>
    </row>
    <row r="23" spans="1:7" s="258" customFormat="1" ht="13.5" customHeight="1">
      <c r="A23" s="954" t="s">
        <v>2375</v>
      </c>
      <c r="B23" s="259" t="s">
        <v>2376</v>
      </c>
      <c r="C23" s="1358">
        <f ca="1">ROUND(IF('数据-取费表'!B22&lt;=1,C5*F22*'数据-取费表'!B23,C5*(POWER((1+F22),'数据-取费表'!B23)-1)),0)</f>
        <v>1827</v>
      </c>
      <c r="D23" s="282"/>
      <c r="E23" s="282"/>
      <c r="F23" s="283"/>
      <c r="G23" s="284" t="s">
        <v>2377</v>
      </c>
    </row>
    <row r="24" spans="1:7" s="258" customFormat="1" ht="13.5" customHeight="1">
      <c r="A24" s="954" t="s">
        <v>2378</v>
      </c>
      <c r="B24" s="259" t="s">
        <v>2379</v>
      </c>
      <c r="C24" s="1358">
        <f ca="1">ROUND(IF('数据-取费表'!B22&lt;=1,C19*F22*('数据-取费表'!B19/2+'数据-取费表'!B21),C19*(POWER((1+F22),('数据-取费表'!B19/2+'数据-取费表'!B21))-1)),0)</f>
        <v>58</v>
      </c>
      <c r="D24" s="282"/>
      <c r="E24" s="282"/>
      <c r="F24" s="283"/>
      <c r="G24" s="284" t="s">
        <v>2380</v>
      </c>
    </row>
    <row r="25" spans="1:7" s="258" customFormat="1" ht="24">
      <c r="A25" s="954" t="s">
        <v>2381</v>
      </c>
      <c r="B25" s="259" t="s">
        <v>2382</v>
      </c>
      <c r="C25" s="1358">
        <f ca="1">ROUND(IF('数据-取费表'!B22&lt;=1,C20*F22*'数据-取费表'!B23/2,C20*(POWER((1+F22),'数据-取费表'!B23/2)-1)),0)</f>
        <v>19</v>
      </c>
      <c r="D25" s="282"/>
      <c r="E25" s="285"/>
      <c r="F25" s="283"/>
      <c r="G25" s="286" t="s">
        <v>2383</v>
      </c>
    </row>
    <row r="26" spans="1:7" s="258" customFormat="1">
      <c r="A26" s="954" t="s">
        <v>795</v>
      </c>
      <c r="B26" s="259" t="s">
        <v>2384</v>
      </c>
      <c r="C26" s="282">
        <f ca="1">ROUND(IF('数据-取费表'!B22&lt;=1,F21*F22*'数据-取费表'!B23/2,F21*(POWER((1+F22),'数据-取费表'!B23/2)-1)),4)</f>
        <v>2.9999999999999997E-4</v>
      </c>
      <c r="D26" s="282"/>
      <c r="E26" s="285"/>
      <c r="F26" s="283"/>
      <c r="G26" s="287"/>
    </row>
    <row r="27" spans="1:7" s="258" customFormat="1" ht="24.75">
      <c r="A27" s="299" t="s">
        <v>2385</v>
      </c>
      <c r="B27" s="288" t="s">
        <v>2386</v>
      </c>
      <c r="C27" s="289">
        <f ca="1">C28</f>
        <v>1631</v>
      </c>
      <c r="D27" s="279">
        <f ca="1">C29</f>
        <v>5.0000000000000001E-4</v>
      </c>
      <c r="E27" s="280" t="s">
        <v>2387</v>
      </c>
      <c r="F27" s="290">
        <f ca="1">IF(B1="",'数据-取费表'!Q16,INDIRECT("'数据-取费表'!q"&amp;$G$1))</f>
        <v>0.08</v>
      </c>
      <c r="G27" s="291" t="s">
        <v>2388</v>
      </c>
    </row>
    <row r="28" spans="1:7" s="258" customFormat="1" ht="13.5" customHeight="1">
      <c r="A28" s="954" t="s">
        <v>791</v>
      </c>
      <c r="B28" s="292" t="s">
        <v>2389</v>
      </c>
      <c r="C28" s="293">
        <f ca="1">ROUND((C5+C19+C20)*F27*'数据-取费表'!B21/'数据-取费表'!B20,0)</f>
        <v>1631</v>
      </c>
      <c r="D28" s="279"/>
      <c r="E28" s="280"/>
      <c r="F28" s="290"/>
      <c r="G28" s="291"/>
    </row>
    <row r="29" spans="1:7" s="258" customFormat="1" ht="13.5" customHeight="1">
      <c r="A29" s="954" t="s">
        <v>792</v>
      </c>
      <c r="B29" s="292" t="s">
        <v>2390</v>
      </c>
      <c r="C29" s="282">
        <f ca="1">ROUND(C21*F27*'数据-取费表'!B21/'数据-取费表'!B20,4)</f>
        <v>5.0000000000000001E-4</v>
      </c>
      <c r="D29" s="279"/>
      <c r="E29" s="280"/>
      <c r="F29" s="290"/>
      <c r="G29" s="291"/>
    </row>
    <row r="30" spans="1:7" s="258" customFormat="1" ht="13.5" customHeight="1">
      <c r="A30" s="299" t="s">
        <v>2391</v>
      </c>
      <c r="B30" s="254" t="s">
        <v>2392</v>
      </c>
      <c r="C30" s="279">
        <f>ROUND(F30/(1+'数据-取费表'!C42),4)</f>
        <v>5.33E-2</v>
      </c>
      <c r="D30" s="280" t="s">
        <v>2387</v>
      </c>
      <c r="E30" s="285"/>
      <c r="F30" s="281">
        <f>'数据-取费表'!B41</f>
        <v>5.6000000000000001E-2</v>
      </c>
      <c r="G30" s="278" t="s">
        <v>2393</v>
      </c>
    </row>
    <row r="31" spans="1:7" ht="16.5" customHeight="1">
      <c r="A31" s="253">
        <v>1</v>
      </c>
      <c r="B31" s="254" t="s">
        <v>2394</v>
      </c>
      <c r="C31" s="255">
        <f ca="1">ROUND((C5+C19+C20+C22+C27)/(1-C21-D22-D27-C30),0)</f>
        <v>68192</v>
      </c>
      <c r="D31" s="274"/>
      <c r="E31" s="255"/>
      <c r="F31" s="294"/>
      <c r="G31" s="278" t="s">
        <v>2395</v>
      </c>
    </row>
    <row r="32" spans="1:7" s="252" customFormat="1" ht="15.75">
      <c r="A32" s="296" t="s">
        <v>2396</v>
      </c>
      <c r="B32" s="297"/>
      <c r="C32" s="297"/>
      <c r="D32" s="297"/>
      <c r="E32" s="297"/>
      <c r="F32" s="297"/>
      <c r="G32" s="298"/>
    </row>
    <row r="33" spans="1:7" s="258" customFormat="1" ht="13.5" customHeight="1">
      <c r="A33" s="299" t="s">
        <v>782</v>
      </c>
      <c r="B33" s="254" t="s">
        <v>2397</v>
      </c>
      <c r="C33" s="300">
        <f ca="1">SUM(C34:C38)</f>
        <v>8052</v>
      </c>
      <c r="D33" s="276"/>
      <c r="E33" s="256"/>
      <c r="F33" s="285"/>
      <c r="G33" s="278"/>
    </row>
    <row r="34" spans="1:7" s="302" customFormat="1" ht="13.5" customHeight="1">
      <c r="A34" s="954" t="s">
        <v>791</v>
      </c>
      <c r="B34" s="259" t="s">
        <v>2398</v>
      </c>
      <c r="C34" s="264">
        <f ca="1">IF(B1="",IF(F34=100%,'数据-取费表'!M16,'数据-取费表'!O16),IF(F34=100%,INDIRECT("'数据-取费表'!m"&amp;$G$1)+INDIRECT("'数据-取费表'!t"&amp;$G$1),INDIRECT("'数据-取费表'!o"&amp;$G$1)+INDIRECT("'数据-取费表'!aq"&amp;$G$1)))</f>
        <v>7049</v>
      </c>
      <c r="D34" s="261"/>
      <c r="E34" s="264"/>
      <c r="F34" s="301">
        <f ca="1">IF('数据-取费表'!B24=0,1,IF(B1="",'数据-取费表'!N16,INDIRECT("'数据-取费表'!n"&amp;$G$1)))</f>
        <v>0.34200000000000003</v>
      </c>
      <c r="G34" s="263" t="s">
        <v>2399</v>
      </c>
    </row>
    <row r="35" spans="1:7" ht="13.5" customHeight="1">
      <c r="A35" s="954" t="s">
        <v>796</v>
      </c>
      <c r="B35" s="259" t="s">
        <v>2400</v>
      </c>
      <c r="C35" s="264">
        <f ca="1">ROUND(C34*F35,0)</f>
        <v>211</v>
      </c>
      <c r="D35" s="264"/>
      <c r="E35" s="264"/>
      <c r="F35" s="303">
        <f>'数据-取费表'!B33</f>
        <v>0.03</v>
      </c>
      <c r="G35" s="263" t="s">
        <v>2401</v>
      </c>
    </row>
    <row r="36" spans="1:7" ht="24">
      <c r="A36" s="954" t="s">
        <v>797</v>
      </c>
      <c r="B36" s="259" t="s">
        <v>2402</v>
      </c>
      <c r="C36" s="264">
        <f ca="1">ROUND(IF(B1="",SUMIF('数据-取费表'!C:C,"住宅",IF(F34=100%,'数据-取费表'!M:M,'数据-取费表'!O:O))*F36,IF(INDIRECT("'数据-取费表'!c"&amp;$G$1)="住宅",IF(F34=100%,INDIRECT("'数据-取费表'!m"&amp;$G$1)*F36,INDIRECT("'数据-取费表'!o"&amp;$G$1)*F36),0)),0)</f>
        <v>76</v>
      </c>
      <c r="D36" s="264"/>
      <c r="E36" s="264"/>
      <c r="F36" s="303">
        <f>'数据-取费表'!B34</f>
        <v>0.03</v>
      </c>
      <c r="G36" s="304" t="s">
        <v>2403</v>
      </c>
    </row>
    <row r="37" spans="1:7" s="302" customFormat="1" ht="13.5" customHeight="1">
      <c r="A37" s="954" t="s">
        <v>798</v>
      </c>
      <c r="B37" s="259" t="s">
        <v>2404</v>
      </c>
      <c r="C37" s="293">
        <f ca="1">ROUND(E37*D37*F34/10000,0)</f>
        <v>610</v>
      </c>
      <c r="D37" s="261">
        <f ca="1">D19</f>
        <v>89187.31</v>
      </c>
      <c r="E37" s="293">
        <f>'数据-取费表'!B35</f>
        <v>200</v>
      </c>
      <c r="F37" s="303"/>
      <c r="G37" s="305" t="s">
        <v>2405</v>
      </c>
    </row>
    <row r="38" spans="1:7" ht="13.5" customHeight="1">
      <c r="A38" s="954" t="s">
        <v>799</v>
      </c>
      <c r="B38" s="259" t="s">
        <v>2406</v>
      </c>
      <c r="C38" s="264">
        <f ca="1">ROUND(C34*F38,0)</f>
        <v>106</v>
      </c>
      <c r="D38" s="264"/>
      <c r="E38" s="264"/>
      <c r="F38" s="303">
        <f>'数据-取费表'!B36</f>
        <v>1.4999999999999999E-2</v>
      </c>
      <c r="G38" s="263" t="s">
        <v>2401</v>
      </c>
    </row>
    <row r="39" spans="1:7" s="258" customFormat="1" ht="13.5" customHeight="1">
      <c r="A39" s="299" t="s">
        <v>2407</v>
      </c>
      <c r="B39" s="254" t="s">
        <v>2408</v>
      </c>
      <c r="C39" s="276">
        <f ca="1">ROUND(C33*F20,0)</f>
        <v>161</v>
      </c>
      <c r="D39" s="276"/>
      <c r="E39" s="276"/>
      <c r="F39" s="277"/>
      <c r="G39" s="278" t="s">
        <v>2409</v>
      </c>
    </row>
    <row r="40" spans="1:7" s="258" customFormat="1" ht="13.5" customHeight="1">
      <c r="A40" s="299" t="s">
        <v>2410</v>
      </c>
      <c r="B40" s="254" t="s">
        <v>2411</v>
      </c>
      <c r="C40" s="1731">
        <f>F21</f>
        <v>0.02</v>
      </c>
      <c r="D40" s="280" t="s">
        <v>2412</v>
      </c>
      <c r="E40" s="276"/>
      <c r="F40" s="277"/>
      <c r="G40" s="278" t="s">
        <v>2413</v>
      </c>
    </row>
    <row r="41" spans="1:7" s="258" customFormat="1" ht="13.5" customHeight="1">
      <c r="A41" s="299" t="s">
        <v>2414</v>
      </c>
      <c r="B41" s="254" t="s">
        <v>2415</v>
      </c>
      <c r="C41" s="276">
        <f ca="1">ROUND(SUM(C42:C43),0)</f>
        <v>132</v>
      </c>
      <c r="D41" s="279">
        <f ca="1">C44</f>
        <v>2.9999999999999997E-4</v>
      </c>
      <c r="E41" s="280" t="s">
        <v>2412</v>
      </c>
      <c r="F41" s="281"/>
      <c r="G41" s="278" t="str">
        <f>IF('数据-取费表'!B22&lt;=1,"单利计息","复利计息")</f>
        <v>复利计息</v>
      </c>
    </row>
    <row r="42" spans="1:7" ht="13.5" customHeight="1">
      <c r="A42" s="954" t="s">
        <v>791</v>
      </c>
      <c r="B42" s="259" t="s">
        <v>2416</v>
      </c>
      <c r="C42" s="282">
        <f ca="1">ROUND(IF('数据-取费表'!B22&lt;=1,C33*F22*'数据-取费表'!B21/2,C33*(POWER((1+F22),'数据-取费表'!B21/2)-1)),0)</f>
        <v>129</v>
      </c>
      <c r="D42" s="282"/>
      <c r="E42" s="282"/>
      <c r="F42" s="283"/>
      <c r="G42" s="3144" t="s">
        <v>2417</v>
      </c>
    </row>
    <row r="43" spans="1:7" ht="13.5" customHeight="1">
      <c r="A43" s="954" t="s">
        <v>792</v>
      </c>
      <c r="B43" s="259" t="s">
        <v>2418</v>
      </c>
      <c r="C43" s="282">
        <f ca="1">ROUND(IF('数据-取费表'!B22&lt;=1,C39*F22*'数据-取费表'!B21/2,C39*(POWER((1+F22),'数据-取费表'!B21/2)-1)),0)</f>
        <v>3</v>
      </c>
      <c r="D43" s="282"/>
      <c r="E43" s="282"/>
      <c r="F43" s="283"/>
      <c r="G43" s="3145"/>
    </row>
    <row r="44" spans="1:7" ht="13.5" customHeight="1">
      <c r="A44" s="954" t="s">
        <v>793</v>
      </c>
      <c r="B44" s="259" t="s">
        <v>2419</v>
      </c>
      <c r="C44" s="282">
        <f ca="1">ROUND(IF('数据-取费表'!B22&lt;=1,C40*F22*'数据-取费表'!B21/2,C40*(POWER((1+F22),'数据-取费表'!B21/2)-1)),4)</f>
        <v>2.9999999999999997E-4</v>
      </c>
      <c r="D44" s="282"/>
      <c r="E44" s="282"/>
      <c r="F44" s="283"/>
      <c r="G44" s="3146"/>
    </row>
    <row r="45" spans="1:7" s="258" customFormat="1" ht="13.5" customHeight="1">
      <c r="A45" s="299" t="s">
        <v>2420</v>
      </c>
      <c r="B45" s="288" t="s">
        <v>2386</v>
      </c>
      <c r="C45" s="289">
        <f ca="1">C46</f>
        <v>657</v>
      </c>
      <c r="D45" s="279">
        <f ca="1">C47</f>
        <v>1.6000000000000001E-3</v>
      </c>
      <c r="E45" s="280" t="s">
        <v>2412</v>
      </c>
      <c r="F45" s="290"/>
      <c r="G45" s="291" t="s">
        <v>2421</v>
      </c>
    </row>
    <row r="46" spans="1:7" s="258" customFormat="1" ht="13.5" customHeight="1">
      <c r="A46" s="954" t="s">
        <v>791</v>
      </c>
      <c r="B46" s="292" t="s">
        <v>2422</v>
      </c>
      <c r="C46" s="293">
        <f ca="1">ROUND((C33+C39)*F27,0)</f>
        <v>657</v>
      </c>
      <c r="D46" s="307"/>
      <c r="E46" s="280"/>
      <c r="F46" s="290"/>
      <c r="G46" s="291"/>
    </row>
    <row r="47" spans="1:7" s="258" customFormat="1" ht="13.5" customHeight="1">
      <c r="A47" s="954" t="s">
        <v>792</v>
      </c>
      <c r="B47" s="292" t="s">
        <v>2423</v>
      </c>
      <c r="C47" s="282">
        <f ca="1">ROUND(C40*F27,4)</f>
        <v>1.6000000000000001E-3</v>
      </c>
      <c r="D47" s="307"/>
      <c r="E47" s="280"/>
      <c r="F47" s="290"/>
      <c r="G47" s="291"/>
    </row>
    <row r="48" spans="1:7" s="258" customFormat="1" ht="13.5" customHeight="1">
      <c r="A48" s="299" t="s">
        <v>2385</v>
      </c>
      <c r="B48" s="254" t="s">
        <v>2424</v>
      </c>
      <c r="C48" s="1731">
        <f>ROUND(F30/(1+'数据-取费表'!C42),4)</f>
        <v>5.33E-2</v>
      </c>
      <c r="D48" s="280" t="s">
        <v>2412</v>
      </c>
      <c r="E48" s="276"/>
      <c r="F48" s="281"/>
      <c r="G48" s="278" t="s">
        <v>2425</v>
      </c>
    </row>
    <row r="49" spans="1:7" ht="16.5" customHeight="1">
      <c r="A49" s="299" t="s">
        <v>2391</v>
      </c>
      <c r="B49" s="254" t="s">
        <v>2426</v>
      </c>
      <c r="C49" s="276">
        <f ca="1">ROUND((C33+C39+C41+C45)/(1-C40-D41-D45-C48),0)</f>
        <v>9734</v>
      </c>
      <c r="D49" s="276"/>
      <c r="E49" s="276"/>
      <c r="F49" s="308"/>
      <c r="G49" s="278" t="s">
        <v>2427</v>
      </c>
    </row>
    <row r="50" spans="1:7" s="302" customFormat="1" ht="24">
      <c r="A50" s="299" t="s">
        <v>2428</v>
      </c>
      <c r="B50" s="254" t="s">
        <v>2429</v>
      </c>
      <c r="C50" s="276"/>
      <c r="D50" s="276"/>
      <c r="E50" s="276"/>
      <c r="F50" s="308">
        <f>IF('数据-取费表'!B24=0,'数据-取费表'!N16,1)</f>
        <v>1</v>
      </c>
      <c r="G50" s="291" t="s">
        <v>2430</v>
      </c>
    </row>
    <row r="51" spans="1:7" ht="16.5" customHeight="1">
      <c r="A51" s="299" t="s">
        <v>2431</v>
      </c>
      <c r="B51" s="254" t="s">
        <v>2432</v>
      </c>
      <c r="C51" s="276">
        <f ca="1">ROUND(C49*F50,0)</f>
        <v>9734</v>
      </c>
      <c r="D51" s="276"/>
      <c r="E51" s="276"/>
      <c r="F51" s="308"/>
      <c r="G51" s="278" t="s">
        <v>2433</v>
      </c>
    </row>
    <row r="52" spans="1:7" s="252" customFormat="1" ht="16.5" thickBot="1">
      <c r="A52" s="309" t="s">
        <v>2434</v>
      </c>
      <c r="B52" s="310"/>
      <c r="C52" s="311">
        <f ca="1">C31+C51</f>
        <v>77926</v>
      </c>
      <c r="D52" s="310"/>
      <c r="E52" s="310"/>
      <c r="F52" s="310"/>
      <c r="G52" s="312"/>
    </row>
    <row r="55" spans="1:7" ht="15">
      <c r="B55" s="314" t="s">
        <v>2435</v>
      </c>
      <c r="C55" s="315"/>
    </row>
    <row r="56" spans="1:7">
      <c r="B56" s="317" t="s">
        <v>1514</v>
      </c>
      <c r="C56" s="319">
        <f ca="1">1-C57</f>
        <v>0.875</v>
      </c>
    </row>
    <row r="57" spans="1:7">
      <c r="B57" s="317" t="s">
        <v>1515</v>
      </c>
      <c r="C57" s="318">
        <f ca="1">ROUND(C51/C52,3)</f>
        <v>0.125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4" t="str">
        <f>项目基本情况!B1</f>
        <v>出让国有建设用地使用权及在建建筑物房地产抵押价值预评估</v>
      </c>
      <c r="C37" s="2954"/>
      <c r="D37" s="2954"/>
      <c r="E37" s="2954"/>
      <c r="F37" s="2954"/>
      <c r="G37" s="2954"/>
      <c r="H37" s="2954"/>
      <c r="I37" s="2954"/>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2334</v>
      </c>
      <c r="B1" s="1940"/>
      <c r="C1" s="2559" t="s">
        <v>2436</v>
      </c>
      <c r="D1" s="242"/>
      <c r="E1" s="242"/>
      <c r="F1" s="242"/>
      <c r="G1" s="1382">
        <f>MATCH(B1,'数据-取费表'!A6:A16,0)+5</f>
        <v>9</v>
      </c>
      <c r="H1" s="1285" t="str">
        <f>IF(ISERROR(FIND("住宅",B1)),"非住宅","住宅")</f>
        <v>非住宅</v>
      </c>
    </row>
    <row r="2" spans="1:8" s="244" customFormat="1" ht="18" customHeight="1">
      <c r="A2" s="245" t="s">
        <v>2335</v>
      </c>
      <c r="B2" s="246">
        <f ca="1">ROUND(IF(D2="——",C52/10000,C52/10000-E2),0)</f>
        <v>34159</v>
      </c>
      <c r="C2" s="243" t="s">
        <v>2336</v>
      </c>
      <c r="D2" s="2553" t="s">
        <v>70</v>
      </c>
      <c r="E2" s="1443" t="e">
        <f ca="1">SUMIF(INDIRECT("'"&amp;G2&amp;"'"&amp;"!A:A"),"承租人权益价值",INDIRECT("'"&amp;G2&amp;"'"&amp;"!c:c"))</f>
        <v>#REF!</v>
      </c>
      <c r="F2" s="2554" t="s">
        <v>2336</v>
      </c>
      <c r="G2" s="2555"/>
    </row>
    <row r="3" spans="1:8" s="244" customFormat="1" ht="18" customHeight="1" thickBot="1">
      <c r="A3" s="247" t="s">
        <v>2337</v>
      </c>
      <c r="B3" s="248">
        <f ca="1">ROUND(B2*10000/(IF(B1="",'数据-汇总表'!E3,INDIRECT("'数据-取费表'!k"&amp;$G$1))),0)</f>
        <v>3830</v>
      </c>
      <c r="C3" s="243" t="s">
        <v>2338</v>
      </c>
      <c r="D3" s="243"/>
      <c r="E3" s="243"/>
      <c r="F3" s="243"/>
      <c r="G3" s="243"/>
    </row>
    <row r="4" spans="1:8" s="252" customFormat="1" ht="15.75">
      <c r="A4" s="249" t="s">
        <v>2339</v>
      </c>
      <c r="B4" s="250"/>
      <c r="C4" s="250"/>
      <c r="D4" s="250"/>
      <c r="E4" s="250"/>
      <c r="F4" s="250"/>
      <c r="G4" s="251"/>
    </row>
    <row r="5" spans="1:8" s="258" customFormat="1" ht="13.5" customHeight="1">
      <c r="A5" s="299" t="s">
        <v>2340</v>
      </c>
      <c r="B5" s="254" t="s">
        <v>2341</v>
      </c>
      <c r="C5" s="255">
        <f ca="1">C6+C7+C8</f>
        <v>17837462</v>
      </c>
      <c r="D5" s="255" t="s">
        <v>2342</v>
      </c>
      <c r="E5" s="256" t="s">
        <v>2343</v>
      </c>
      <c r="F5" s="256" t="s">
        <v>2344</v>
      </c>
      <c r="G5" s="257"/>
    </row>
    <row r="6" spans="1:8" s="258" customFormat="1" ht="13.5" customHeight="1">
      <c r="A6" s="952" t="s">
        <v>2345</v>
      </c>
      <c r="B6" s="259" t="s">
        <v>2346</v>
      </c>
      <c r="C6" s="260"/>
      <c r="D6" s="261"/>
      <c r="E6" s="262"/>
      <c r="F6" s="262"/>
      <c r="G6" s="263"/>
    </row>
    <row r="7" spans="1:8" s="258" customFormat="1" ht="13.5" customHeight="1">
      <c r="A7" s="952" t="s">
        <v>2347</v>
      </c>
      <c r="B7" s="259" t="s">
        <v>2348</v>
      </c>
      <c r="C7" s="264">
        <f>ROUND(C6*F7,0)</f>
        <v>0</v>
      </c>
      <c r="D7" s="264"/>
      <c r="E7" s="262"/>
      <c r="F7" s="265">
        <f>'数据-取费表'!B48+'数据-取费表'!B49</f>
        <v>3.0499999999999999E-2</v>
      </c>
      <c r="G7" s="263"/>
    </row>
    <row r="8" spans="1:8" s="267" customFormat="1">
      <c r="A8" s="952" t="s">
        <v>2349</v>
      </c>
      <c r="B8" s="259" t="s">
        <v>2350</v>
      </c>
      <c r="C8" s="264">
        <f ca="1">IF(G8="已包含在土地购买价格中",0,C9+C10)</f>
        <v>17837462</v>
      </c>
      <c r="D8" s="266"/>
      <c r="E8" s="264"/>
      <c r="F8" s="265"/>
      <c r="G8" s="2556"/>
    </row>
    <row r="9" spans="1:8" s="258" customFormat="1" ht="13.5" customHeight="1">
      <c r="A9" s="953" t="s">
        <v>800</v>
      </c>
      <c r="B9" s="268" t="s">
        <v>2351</v>
      </c>
      <c r="C9" s="269">
        <f ca="1">ROUND(D9*E9,0)</f>
        <v>9995352</v>
      </c>
      <c r="D9" s="1035">
        <f ca="1">IF(B1="",'数据-汇总表'!E5,IF(INDIRECT("'数据-取费表'!c"&amp;$G$1)="住宅",INDIRECT("'数据-取费表'!k"&amp;$G$1),0))</f>
        <v>49976.76</v>
      </c>
      <c r="E9" s="269">
        <f>'数据-取费表'!B27</f>
        <v>200</v>
      </c>
      <c r="F9" s="265"/>
      <c r="G9" s="270"/>
    </row>
    <row r="10" spans="1:8" s="258" customFormat="1" ht="13.5" customHeight="1">
      <c r="A10" s="953" t="s">
        <v>801</v>
      </c>
      <c r="B10" s="268" t="s">
        <v>2353</v>
      </c>
      <c r="C10" s="269">
        <f ca="1">ROUND(D10*E10,0)</f>
        <v>7842110</v>
      </c>
      <c r="D10" s="1035">
        <f ca="1">IF(B1="",'数据-汇总表'!E6,IF(INDIRECT("'数据-取费表'!c"&amp;$G$1)="住宅",INDIRECT("'数据-取费表'!s"&amp;$G$1),INDIRECT("'数据-取费表'!k"&amp;$G$1)+INDIRECT("'数据-取费表'!s"&amp;$G$1)))</f>
        <v>39210.549999999996</v>
      </c>
      <c r="E10" s="269">
        <f>'数据-取费表'!B28</f>
        <v>200</v>
      </c>
      <c r="F10" s="265"/>
      <c r="G10" s="270"/>
    </row>
    <row r="11" spans="1:8" s="258" customFormat="1" ht="13.5" hidden="1" customHeight="1">
      <c r="A11" s="271" t="s">
        <v>7</v>
      </c>
      <c r="B11" s="259" t="s">
        <v>2354</v>
      </c>
      <c r="C11" s="255"/>
      <c r="D11" s="1037"/>
      <c r="E11" s="262"/>
      <c r="F11" s="262"/>
      <c r="G11" s="263"/>
    </row>
    <row r="12" spans="1:8" s="258" customFormat="1" ht="13.5" hidden="1" customHeight="1">
      <c r="A12" s="271" t="s">
        <v>8</v>
      </c>
      <c r="B12" s="259" t="s">
        <v>2437</v>
      </c>
      <c r="C12" s="255">
        <v>0</v>
      </c>
      <c r="D12" s="1037"/>
      <c r="E12" s="272"/>
      <c r="F12" s="265">
        <v>3.0499999999999999E-2</v>
      </c>
      <c r="G12" s="263"/>
    </row>
    <row r="13" spans="1:8" s="258" customFormat="1" ht="13.5" hidden="1" customHeight="1">
      <c r="A13" s="271" t="s">
        <v>9</v>
      </c>
      <c r="B13" s="259" t="s">
        <v>2438</v>
      </c>
      <c r="C13" s="255"/>
      <c r="D13" s="1037"/>
      <c r="E13" s="262"/>
      <c r="F13" s="262"/>
      <c r="G13" s="263"/>
    </row>
    <row r="14" spans="1:8" s="258" customFormat="1" ht="13.5" hidden="1" customHeight="1">
      <c r="A14" s="271" t="s">
        <v>10</v>
      </c>
      <c r="B14" s="259" t="s">
        <v>2350</v>
      </c>
      <c r="C14" s="255"/>
      <c r="D14" s="1037"/>
      <c r="E14" s="262"/>
      <c r="F14" s="262"/>
      <c r="G14" s="263" t="s">
        <v>2439</v>
      </c>
    </row>
    <row r="15" spans="1:8" s="258" customFormat="1" ht="13.5" hidden="1" customHeight="1">
      <c r="A15" s="271" t="s">
        <v>11</v>
      </c>
      <c r="B15" s="259" t="s">
        <v>2440</v>
      </c>
      <c r="C15" s="264"/>
      <c r="D15" s="1037"/>
      <c r="E15" s="262"/>
      <c r="F15" s="262"/>
      <c r="G15" s="263" t="s">
        <v>2441</v>
      </c>
    </row>
    <row r="16" spans="1:8" s="258" customFormat="1" ht="13.5" hidden="1" customHeight="1">
      <c r="A16" s="271" t="s">
        <v>12</v>
      </c>
      <c r="B16" s="259" t="s">
        <v>2350</v>
      </c>
      <c r="C16" s="264"/>
      <c r="D16" s="1037"/>
      <c r="E16" s="262"/>
      <c r="F16" s="262"/>
      <c r="G16" s="263"/>
    </row>
    <row r="17" spans="1:7" s="258" customFormat="1" ht="13.5" hidden="1" customHeight="1">
      <c r="A17" s="271" t="s">
        <v>13</v>
      </c>
      <c r="B17" s="259" t="s">
        <v>2442</v>
      </c>
      <c r="C17" s="273"/>
      <c r="D17" s="1038"/>
      <c r="E17" s="273"/>
      <c r="F17" s="273"/>
      <c r="G17" s="263" t="s">
        <v>2441</v>
      </c>
    </row>
    <row r="18" spans="1:7" s="258" customFormat="1" ht="13.5" hidden="1" customHeight="1">
      <c r="A18" s="271" t="s">
        <v>14</v>
      </c>
      <c r="B18" s="259" t="s">
        <v>2443</v>
      </c>
      <c r="C18" s="264">
        <v>0</v>
      </c>
      <c r="D18" s="1037"/>
      <c r="E18" s="262"/>
      <c r="F18" s="265">
        <v>3.0499999999999999E-2</v>
      </c>
      <c r="G18" s="263" t="s">
        <v>2444</v>
      </c>
    </row>
    <row r="19" spans="1:7" s="267" customFormat="1" ht="13.5" customHeight="1">
      <c r="A19" s="299" t="s">
        <v>2445</v>
      </c>
      <c r="B19" s="254" t="s">
        <v>2446</v>
      </c>
      <c r="C19" s="255">
        <f ca="1">IF(G19="已包含在土地取得成本中","0",ROUND(D19*E19,0))</f>
        <v>17837462</v>
      </c>
      <c r="D19" s="1039">
        <f ca="1">D9+D10</f>
        <v>89187.31</v>
      </c>
      <c r="E19" s="255">
        <f>'数据-取费表'!B31</f>
        <v>200</v>
      </c>
      <c r="F19" s="275"/>
      <c r="G19" s="2556"/>
    </row>
    <row r="20" spans="1:7" s="258" customFormat="1" ht="13.5" customHeight="1">
      <c r="A20" s="299" t="s">
        <v>2447</v>
      </c>
      <c r="B20" s="254" t="s">
        <v>2448</v>
      </c>
      <c r="C20" s="276">
        <f ca="1">ROUND((C5+C19)*F20,0)</f>
        <v>713498</v>
      </c>
      <c r="D20" s="276"/>
      <c r="E20" s="276"/>
      <c r="F20" s="277">
        <f>'数据-取费表'!B37</f>
        <v>0.02</v>
      </c>
      <c r="G20" s="278" t="s">
        <v>2449</v>
      </c>
    </row>
    <row r="21" spans="1:7" s="258" customFormat="1" ht="13.5" customHeight="1">
      <c r="A21" s="299" t="s">
        <v>2450</v>
      </c>
      <c r="B21" s="254" t="s">
        <v>2451</v>
      </c>
      <c r="C21" s="279">
        <f>F21</f>
        <v>0.02</v>
      </c>
      <c r="D21" s="280" t="s">
        <v>2452</v>
      </c>
      <c r="E21" s="276"/>
      <c r="F21" s="277">
        <f>'数据-取费表'!B38</f>
        <v>0.02</v>
      </c>
      <c r="G21" s="278" t="s">
        <v>2453</v>
      </c>
    </row>
    <row r="22" spans="1:7" s="258" customFormat="1" ht="13.5" customHeight="1">
      <c r="A22" s="299" t="s">
        <v>2454</v>
      </c>
      <c r="B22" s="254" t="s">
        <v>2455</v>
      </c>
      <c r="C22" s="1383">
        <f ca="1">ROUND(SUM(C23:C25),0)</f>
        <v>3503501</v>
      </c>
      <c r="D22" s="279">
        <f ca="1">C26</f>
        <v>1E-3</v>
      </c>
      <c r="E22" s="280" t="s">
        <v>2452</v>
      </c>
      <c r="F22" s="281">
        <f ca="1">'数据-取费表'!B40</f>
        <v>4.7500000000000001E-2</v>
      </c>
      <c r="G22" s="278" t="str">
        <f>IF('数据-取费表'!B22&lt;=1,"单利计息","复利计息")</f>
        <v>复利计息</v>
      </c>
    </row>
    <row r="23" spans="1:7" s="258" customFormat="1" ht="13.5" customHeight="1">
      <c r="A23" s="954" t="s">
        <v>2345</v>
      </c>
      <c r="B23" s="259" t="s">
        <v>2456</v>
      </c>
      <c r="C23" s="1384">
        <f ca="1">ROUND(IF('数据-取费表'!B22&lt;=1,C5*F22*'数据-取费表'!B22,C5*(POWER((1+F22),'数据-取费表'!B22)-1)),0)</f>
        <v>1734805</v>
      </c>
      <c r="D23" s="282"/>
      <c r="E23" s="282"/>
      <c r="F23" s="283"/>
      <c r="G23" s="284" t="s">
        <v>2457</v>
      </c>
    </row>
    <row r="24" spans="1:7" s="258" customFormat="1" ht="13.5" customHeight="1">
      <c r="A24" s="954" t="s">
        <v>2347</v>
      </c>
      <c r="B24" s="259" t="s">
        <v>2458</v>
      </c>
      <c r="C24" s="1384">
        <f ca="1">ROUND(IF('数据-取费表'!B22&lt;=1,C19*F22*('数据-取费表'!B19/2+'数据-取费表'!B20),C19*(POWER((1+F22),('数据-取费表'!B19/2+'数据-取费表'!B20))-1)),0)</f>
        <v>1734805</v>
      </c>
      <c r="D24" s="282"/>
      <c r="E24" s="282"/>
      <c r="F24" s="283"/>
      <c r="G24" s="284" t="s">
        <v>2459</v>
      </c>
    </row>
    <row r="25" spans="1:7" s="258" customFormat="1" ht="24">
      <c r="A25" s="954" t="s">
        <v>2349</v>
      </c>
      <c r="B25" s="259" t="s">
        <v>2460</v>
      </c>
      <c r="C25" s="1384">
        <f ca="1">ROUND(IF('数据-取费表'!B22&lt;=1,C20*F22*'数据-取费表'!B22/2,C20*(POWER((1+F22),'数据-取费表'!B22/2)-1)),0)</f>
        <v>33891</v>
      </c>
      <c r="D25" s="282"/>
      <c r="E25" s="285"/>
      <c r="F25" s="283"/>
      <c r="G25" s="286" t="s">
        <v>2461</v>
      </c>
    </row>
    <row r="26" spans="1:7" s="258" customFormat="1">
      <c r="A26" s="954" t="s">
        <v>795</v>
      </c>
      <c r="B26" s="259" t="s">
        <v>2384</v>
      </c>
      <c r="C26" s="282">
        <f ca="1">ROUND(IF('数据-取费表'!B22&lt;=1,F21*F22*'数据-取费表'!B22/2,F21*(POWER((1+F22),'数据-取费表'!B22/2)-1)),4)</f>
        <v>1E-3</v>
      </c>
      <c r="D26" s="282"/>
      <c r="E26" s="285"/>
      <c r="F26" s="283"/>
      <c r="G26" s="287"/>
    </row>
    <row r="27" spans="1:7" s="258" customFormat="1" ht="24.75">
      <c r="A27" s="299" t="s">
        <v>2385</v>
      </c>
      <c r="B27" s="288" t="s">
        <v>2386</v>
      </c>
      <c r="C27" s="289">
        <f ca="1">C28</f>
        <v>2911074</v>
      </c>
      <c r="D27" s="279">
        <f ca="1">C29</f>
        <v>1.6000000000000001E-3</v>
      </c>
      <c r="E27" s="280" t="s">
        <v>2387</v>
      </c>
      <c r="F27" s="290">
        <f ca="1">IF(B1="",'数据-取费表'!Q16,INDIRECT("'数据-取费表'!q"&amp;$G$1))</f>
        <v>0.08</v>
      </c>
      <c r="G27" s="291" t="s">
        <v>2388</v>
      </c>
    </row>
    <row r="28" spans="1:7" s="258" customFormat="1" ht="13.5" customHeight="1">
      <c r="A28" s="954" t="s">
        <v>791</v>
      </c>
      <c r="B28" s="292" t="s">
        <v>2389</v>
      </c>
      <c r="C28" s="293">
        <f ca="1">ROUND((C5+C19+C20)*F27,0)</f>
        <v>2911074</v>
      </c>
      <c r="D28" s="279"/>
      <c r="E28" s="280"/>
      <c r="F28" s="290"/>
      <c r="G28" s="291"/>
    </row>
    <row r="29" spans="1:7" s="258" customFormat="1" ht="13.5" customHeight="1">
      <c r="A29" s="954" t="s">
        <v>792</v>
      </c>
      <c r="B29" s="292" t="s">
        <v>2390</v>
      </c>
      <c r="C29" s="282">
        <f ca="1">ROUND(C21*F27,4)</f>
        <v>1.6000000000000001E-3</v>
      </c>
      <c r="D29" s="279"/>
      <c r="E29" s="280"/>
      <c r="F29" s="290"/>
      <c r="G29" s="291"/>
    </row>
    <row r="30" spans="1:7" s="258" customFormat="1" ht="13.5" customHeight="1">
      <c r="A30" s="299" t="s">
        <v>2391</v>
      </c>
      <c r="B30" s="254" t="s">
        <v>2392</v>
      </c>
      <c r="C30" s="279">
        <f>ROUND(F30/(1+'数据-取费表'!C42),4)</f>
        <v>5.33E-2</v>
      </c>
      <c r="D30" s="280" t="s">
        <v>2387</v>
      </c>
      <c r="E30" s="285"/>
      <c r="F30" s="281">
        <f>'数据-取费表'!B41</f>
        <v>5.6000000000000001E-2</v>
      </c>
      <c r="G30" s="278" t="s">
        <v>2393</v>
      </c>
    </row>
    <row r="31" spans="1:7" ht="16.5" customHeight="1">
      <c r="A31" s="253">
        <v>1</v>
      </c>
      <c r="B31" s="254" t="s">
        <v>2394</v>
      </c>
      <c r="C31" s="255">
        <f ca="1">ROUND((C5+C19+C20+C22+C27)/(1-C21-D22-D27-C30),0)</f>
        <v>46318577</v>
      </c>
      <c r="D31" s="274"/>
      <c r="E31" s="255"/>
      <c r="F31" s="294"/>
      <c r="G31" s="278" t="s">
        <v>2395</v>
      </c>
    </row>
    <row r="32" spans="1:7" s="252" customFormat="1" ht="15.75">
      <c r="A32" s="296" t="s">
        <v>2462</v>
      </c>
      <c r="B32" s="297"/>
      <c r="C32" s="297"/>
      <c r="D32" s="297"/>
      <c r="E32" s="297"/>
      <c r="F32" s="297"/>
      <c r="G32" s="298"/>
    </row>
    <row r="33" spans="1:7" s="258" customFormat="1" ht="13.5" customHeight="1">
      <c r="A33" s="299" t="s">
        <v>782</v>
      </c>
      <c r="B33" s="254" t="s">
        <v>2463</v>
      </c>
      <c r="C33" s="300">
        <f ca="1">SUM(C34:C38)</f>
        <v>237263170</v>
      </c>
      <c r="D33" s="276"/>
      <c r="E33" s="256"/>
      <c r="F33" s="285"/>
      <c r="G33" s="278"/>
    </row>
    <row r="34" spans="1:7" s="302" customFormat="1" ht="13.5" customHeight="1">
      <c r="A34" s="954" t="s">
        <v>791</v>
      </c>
      <c r="B34" s="259" t="s">
        <v>2398</v>
      </c>
      <c r="C34" s="264">
        <f ca="1">ROUND(IF(B1="",SUMPRODUCT('数据-取费表'!K6:K14,'数据-取费表'!L6:L14),INDIRECT("'数据-取费表'!l"&amp;$G$1)*INDIRECT("'数据-取费表'!k"&amp;$G$1)+'数据-取费表'!L14*INDIRECT("'数据-取费表'!S"&amp;$G$1)),0)</f>
        <v>206277476</v>
      </c>
      <c r="D34" s="261"/>
      <c r="E34" s="264"/>
      <c r="F34" s="301"/>
      <c r="G34" s="263"/>
    </row>
    <row r="35" spans="1:7" ht="13.5" customHeight="1">
      <c r="A35" s="954" t="s">
        <v>796</v>
      </c>
      <c r="B35" s="259" t="s">
        <v>2400</v>
      </c>
      <c r="C35" s="264">
        <f ca="1">ROUND(C34*F35,0)</f>
        <v>6188324</v>
      </c>
      <c r="D35" s="264"/>
      <c r="E35" s="264"/>
      <c r="F35" s="303">
        <f>'数据-取费表'!B33</f>
        <v>0.03</v>
      </c>
      <c r="G35" s="263" t="s">
        <v>2401</v>
      </c>
    </row>
    <row r="36" spans="1:7" ht="24">
      <c r="A36" s="954" t="s">
        <v>797</v>
      </c>
      <c r="B36" s="259" t="s">
        <v>2402</v>
      </c>
      <c r="C36" s="264">
        <f ca="1">ROUND(IF(B1="",SUM('数据-取费表'!AP6:AP13)*F36,IF(INDIRECT("'数据-取费表'!c"&amp;$G$1)="住宅",INDIRECT("'数据-取费表'!k"&amp;$G$1)*INDIRECT("'数据-取费表'!l"&amp;$G$1)*F36,0)),0)</f>
        <v>3865746</v>
      </c>
      <c r="D36" s="264"/>
      <c r="E36" s="264"/>
      <c r="F36" s="303">
        <f>'数据-取费表'!B34</f>
        <v>0.03</v>
      </c>
      <c r="G36" s="304" t="s">
        <v>2403</v>
      </c>
    </row>
    <row r="37" spans="1:7" s="302" customFormat="1" ht="13.5" customHeight="1">
      <c r="A37" s="954" t="s">
        <v>798</v>
      </c>
      <c r="B37" s="259" t="s">
        <v>2404</v>
      </c>
      <c r="C37" s="293">
        <f ca="1">ROUND(E37*D37,0)</f>
        <v>17837462</v>
      </c>
      <c r="D37" s="261">
        <f ca="1">D19</f>
        <v>89187.31</v>
      </c>
      <c r="E37" s="293">
        <f>'数据-取费表'!B35</f>
        <v>200</v>
      </c>
      <c r="F37" s="303"/>
      <c r="G37" s="305"/>
    </row>
    <row r="38" spans="1:7" ht="13.5" customHeight="1">
      <c r="A38" s="954" t="s">
        <v>799</v>
      </c>
      <c r="B38" s="259" t="s">
        <v>2406</v>
      </c>
      <c r="C38" s="264">
        <f ca="1">ROUND(C34*F38,0)</f>
        <v>3094162</v>
      </c>
      <c r="D38" s="264"/>
      <c r="E38" s="264"/>
      <c r="F38" s="303">
        <f>'数据-取费表'!B36</f>
        <v>1.4999999999999999E-2</v>
      </c>
      <c r="G38" s="263" t="s">
        <v>2401</v>
      </c>
    </row>
    <row r="39" spans="1:7" s="258" customFormat="1" ht="13.5" customHeight="1">
      <c r="A39" s="299" t="s">
        <v>2407</v>
      </c>
      <c r="B39" s="254" t="s">
        <v>2408</v>
      </c>
      <c r="C39" s="276">
        <f ca="1">ROUND(C33*F20,0)</f>
        <v>4745263</v>
      </c>
      <c r="D39" s="276"/>
      <c r="E39" s="276"/>
      <c r="F39" s="277"/>
      <c r="G39" s="278" t="s">
        <v>2409</v>
      </c>
    </row>
    <row r="40" spans="1:7" s="258" customFormat="1" ht="13.5" customHeight="1">
      <c r="A40" s="299" t="s">
        <v>2410</v>
      </c>
      <c r="B40" s="254" t="s">
        <v>2411</v>
      </c>
      <c r="C40" s="1731">
        <f>F21</f>
        <v>0.02</v>
      </c>
      <c r="D40" s="280" t="s">
        <v>2412</v>
      </c>
      <c r="E40" s="276"/>
      <c r="F40" s="277"/>
      <c r="G40" s="278" t="s">
        <v>2413</v>
      </c>
    </row>
    <row r="41" spans="1:7" s="258" customFormat="1" ht="13.5" customHeight="1">
      <c r="A41" s="299" t="s">
        <v>2414</v>
      </c>
      <c r="B41" s="254" t="s">
        <v>2415</v>
      </c>
      <c r="C41" s="276">
        <f ca="1">ROUND(SUM(C42:C43),0)</f>
        <v>11495401</v>
      </c>
      <c r="D41" s="279">
        <f ca="1">C44</f>
        <v>1E-3</v>
      </c>
      <c r="E41" s="280" t="s">
        <v>2412</v>
      </c>
      <c r="F41" s="281"/>
      <c r="G41" s="278" t="str">
        <f>IF('数据-取费表'!B22&lt;=1,"单利计息","复利计息")</f>
        <v>复利计息</v>
      </c>
    </row>
    <row r="42" spans="1:7" ht="13.5" customHeight="1">
      <c r="A42" s="954" t="s">
        <v>791</v>
      </c>
      <c r="B42" s="259" t="s">
        <v>2416</v>
      </c>
      <c r="C42" s="282">
        <f ca="1">ROUND(IF('数据-取费表'!B22&lt;=1,C33*F22*'数据-取费表'!B20/2,C33*(POWER((1+F22),'数据-取费表'!B20/2)-1)),0)</f>
        <v>11270001</v>
      </c>
      <c r="D42" s="282"/>
      <c r="E42" s="282"/>
      <c r="F42" s="283"/>
      <c r="G42" s="3144" t="s">
        <v>2464</v>
      </c>
    </row>
    <row r="43" spans="1:7" ht="13.5" customHeight="1">
      <c r="A43" s="954" t="s">
        <v>792</v>
      </c>
      <c r="B43" s="259" t="s">
        <v>2418</v>
      </c>
      <c r="C43" s="282">
        <f ca="1">ROUND(IF('数据-取费表'!B22&lt;=1,C39*F22*'数据-取费表'!B20/2,C39*(POWER((1+F22),'数据-取费表'!B20/2)-1)),0)</f>
        <v>225400</v>
      </c>
      <c r="D43" s="282"/>
      <c r="E43" s="282"/>
      <c r="F43" s="283"/>
      <c r="G43" s="3145"/>
    </row>
    <row r="44" spans="1:7" ht="13.5" customHeight="1">
      <c r="A44" s="954" t="s">
        <v>793</v>
      </c>
      <c r="B44" s="259" t="s">
        <v>2419</v>
      </c>
      <c r="C44" s="282">
        <f ca="1">ROUND(IF('数据-取费表'!B22&lt;=1,C40*F22*'数据-取费表'!B20/2,C40*(POWER((1+F22),'数据-取费表'!B20/2)-1)),4)</f>
        <v>1E-3</v>
      </c>
      <c r="D44" s="282"/>
      <c r="E44" s="282"/>
      <c r="F44" s="283"/>
      <c r="G44" s="3146"/>
    </row>
    <row r="45" spans="1:7" s="258" customFormat="1" ht="13.5" customHeight="1">
      <c r="A45" s="299" t="s">
        <v>2420</v>
      </c>
      <c r="B45" s="288" t="s">
        <v>2386</v>
      </c>
      <c r="C45" s="289">
        <f ca="1">C46</f>
        <v>19360675</v>
      </c>
      <c r="D45" s="279">
        <f ca="1">C47</f>
        <v>1.6000000000000001E-3</v>
      </c>
      <c r="E45" s="280" t="s">
        <v>2412</v>
      </c>
      <c r="F45" s="290"/>
      <c r="G45" s="291" t="s">
        <v>2421</v>
      </c>
    </row>
    <row r="46" spans="1:7" s="258" customFormat="1" ht="13.5" customHeight="1">
      <c r="A46" s="954" t="s">
        <v>791</v>
      </c>
      <c r="B46" s="292" t="s">
        <v>2422</v>
      </c>
      <c r="C46" s="293">
        <f ca="1">ROUND((C33+C39)*F27,0)</f>
        <v>19360675</v>
      </c>
      <c r="D46" s="307"/>
      <c r="E46" s="280"/>
      <c r="F46" s="290"/>
      <c r="G46" s="291"/>
    </row>
    <row r="47" spans="1:7" s="258" customFormat="1" ht="13.5" customHeight="1">
      <c r="A47" s="954" t="s">
        <v>792</v>
      </c>
      <c r="B47" s="292" t="s">
        <v>2423</v>
      </c>
      <c r="C47" s="282">
        <f ca="1">ROUND(C40*F27,4)</f>
        <v>1.6000000000000001E-3</v>
      </c>
      <c r="D47" s="307"/>
      <c r="E47" s="280"/>
      <c r="F47" s="290"/>
      <c r="G47" s="291"/>
    </row>
    <row r="48" spans="1:7" s="258" customFormat="1" ht="13.5" customHeight="1">
      <c r="A48" s="299" t="s">
        <v>2385</v>
      </c>
      <c r="B48" s="254" t="s">
        <v>2424</v>
      </c>
      <c r="C48" s="306">
        <f>ROUND(F30/(1+'数据-取费表'!C42),4)</f>
        <v>5.33E-2</v>
      </c>
      <c r="D48" s="280" t="s">
        <v>2412</v>
      </c>
      <c r="E48" s="276"/>
      <c r="F48" s="281"/>
      <c r="G48" s="278" t="s">
        <v>2425</v>
      </c>
    </row>
    <row r="49" spans="1:7" ht="16.5" customHeight="1">
      <c r="A49" s="299" t="s">
        <v>2391</v>
      </c>
      <c r="B49" s="254" t="s">
        <v>2465</v>
      </c>
      <c r="C49" s="276">
        <f ca="1">ROUND((C33+C39+C41+C45)/(1-C40-D41-D45-C48),0)</f>
        <v>295275954</v>
      </c>
      <c r="D49" s="276"/>
      <c r="E49" s="276"/>
      <c r="F49" s="308"/>
      <c r="G49" s="278" t="s">
        <v>2427</v>
      </c>
    </row>
    <row r="50" spans="1:7" s="302" customFormat="1">
      <c r="A50" s="299" t="s">
        <v>2428</v>
      </c>
      <c r="B50" s="254" t="s">
        <v>2429</v>
      </c>
      <c r="C50" s="276"/>
      <c r="D50" s="276"/>
      <c r="E50" s="276"/>
      <c r="F50" s="308">
        <f>IF('数据-取费表'!B24=0,'数据-取费表'!N16,1)</f>
        <v>1</v>
      </c>
      <c r="G50" s="291"/>
    </row>
    <row r="51" spans="1:7" ht="16.5" customHeight="1">
      <c r="A51" s="299" t="s">
        <v>2431</v>
      </c>
      <c r="B51" s="254" t="s">
        <v>2466</v>
      </c>
      <c r="C51" s="276">
        <f ca="1">ROUND(C49*F50,0)</f>
        <v>295275954</v>
      </c>
      <c r="D51" s="276"/>
      <c r="E51" s="276"/>
      <c r="F51" s="308"/>
      <c r="G51" s="278" t="s">
        <v>2433</v>
      </c>
    </row>
    <row r="52" spans="1:7" s="252" customFormat="1" ht="16.5" thickBot="1">
      <c r="A52" s="309" t="s">
        <v>2434</v>
      </c>
      <c r="B52" s="310"/>
      <c r="C52" s="311">
        <f ca="1">C31+C51</f>
        <v>341594531</v>
      </c>
      <c r="D52" s="310"/>
      <c r="E52" s="310"/>
      <c r="F52" s="310"/>
      <c r="G52" s="312"/>
    </row>
    <row r="55" spans="1:7" ht="15">
      <c r="B55" s="314" t="s">
        <v>2435</v>
      </c>
      <c r="C55" s="315"/>
    </row>
    <row r="56" spans="1:7">
      <c r="B56" s="317" t="s">
        <v>1514</v>
      </c>
      <c r="C56" s="319">
        <f ca="1">1-C57</f>
        <v>0.13600000000000001</v>
      </c>
    </row>
    <row r="57" spans="1:7">
      <c r="B57" s="317" t="s">
        <v>1515</v>
      </c>
      <c r="C57" s="318">
        <f ca="1">ROUND(C51/C52,3)</f>
        <v>0.86399999999999999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2467</v>
      </c>
      <c r="B1" s="1584"/>
      <c r="C1" s="1585"/>
      <c r="D1" s="1583"/>
      <c r="E1" s="320"/>
      <c r="F1" s="320"/>
      <c r="G1" s="1584"/>
      <c r="H1" s="320"/>
      <c r="I1" s="320"/>
      <c r="J1" s="320"/>
      <c r="K1" s="320">
        <f>MATCH(C1,'数据-取费表'!A6:A16,0)+5</f>
        <v>9</v>
      </c>
    </row>
    <row r="2" spans="1:33" ht="18" customHeight="1">
      <c r="A2" s="245" t="s">
        <v>2335</v>
      </c>
      <c r="B2" s="248">
        <f ca="1">C32</f>
        <v>47863</v>
      </c>
      <c r="C2" s="320" t="s">
        <v>2468</v>
      </c>
      <c r="D2" s="320"/>
      <c r="E2" s="320"/>
      <c r="F2" s="320"/>
      <c r="G2" s="320"/>
      <c r="H2" s="320"/>
      <c r="I2" s="320"/>
      <c r="J2" s="320"/>
      <c r="K2" s="320"/>
    </row>
    <row r="3" spans="1:33" ht="18" customHeight="1" thickBot="1">
      <c r="A3" s="247" t="s">
        <v>2337</v>
      </c>
      <c r="B3" s="248">
        <f ca="1">ROUND(B2*10000/IF(C1="",'数据-汇总表'!E3,INDIRECT("'数据-取费表'!K"&amp;$K$1)),0)</f>
        <v>5367</v>
      </c>
      <c r="C3" s="320" t="s">
        <v>2469</v>
      </c>
      <c r="D3" s="320"/>
      <c r="E3" s="320"/>
      <c r="F3" s="320"/>
      <c r="G3" s="320"/>
      <c r="H3" s="320"/>
      <c r="I3" s="320"/>
      <c r="J3" s="320"/>
      <c r="K3" s="320"/>
    </row>
    <row r="4" spans="1:33" s="959" customFormat="1" ht="16.5" customHeight="1">
      <c r="A4" s="956" t="s">
        <v>2470</v>
      </c>
      <c r="B4" s="957"/>
      <c r="C4" s="999">
        <f>SUM(C8:K8)</f>
        <v>80180.115000000005</v>
      </c>
      <c r="D4" s="957"/>
      <c r="E4" s="957"/>
      <c r="F4" s="957"/>
      <c r="G4" s="957"/>
      <c r="H4" s="957"/>
      <c r="I4" s="957"/>
      <c r="J4" s="957"/>
      <c r="K4" s="958"/>
    </row>
    <row r="5" spans="1:33" s="963" customFormat="1" ht="25.5">
      <c r="A5" s="960" t="s">
        <v>2471</v>
      </c>
      <c r="B5" s="961" t="s">
        <v>2472</v>
      </c>
      <c r="C5" s="2560" t="s">
        <v>3073</v>
      </c>
      <c r="D5" s="2560" t="s">
        <v>3075</v>
      </c>
      <c r="E5" s="2560" t="s">
        <v>48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f>18000*0.9</f>
        <v>16200</v>
      </c>
      <c r="D6" s="965">
        <f>15000*0.9</f>
        <v>13500</v>
      </c>
      <c r="E6" s="965">
        <v>3000</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5406.9000000000005</v>
      </c>
      <c r="D7" s="321">
        <f>SUMIF('数据-汇总表'!$C19:$C33,假设开发法!D5,'数据-汇总表'!$E19:$E33)</f>
        <v>44569.86</v>
      </c>
      <c r="E7" s="321">
        <f>SUMIF('数据-汇总表'!$C19:$C33,假设开发法!E5,'数据-汇总表'!$E19:$E33)</f>
        <v>37505.42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2476</v>
      </c>
      <c r="B8" s="177" t="s">
        <v>2477</v>
      </c>
      <c r="C8" s="1000">
        <f t="shared" ref="C8:D8" si="0">C6*C7/10000</f>
        <v>8759.1780000000017</v>
      </c>
      <c r="D8" s="1000">
        <f t="shared" si="0"/>
        <v>60169.311000000002</v>
      </c>
      <c r="E8" s="1000">
        <f>E6*E7/10000</f>
        <v>11251.626</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13579</v>
      </c>
      <c r="D11" s="976"/>
      <c r="E11" s="375"/>
      <c r="F11" s="977">
        <f ca="1">1-IF('数据-取费表'!B24=0,1,IF(C1="",'数据-取费表'!N16,INDIRECT("'数据-取费表'!n"&amp;$K$1)))</f>
        <v>0.65799999999999992</v>
      </c>
      <c r="G11" s="8"/>
      <c r="H11" s="971"/>
      <c r="I11" s="971"/>
      <c r="J11" s="971"/>
      <c r="K11" s="972"/>
    </row>
    <row r="12" spans="1:33" s="978" customFormat="1" ht="13.5" customHeight="1">
      <c r="A12" s="974" t="s">
        <v>1335</v>
      </c>
      <c r="B12" s="975" t="s">
        <v>2486</v>
      </c>
      <c r="C12" s="24">
        <f ca="1">ROUND(C11*F12,0)</f>
        <v>407</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311</v>
      </c>
      <c r="D13" s="1036"/>
      <c r="E13" s="375"/>
      <c r="F13" s="979">
        <f>'数据-取费表'!B34</f>
        <v>0.03</v>
      </c>
      <c r="G13" s="8" t="s">
        <v>2489</v>
      </c>
      <c r="H13" s="971"/>
      <c r="I13" s="971"/>
      <c r="J13" s="971"/>
      <c r="K13" s="972"/>
    </row>
    <row r="14" spans="1:33" s="980" customFormat="1" ht="13.5" customHeight="1">
      <c r="A14" s="974" t="s">
        <v>1337</v>
      </c>
      <c r="B14" s="975" t="s">
        <v>2490</v>
      </c>
      <c r="C14" s="24">
        <f ca="1">ROUND(D14*E14*F11/10000,0)</f>
        <v>1174</v>
      </c>
      <c r="D14" s="1036">
        <f ca="1">IF(C1="",'数据-汇总表'!E3,INDIRECT("'数据-取费表'!K"&amp;$K$1)+INDIRECT("'数据-取费表'!S"&amp;$K$1))</f>
        <v>89187.31</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204</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15675</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89187.31</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1784</v>
      </c>
      <c r="D18" s="1036"/>
      <c r="E18" s="24"/>
      <c r="F18" s="979"/>
      <c r="G18" s="2562"/>
      <c r="H18" s="1580"/>
      <c r="I18" s="2563" t="s">
        <v>2498</v>
      </c>
      <c r="J18" s="982"/>
      <c r="K18" s="983"/>
    </row>
    <row r="19" spans="1:33" s="978" customFormat="1" ht="13.5" customHeight="1">
      <c r="A19" s="974" t="s">
        <v>805</v>
      </c>
      <c r="B19" s="975" t="s">
        <v>2499</v>
      </c>
      <c r="C19" s="24">
        <f ca="1">ROUND(D19*E19/10000,0)</f>
        <v>1000</v>
      </c>
      <c r="D19" s="1036">
        <f ca="1">IF(C1="",'数据-汇总表'!E5,IF(INDIRECT("'数据-取费表'!c"&amp;$K$1)="住宅",INDIRECT("'数据-取费表'!k"&amp;$K$1),0))</f>
        <v>49976.76</v>
      </c>
      <c r="E19" s="24">
        <f>'数据-取费表'!B27</f>
        <v>200</v>
      </c>
      <c r="F19" s="979"/>
      <c r="G19" s="15"/>
      <c r="H19" s="1582"/>
      <c r="I19" s="984"/>
      <c r="J19" s="984"/>
      <c r="K19" s="985"/>
    </row>
    <row r="20" spans="1:33" s="978" customFormat="1" ht="13.5" customHeight="1">
      <c r="A20" s="974" t="s">
        <v>806</v>
      </c>
      <c r="B20" s="975" t="s">
        <v>2500</v>
      </c>
      <c r="C20" s="24">
        <f ca="1">ROUND(D20*E20/10000,0)</f>
        <v>784</v>
      </c>
      <c r="D20" s="1036">
        <f ca="1">IF(C1="",'数据-汇总表'!E6,IF(INDIRECT("'数据-取费表'!c"&amp;$K$1)="住宅",INDIRECT("'数据-取费表'!s"&amp;$K$1),INDIRECT("'数据-取费表'!k"&amp;$K$1)+INDIRECT("'数据-取费表'!s"&amp;$K$1)))</f>
        <v>39210.549999999996</v>
      </c>
      <c r="E20" s="24">
        <f>'数据-取费表'!B28</f>
        <v>200</v>
      </c>
      <c r="F20" s="979"/>
      <c r="G20" s="15"/>
      <c r="H20" s="984"/>
      <c r="I20" s="984"/>
      <c r="J20" s="984"/>
      <c r="K20" s="985"/>
    </row>
    <row r="21" spans="1:33" s="978" customFormat="1" ht="13.5" customHeight="1">
      <c r="A21" s="964" t="s">
        <v>802</v>
      </c>
      <c r="B21" s="988" t="s">
        <v>2501</v>
      </c>
      <c r="C21" s="989">
        <f ca="1">C16+C17+C18</f>
        <v>17459</v>
      </c>
      <c r="D21" s="990"/>
      <c r="E21" s="325"/>
      <c r="F21" s="325"/>
      <c r="G21" s="140" t="s">
        <v>2502</v>
      </c>
      <c r="H21" s="982"/>
      <c r="I21" s="982"/>
      <c r="J21" s="982"/>
      <c r="K21" s="983"/>
    </row>
    <row r="22" spans="1:33" s="978" customFormat="1" ht="13.5" customHeight="1">
      <c r="A22" s="964" t="s">
        <v>2474</v>
      </c>
      <c r="B22" s="988" t="s">
        <v>2503</v>
      </c>
      <c r="C22" s="989">
        <f ca="1">ROUND(C21*F22,0)</f>
        <v>349</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1055</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585</v>
      </c>
      <c r="D25" s="324">
        <f ca="1">C26</f>
        <v>6.4799999999999996E-2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6.4799999999999996E-2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585</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2514</v>
      </c>
      <c r="B28" s="2565" t="s">
        <v>2515</v>
      </c>
      <c r="C28" s="331">
        <f ca="1">C30</f>
        <v>1509</v>
      </c>
      <c r="D28" s="324">
        <f ca="1">C29</f>
        <v>5.4199999999999998E-2</v>
      </c>
      <c r="E28" s="326" t="s">
        <v>15</v>
      </c>
      <c r="F28" s="332">
        <f ca="1">IF(C1="",'数据-取费表'!Q16,INDIRECT("'数据-取费表'!q"&amp;$K$1))</f>
        <v>0.08</v>
      </c>
      <c r="G28" s="992"/>
      <c r="H28" s="993"/>
      <c r="I28" s="993"/>
      <c r="J28" s="993"/>
      <c r="K28" s="994"/>
    </row>
    <row r="29" spans="1:33" s="335" customFormat="1" ht="13.5" customHeight="1">
      <c r="A29" s="974" t="s">
        <v>803</v>
      </c>
      <c r="B29" s="997" t="s">
        <v>2516</v>
      </c>
      <c r="C29" s="328">
        <f ca="1">ROUND((1+C24)*F28*'数据-取费表'!B24/'数据-取费表'!B20,4)</f>
        <v>5.4199999999999998E-2</v>
      </c>
      <c r="D29" s="328"/>
      <c r="E29" s="329"/>
      <c r="F29" s="334"/>
      <c r="G29" s="140" t="s">
        <v>2517</v>
      </c>
      <c r="H29" s="982"/>
      <c r="I29" s="982"/>
      <c r="J29" s="982"/>
      <c r="K29" s="983"/>
    </row>
    <row r="30" spans="1:33" s="335" customFormat="1" ht="13.5" customHeight="1">
      <c r="A30" s="974" t="s">
        <v>804</v>
      </c>
      <c r="B30" s="997" t="s">
        <v>2518</v>
      </c>
      <c r="C30" s="336">
        <f ca="1">ROUND((C21+C22+C23)*F28,0)</f>
        <v>1509</v>
      </c>
      <c r="D30" s="328"/>
      <c r="E30" s="329"/>
      <c r="F30" s="334"/>
      <c r="G30" s="140"/>
      <c r="H30" s="982"/>
      <c r="I30" s="982"/>
      <c r="J30" s="982"/>
      <c r="K30" s="983"/>
    </row>
    <row r="31" spans="1:33" s="978" customFormat="1" ht="13.5" customHeight="1" thickBot="1">
      <c r="A31" s="2566" t="s">
        <v>2519</v>
      </c>
      <c r="B31" s="1008" t="s">
        <v>2520</v>
      </c>
      <c r="C31" s="1009">
        <f>ROUND(C4*F31/(1+'数据-取费表'!C42),0)</f>
        <v>4276</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47863</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t="e">
        <f ca="1">C40+J29+L46</f>
        <v>#DIV/0!</v>
      </c>
      <c r="C2" s="1848" t="s">
        <v>1517</v>
      </c>
      <c r="D2" s="1848"/>
      <c r="E2" s="1849"/>
      <c r="F2" s="1850"/>
      <c r="G2" s="1851"/>
      <c r="H2" s="1843"/>
      <c r="I2" s="1843"/>
      <c r="J2" s="1843"/>
      <c r="K2" s="1844"/>
      <c r="L2" s="1843"/>
      <c r="M2" s="1843"/>
    </row>
    <row r="3" spans="1:37" ht="18" customHeight="1" thickBot="1">
      <c r="A3" s="1852" t="s">
        <v>1518</v>
      </c>
      <c r="B3" s="1853">
        <f ca="1">IF(ISERROR(B2*10000/F43),0,ROUND(B2*10000/F43,0))</f>
        <v>0</v>
      </c>
      <c r="C3" s="1848" t="s">
        <v>1519</v>
      </c>
      <c r="D3" s="1848"/>
      <c r="E3" s="1849"/>
      <c r="F3" s="1850"/>
      <c r="G3" s="1851"/>
      <c r="H3" s="744" t="s">
        <v>1589</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49" t="s">
        <v>1403</v>
      </c>
      <c r="C6" s="1299">
        <f ca="1">ROUND(F6*F8*F7*(1-F9)/10000,0)</f>
        <v>0</v>
      </c>
      <c r="D6" s="164" t="s">
        <v>3041</v>
      </c>
      <c r="E6" s="347" t="s">
        <v>1405</v>
      </c>
      <c r="F6" s="348">
        <f ca="1">INDIRECT("'数据-取费表'!u"&amp;$G$1)</f>
        <v>0</v>
      </c>
      <c r="G6" s="1854"/>
      <c r="H6" s="1294" t="s">
        <v>1035</v>
      </c>
      <c r="I6" s="3149" t="s">
        <v>1403</v>
      </c>
      <c r="J6" s="346">
        <f ca="1">ROUND(M6*M8*M7*(1-M9)/10000,0)</f>
        <v>0</v>
      </c>
      <c r="K6" s="164" t="s">
        <v>3040</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0</v>
      </c>
      <c r="G7" s="1854"/>
      <c r="H7" s="349"/>
      <c r="I7" s="3150"/>
      <c r="J7" s="351"/>
      <c r="K7" s="352"/>
      <c r="L7" s="347" t="s">
        <v>1406</v>
      </c>
      <c r="M7" s="348">
        <f ca="1">F7</f>
        <v>0</v>
      </c>
    </row>
    <row r="8" spans="1:37" ht="18" customHeight="1">
      <c r="A8" s="349"/>
      <c r="B8" s="3150"/>
      <c r="C8" s="351"/>
      <c r="D8" s="352"/>
      <c r="E8" s="347" t="s">
        <v>1407</v>
      </c>
      <c r="F8" s="348">
        <f ca="1">INDIRECT("'数据-取费表'!ai"&amp;$G$1)</f>
        <v>0</v>
      </c>
      <c r="G8" s="1854"/>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3042</v>
      </c>
      <c r="E10" s="358" t="s">
        <v>1411</v>
      </c>
      <c r="F10" s="1369"/>
      <c r="G10" s="1854"/>
      <c r="H10" s="1294" t="s">
        <v>1039</v>
      </c>
      <c r="I10" s="1826" t="s">
        <v>1409</v>
      </c>
      <c r="J10" s="346">
        <f ca="1">ROUND(IF(M10="押一",M6*M8*M7/12*M11,IF(M10="押二",M6*M8*M7/12*2*M11,IF(M10="押三",M6*M8*M7/12*3*M11,J11*M11)))/10000,0)</f>
        <v>0</v>
      </c>
      <c r="K10" s="1827" t="s">
        <v>3043</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ROUND(F17*(F43+INDIRECT("'数据-取费表'!S"&amp;$G$1))/10000,0)</f>
        <v>0</v>
      </c>
      <c r="D17" s="347" t="s">
        <v>1428</v>
      </c>
      <c r="E17" s="347" t="s">
        <v>1429</v>
      </c>
      <c r="F17" s="26">
        <f>'数据-取费表'!B35</f>
        <v>200</v>
      </c>
      <c r="G17" s="1857"/>
      <c r="H17" s="1204" t="s">
        <v>1035</v>
      </c>
      <c r="I17" s="347" t="s">
        <v>1430</v>
      </c>
      <c r="J17" s="24">
        <f ca="1">ROUND(IF(项目基本情况!B11="自然人",J5*M17,J18+J19+J20),1)</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IF(K19="按租金收入计税",ROUND(J5*M19,2),ROUND(C29*M19*0.7,2))</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ROUND(M20*M21/10000,2)</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0</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ROUND(C13*F37,1)</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ROUND(C40*10000/F43,0)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t="e">
        <f ca="1">C68-C40</f>
        <v>#DIV/0!</v>
      </c>
      <c r="D46" s="1875" t="str">
        <f>C2</f>
        <v>万元</v>
      </c>
      <c r="E46" s="1869"/>
      <c r="F46" s="1869"/>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ROUND(F49*F51*F50*(1-F52)/10000,0)</f>
        <v>0</v>
      </c>
      <c r="D49" s="1279" t="s">
        <v>3044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371"/>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24.75" thickBot="1">
      <c r="A53" s="1408" t="s">
        <v>1137</v>
      </c>
      <c r="B53" s="1834" t="s">
        <v>1409</v>
      </c>
      <c r="C53" s="361">
        <f ca="1">ROUND(IF(F53="押一",F49*F51*F50/12*F11,IF(F53="押二",F49*F51*F50/12*2*F11,IF(F53="押三",F49*F51*F50/12*3*F11,C54*F11)))/10000,0)</f>
        <v>0</v>
      </c>
      <c r="D53" s="1827" t="s">
        <v>3042</v>
      </c>
      <c r="E53" s="358" t="s">
        <v>1411</v>
      </c>
      <c r="F53" s="1369"/>
      <c r="I53" s="1908" t="s">
        <v>1548</v>
      </c>
      <c r="J53" s="1909" t="b">
        <f>IF(M47="住宅",J51,IF(D1="——",MIN(J51,L48),IF(D1="在建（套用方法）",MIN(J51,L48-'数据-取费表'!B24),IF(D1="土地（套用方法）",MIN(J51,L48-'数据-取费表'!B20)))))</f>
        <v>0</v>
      </c>
      <c r="K53" s="3147" t="s">
        <v>1549</v>
      </c>
      <c r="L53" s="3148"/>
      <c r="O53" s="1887" t="s">
        <v>1046</v>
      </c>
      <c r="P53" s="1888" t="s">
        <v>1550</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t="s">
        <v>1554</v>
      </c>
      <c r="O55" s="1880" t="s">
        <v>1523</v>
      </c>
      <c r="P55" s="1881" t="s">
        <v>1524</v>
      </c>
      <c r="Q55" s="1882" t="s">
        <v>1525</v>
      </c>
      <c r="R55" s="1882" t="s">
        <v>1526</v>
      </c>
    </row>
    <row r="56" spans="1:18" s="1845" customFormat="1" ht="25.5" thickTop="1" thickBot="1">
      <c r="A56" s="1179">
        <v>2</v>
      </c>
      <c r="B56" s="1180" t="s">
        <v>1415</v>
      </c>
      <c r="C56" s="276">
        <f ca="1">C13</f>
        <v>0</v>
      </c>
      <c r="D56" s="1917"/>
      <c r="E56" s="1918"/>
      <c r="F56" s="1910"/>
      <c r="I56" s="1919" t="s">
        <v>1555</v>
      </c>
      <c r="J56" s="1920"/>
      <c r="K56" s="1890" t="s">
        <v>1556</v>
      </c>
      <c r="L56" s="1893">
        <f ca="1">IF(L48&lt;J51,"——",L48-J53)</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1558</v>
      </c>
      <c r="L57" s="1893">
        <f ca="1">IF(L48&lt;J51,"——",IF(L55="比较法",L49,IF(L55="基准地价",L50,L51)))</f>
        <v>0</v>
      </c>
      <c r="O57" s="1887" t="s">
        <v>1041</v>
      </c>
      <c r="P57" s="1888" t="s">
        <v>1559</v>
      </c>
      <c r="Q57" s="1889" t="e">
        <f ca="1">L60</f>
        <v>#DIV/0!</v>
      </c>
      <c r="R57" s="1889" t="s">
        <v>1560</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1562</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ROUND(IF(项目基本情况!B11="自然人",C48*F59,C60+C61+C62),1)</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IF(项目基本情况!B11="自然人","——",IF(D61="按租金收入计税",ROUND(C48*F61,2),IF(D61="按房产原值计税",ROUND(C57*F61*0.7,2),INDIRECT("'数据-取费表'!Aj"&amp;$G$1))))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IF(项目基本情况!B11="自然人","——",ROUND(F62*F63/10000,2))</f>
        <v>0</v>
      </c>
      <c r="D62" s="1187" t="s">
        <v>1498</v>
      </c>
      <c r="E62" s="1172" t="s">
        <v>1499</v>
      </c>
      <c r="F62" s="371">
        <f t="shared" si="0"/>
        <v>0</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ROUND(C57*F64,1)</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ROUND(C48*F66,1)</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c r="O70" s="1897" t="s">
        <v>1049</v>
      </c>
      <c r="P70" s="1937" t="s">
        <v>1586</v>
      </c>
      <c r="Q70" s="1889">
        <f ca="1">C13</f>
        <v>0</v>
      </c>
      <c r="R70" s="1889" t="s">
        <v>1530</v>
      </c>
    </row>
    <row r="71" spans="1:18" s="1845" customFormat="1" ht="13.5" thickBot="1">
      <c r="A71" s="1193" t="s">
        <v>1033</v>
      </c>
      <c r="B71" s="1194" t="s">
        <v>1488</v>
      </c>
      <c r="C71" s="382" t="e">
        <f ca="1">ROUND(C68*10000/F71,0)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1590</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4" t="s">
        <v>1589</v>
      </c>
      <c r="I3" s="1843"/>
      <c r="J3" s="1843"/>
      <c r="K3" s="1844"/>
      <c r="L3" s="1843"/>
      <c r="M3" s="1843"/>
    </row>
    <row r="4" spans="1:37" ht="18" customHeight="1">
      <c r="A4" s="340" t="s">
        <v>1596</v>
      </c>
      <c r="B4" s="341" t="s">
        <v>1597</v>
      </c>
      <c r="C4" s="341" t="s">
        <v>1598</v>
      </c>
      <c r="D4" s="341" t="s">
        <v>1599</v>
      </c>
      <c r="E4" s="342" t="s">
        <v>1600</v>
      </c>
      <c r="F4" s="343"/>
      <c r="G4" s="1854"/>
      <c r="H4" s="340" t="s">
        <v>1596</v>
      </c>
      <c r="I4" s="341" t="s">
        <v>1597</v>
      </c>
      <c r="J4" s="341" t="s">
        <v>1598</v>
      </c>
      <c r="K4" s="341" t="s">
        <v>1599</v>
      </c>
      <c r="L4" s="342" t="s">
        <v>1600</v>
      </c>
      <c r="M4" s="343"/>
    </row>
    <row r="5" spans="1:37" ht="18" customHeight="1">
      <c r="A5" s="344">
        <v>1</v>
      </c>
      <c r="B5" s="345" t="s">
        <v>1601</v>
      </c>
      <c r="C5" s="1295">
        <f ca="1">C6+C10+C12</f>
        <v>0</v>
      </c>
      <c r="D5" s="1825" t="s">
        <v>1602</v>
      </c>
      <c r="E5" s="1296"/>
      <c r="F5" s="1297"/>
      <c r="G5" s="1854"/>
      <c r="H5" s="344">
        <v>1</v>
      </c>
      <c r="I5" s="345" t="s">
        <v>1601</v>
      </c>
      <c r="J5" s="1295">
        <f ca="1">J6+J10+J12</f>
        <v>0</v>
      </c>
      <c r="K5" s="1825" t="s">
        <v>1602</v>
      </c>
      <c r="L5" s="1296"/>
      <c r="M5" s="1297"/>
    </row>
    <row r="6" spans="1:37" ht="18" customHeight="1">
      <c r="A6" s="1294" t="s">
        <v>1035</v>
      </c>
      <c r="B6" s="3149" t="s">
        <v>1403</v>
      </c>
      <c r="C6" s="1299">
        <f ca="1">ROUND(F6*F8*F7*(1-F9),0)</f>
        <v>0</v>
      </c>
      <c r="D6" s="164" t="s">
        <v>3036</v>
      </c>
      <c r="E6" s="347" t="s">
        <v>1405</v>
      </c>
      <c r="F6" s="348">
        <f ca="1">INDIRECT("'数据-取费表'!u"&amp;$G$1)</f>
        <v>0</v>
      </c>
      <c r="G6" s="1854"/>
      <c r="H6" s="1294" t="s">
        <v>1035</v>
      </c>
      <c r="I6" s="3149" t="s">
        <v>1403</v>
      </c>
      <c r="J6" s="346">
        <f ca="1">ROUND(M6*M8*M7*(1-M9),0)</f>
        <v>0</v>
      </c>
      <c r="K6" s="1837" t="s">
        <v>3039</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0</v>
      </c>
      <c r="G7" s="1854"/>
      <c r="H7" s="349"/>
      <c r="I7" s="3150"/>
      <c r="J7" s="351"/>
      <c r="K7" s="352"/>
      <c r="L7" s="347" t="s">
        <v>1406</v>
      </c>
      <c r="M7" s="348">
        <f ca="1">F7</f>
        <v>0</v>
      </c>
    </row>
    <row r="8" spans="1:37" ht="18" customHeight="1">
      <c r="A8" s="349"/>
      <c r="B8" s="3150"/>
      <c r="C8" s="351"/>
      <c r="D8" s="352"/>
      <c r="E8" s="347" t="s">
        <v>1407</v>
      </c>
      <c r="F8" s="348">
        <f ca="1">INDIRECT("'数据-取费表'!ai"&amp;$G$1)</f>
        <v>0</v>
      </c>
      <c r="G8" s="1854"/>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3037</v>
      </c>
      <c r="E10" s="358" t="s">
        <v>1411</v>
      </c>
      <c r="F10" s="1369"/>
      <c r="G10" s="1854"/>
      <c r="H10" s="1294" t="s">
        <v>1039</v>
      </c>
      <c r="I10" s="1826" t="s">
        <v>1409</v>
      </c>
      <c r="J10" s="346">
        <f ca="1">ROUND(IF(M10="押一",M6*M8*M7/12*M11,IF(M10="押二",M6*M8*M7/12*2*M11,IF(M10="押三",M6*M8*M7/12*3*M11,J11*M11))),0)</f>
        <v>0</v>
      </c>
      <c r="K10" s="1838" t="s">
        <v>3038</v>
      </c>
      <c r="L10" s="358" t="s">
        <v>1411</v>
      </c>
      <c r="M10" s="1369"/>
    </row>
    <row r="11" spans="1:37" ht="18" customHeight="1">
      <c r="A11" s="353"/>
      <c r="B11" s="1828" t="s">
        <v>1603</v>
      </c>
      <c r="C11" s="1181"/>
      <c r="D11" s="352"/>
      <c r="E11" s="358" t="s">
        <v>1413</v>
      </c>
      <c r="F11" s="359">
        <f ca="1">'数据-取费表'!B39</f>
        <v>1.4999999999999999E-2</v>
      </c>
      <c r="G11" s="1854"/>
      <c r="H11" s="1302"/>
      <c r="I11" s="1828" t="s">
        <v>1604</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0</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47" t="s">
        <v>1549</v>
      </c>
      <c r="L53" s="3148"/>
      <c r="O53" s="1887" t="s">
        <v>1046</v>
      </c>
      <c r="P53" s="1888" t="s">
        <v>1550</v>
      </c>
      <c r="Q53" s="1889" t="e">
        <f ca="1">Q47+Q48</f>
        <v>#DIV/0!</v>
      </c>
      <c r="R53" s="1889" t="s">
        <v>1047</v>
      </c>
    </row>
    <row r="54" spans="1:18" s="1845" customFormat="1" ht="13.5" thickBot="1">
      <c r="A54" s="1197"/>
      <c r="B54" s="1944" t="s">
        <v>1604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1555</v>
      </c>
      <c r="J56" s="1920"/>
      <c r="K56" s="1890" t="s">
        <v>1556</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60" t="s">
        <v>1030</v>
      </c>
      <c r="B58" s="1180" t="s">
        <v>1425</v>
      </c>
      <c r="C58" s="361">
        <f ca="1">ROUND(C59+C64+C65+C66,0)</f>
        <v>0</v>
      </c>
      <c r="D58" s="1182" t="s">
        <v>1426</v>
      </c>
      <c r="E58" s="1183"/>
      <c r="F58" s="1184"/>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4" t="s">
        <v>1496</v>
      </c>
      <c r="B62" s="1171" t="s">
        <v>1497</v>
      </c>
      <c r="C62" s="25">
        <f ca="1">IF(项目基本情况!B11="自然人","——",ROUND(F62*F63,0))</f>
        <v>0</v>
      </c>
      <c r="D62" s="1187" t="s">
        <v>1498</v>
      </c>
      <c r="E62" s="1172" t="s">
        <v>1499</v>
      </c>
      <c r="F62" s="371">
        <f t="shared" si="0"/>
        <v>0</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2"/>
      <c r="B63" s="1178"/>
      <c r="C63" s="29"/>
      <c r="D63" s="1188"/>
      <c r="E63" s="1172" t="s">
        <v>1500</v>
      </c>
      <c r="F63" s="348">
        <f t="shared" ca="1" si="0"/>
        <v>0</v>
      </c>
      <c r="I63" s="1932" t="s">
        <v>1577</v>
      </c>
      <c r="J63" s="1933">
        <v>70</v>
      </c>
      <c r="K63" s="1933">
        <v>50</v>
      </c>
      <c r="L63" s="1933">
        <v>80</v>
      </c>
      <c r="M63" s="1935">
        <v>0.02</v>
      </c>
      <c r="O63" s="1872" t="s">
        <v>1578</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1579</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1580</v>
      </c>
      <c r="J65" s="1933">
        <v>40</v>
      </c>
      <c r="K65" s="1933">
        <v>30</v>
      </c>
      <c r="L65" s="1933">
        <v>50</v>
      </c>
      <c r="M65" s="1935">
        <v>0.02</v>
      </c>
      <c r="O65" s="1887" t="s">
        <v>1040</v>
      </c>
      <c r="P65" s="1888" t="s">
        <v>1581</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1559</v>
      </c>
      <c r="Q66" s="1889" t="e">
        <f ca="1">L60</f>
        <v>#DIV/0!</v>
      </c>
      <c r="R66" s="1889" t="s">
        <v>1582</v>
      </c>
    </row>
    <row r="67" spans="1:18" s="1845" customFormat="1" ht="16.5" thickBot="1">
      <c r="A67" s="1179" t="s">
        <v>1031</v>
      </c>
      <c r="B67" s="1189" t="s">
        <v>1464</v>
      </c>
      <c r="C67" s="361">
        <f ca="1">C48-C58</f>
        <v>0</v>
      </c>
      <c r="D67" s="1185" t="s">
        <v>1465</v>
      </c>
      <c r="E67" s="1190"/>
      <c r="F67" s="1191"/>
      <c r="O67" s="1897" t="s">
        <v>1042</v>
      </c>
      <c r="P67" s="1888" t="s">
        <v>1563</v>
      </c>
      <c r="Q67" s="1936">
        <f ca="1">L51</f>
        <v>0</v>
      </c>
      <c r="R67" s="1889" t="s">
        <v>1583</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1584</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1585</v>
      </c>
      <c r="Q69" s="1889">
        <f ca="1">C39</f>
        <v>0</v>
      </c>
      <c r="R69" s="1889" t="s">
        <v>1530</v>
      </c>
    </row>
    <row r="70" spans="1:18" s="1845" customFormat="1" ht="13.5" thickBot="1">
      <c r="A70" s="1176"/>
      <c r="B70" s="1177"/>
      <c r="C70" s="355"/>
      <c r="D70" s="1188"/>
      <c r="E70" s="1172" t="s">
        <v>1478</v>
      </c>
      <c r="F70" s="1278">
        <f ca="1">F42</f>
        <v>0</v>
      </c>
      <c r="O70" s="1897" t="s">
        <v>1049</v>
      </c>
      <c r="P70" s="1937" t="s">
        <v>1586</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1587</v>
      </c>
      <c r="Q71" s="1900">
        <f ca="1">C76</f>
        <v>0</v>
      </c>
      <c r="R71" s="1889"/>
    </row>
    <row r="72" spans="1:18" s="1845" customFormat="1" ht="13.5" thickBot="1">
      <c r="B72" s="796"/>
      <c r="C72" s="796"/>
      <c r="O72" s="1897" t="s">
        <v>1044</v>
      </c>
      <c r="P72" s="1888" t="s">
        <v>1565</v>
      </c>
      <c r="Q72" s="1900">
        <f>L52</f>
        <v>0</v>
      </c>
      <c r="R72" s="1889"/>
    </row>
    <row r="73" spans="1:18" ht="16.5" thickBot="1">
      <c r="A73" s="1845"/>
      <c r="B73" s="796"/>
      <c r="C73" s="796"/>
      <c r="D73" s="1845"/>
      <c r="E73" s="1845"/>
      <c r="F73" s="1845"/>
      <c r="O73" s="1897" t="s">
        <v>1045</v>
      </c>
      <c r="P73" s="1888" t="s">
        <v>1568</v>
      </c>
      <c r="Q73" s="1889" t="e">
        <f ca="1">L58</f>
        <v>#DIV/0!</v>
      </c>
      <c r="R73" s="1889" t="s">
        <v>1569</v>
      </c>
    </row>
    <row r="74" spans="1:18" ht="13.5" thickBot="1">
      <c r="A74" s="1845"/>
      <c r="B74" s="317"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52" sqref="L52"/>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2531</v>
      </c>
      <c r="B1" s="2568"/>
      <c r="C1" s="2568"/>
      <c r="D1" s="2568"/>
      <c r="E1" s="2569"/>
    </row>
    <row r="2" spans="1:6" ht="15.75">
      <c r="A2" s="2570" t="s">
        <v>2335</v>
      </c>
      <c r="B2" s="2571">
        <f ca="1">SUMIF(B6:B13,"&lt;&gt;#ref!",B6:B13)</f>
        <v>0</v>
      </c>
      <c r="C2" s="2572" t="s">
        <v>2524</v>
      </c>
      <c r="D2" s="2573" t="s">
        <v>2525</v>
      </c>
      <c r="E2" s="2574">
        <f>SUM(E6:E13)</f>
        <v>0</v>
      </c>
    </row>
    <row r="3" spans="1:6" ht="15.75">
      <c r="A3" s="2570" t="s">
        <v>1395</v>
      </c>
      <c r="B3" s="2571" t="e">
        <f ca="1">ROUND(B2*10000/E2,0)</f>
        <v>#DIV/0!</v>
      </c>
      <c r="C3" s="2572" t="s">
        <v>2532</v>
      </c>
      <c r="D3" s="2575"/>
      <c r="E3" s="2576"/>
    </row>
    <row r="4" spans="1:6" ht="15.75">
      <c r="A4" s="2577"/>
      <c r="B4" s="2575"/>
      <c r="C4" s="2575"/>
      <c r="D4" s="2575"/>
      <c r="E4" s="2576"/>
    </row>
    <row r="5" spans="1:6" ht="15">
      <c r="A5" s="2578" t="s">
        <v>2526</v>
      </c>
      <c r="B5" s="3152" t="s">
        <v>2527</v>
      </c>
      <c r="C5" s="3152"/>
      <c r="D5" s="2579"/>
      <c r="E5" s="2580" t="s">
        <v>2528</v>
      </c>
      <c r="F5" s="2581" t="s">
        <v>2529</v>
      </c>
    </row>
    <row r="6" spans="1:6">
      <c r="A6" s="2582">
        <f>'数据-取费表'!AN6</f>
        <v>0</v>
      </c>
      <c r="B6" s="2581" t="e">
        <f ca="1">IF(F6="是",'数据-取费表'!AO6,0)</f>
        <v>#REF!</v>
      </c>
      <c r="C6" s="2572" t="s">
        <v>2524</v>
      </c>
      <c r="D6" s="2575"/>
      <c r="E6" s="2583">
        <f>IF(OR(A6=0,F6="否"),0,'数据-取费表'!K6+'数据-取费表'!S6)</f>
        <v>0</v>
      </c>
      <c r="F6" s="2584" t="s">
        <v>2530</v>
      </c>
    </row>
    <row r="7" spans="1:6">
      <c r="A7" s="2582">
        <f>'数据-取费表'!AN7</f>
        <v>0</v>
      </c>
      <c r="B7" s="2581" t="e">
        <f ca="1">IF(F7="是",'数据-取费表'!AO7,0)</f>
        <v>#REF!</v>
      </c>
      <c r="C7" s="2572" t="s">
        <v>2524</v>
      </c>
      <c r="D7" s="2575"/>
      <c r="E7" s="2583">
        <f>IF(OR(A7=0,F7="否"),0,'数据-取费表'!K7+'数据-取费表'!S7)</f>
        <v>0</v>
      </c>
      <c r="F7" s="2584" t="s">
        <v>2530</v>
      </c>
    </row>
    <row r="8" spans="1:6">
      <c r="A8" s="2582">
        <f>'数据-取费表'!AN8</f>
        <v>0</v>
      </c>
      <c r="B8" s="2581" t="e">
        <f ca="1">IF(F8="是",'数据-取费表'!AO8,0)</f>
        <v>#REF!</v>
      </c>
      <c r="C8" s="2572" t="s">
        <v>2524</v>
      </c>
      <c r="D8" s="2575"/>
      <c r="E8" s="2583">
        <f>IF(OR(A8=0,F8="否"),0,'数据-取费表'!K8+'数据-取费表'!S8)</f>
        <v>0</v>
      </c>
      <c r="F8" s="2584" t="s">
        <v>2530</v>
      </c>
    </row>
    <row r="9" spans="1:6">
      <c r="A9" s="2582">
        <f>'数据-取费表'!AN9</f>
        <v>0</v>
      </c>
      <c r="B9" s="2581" t="e">
        <f ca="1">IF(F9="是",'数据-取费表'!AO9,0)</f>
        <v>#REF!</v>
      </c>
      <c r="C9" s="2572" t="s">
        <v>2524</v>
      </c>
      <c r="D9" s="2575"/>
      <c r="E9" s="2583">
        <f>IF(OR(A9=0,F9="否"),0,'数据-取费表'!K9+'数据-取费表'!S9)</f>
        <v>0</v>
      </c>
      <c r="F9" s="2584" t="s">
        <v>2530</v>
      </c>
    </row>
    <row r="10" spans="1:6">
      <c r="A10" s="2582">
        <f>'数据-取费表'!AN10</f>
        <v>0</v>
      </c>
      <c r="B10" s="2581" t="e">
        <f ca="1">IF(F10="是",'数据-取费表'!AO10,0)</f>
        <v>#REF!</v>
      </c>
      <c r="C10" s="2572" t="s">
        <v>2524</v>
      </c>
      <c r="D10" s="2575"/>
      <c r="E10" s="2583">
        <f>IF(OR(A10=0,F10="否"),0,'数据-取费表'!K10+'数据-取费表'!S10)</f>
        <v>0</v>
      </c>
      <c r="F10" s="2584" t="s">
        <v>2530</v>
      </c>
    </row>
    <row r="11" spans="1:6">
      <c r="A11" s="2582">
        <f>'数据-取费表'!AN11</f>
        <v>0</v>
      </c>
      <c r="B11" s="2581" t="e">
        <f ca="1">IF(F11="是",'数据-取费表'!AO11,0)</f>
        <v>#REF!</v>
      </c>
      <c r="C11" s="2572" t="s">
        <v>2524</v>
      </c>
      <c r="D11" s="2575"/>
      <c r="E11" s="2583">
        <f>IF(OR(A11=0,F11="否"),0,'数据-取费表'!K11+'数据-取费表'!S11)</f>
        <v>0</v>
      </c>
      <c r="F11" s="2584" t="s">
        <v>2530</v>
      </c>
    </row>
    <row r="12" spans="1:6">
      <c r="A12" s="2582">
        <f>'数据-取费表'!AN12</f>
        <v>0</v>
      </c>
      <c r="B12" s="2581" t="e">
        <f ca="1">IF(F12="是",'数据-取费表'!AO12,0)</f>
        <v>#REF!</v>
      </c>
      <c r="C12" s="2572" t="s">
        <v>2524</v>
      </c>
      <c r="D12" s="2575"/>
      <c r="E12" s="2583">
        <f>IF(OR(A12=0,F12="否"),0,'数据-取费表'!K12+'数据-取费表'!S12)</f>
        <v>0</v>
      </c>
      <c r="F12" s="2584" t="s">
        <v>2530</v>
      </c>
    </row>
    <row r="13" spans="1:6" ht="15" thickBot="1">
      <c r="A13" s="2585">
        <f>'数据-取费表'!AN13</f>
        <v>0</v>
      </c>
      <c r="B13" s="2581" t="e">
        <f ca="1">IF(F13="是",'数据-取费表'!AO13,0)</f>
        <v>#REF!</v>
      </c>
      <c r="C13" s="2586" t="s">
        <v>2524</v>
      </c>
      <c r="D13" s="2587"/>
      <c r="E13" s="2583">
        <f>IF(OR(A13=0,F13="否"),0,'数据-取费表'!K13+'数据-取费表'!S13)</f>
        <v>0</v>
      </c>
      <c r="F13" s="2584"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52" sqref="L52"/>
    </sheetView>
  </sheetViews>
  <sheetFormatPr defaultRowHeight="13.5"/>
  <cols>
    <col min="1" max="1" width="10.5" customWidth="1"/>
    <col min="2" max="2" width="12.875" customWidth="1"/>
    <col min="3" max="3" width="8.75" customWidth="1"/>
  </cols>
  <sheetData>
    <row r="1" spans="1:9" ht="14.25">
      <c r="A1" s="3153" t="s">
        <v>1076</v>
      </c>
      <c r="B1" s="3154"/>
      <c r="C1" s="3155"/>
      <c r="D1" s="3156">
        <f>SUM(I10,I15,I20,I21,I23)</f>
        <v>0</v>
      </c>
      <c r="E1" s="3156"/>
      <c r="F1" s="3156"/>
      <c r="G1" s="3156"/>
      <c r="H1" s="3156"/>
      <c r="I1" s="3157"/>
    </row>
    <row r="2" spans="1:9">
      <c r="A2" s="3158" t="s">
        <v>1077</v>
      </c>
      <c r="B2" s="3159" t="s">
        <v>1078</v>
      </c>
      <c r="C2" s="3159"/>
      <c r="D2" s="1304" t="s">
        <v>1079</v>
      </c>
      <c r="E2" s="1304" t="s">
        <v>1080</v>
      </c>
      <c r="F2" s="1304" t="s">
        <v>1081</v>
      </c>
      <c r="G2" s="1304" t="s">
        <v>1082</v>
      </c>
      <c r="H2" s="1304" t="s">
        <v>1083</v>
      </c>
      <c r="I2" s="1305" t="s">
        <v>1084</v>
      </c>
    </row>
    <row r="3" spans="1:9">
      <c r="A3" s="3158"/>
      <c r="B3" s="3159" t="s">
        <v>1085</v>
      </c>
      <c r="C3" s="3159"/>
      <c r="D3" s="1306"/>
      <c r="E3" s="1304"/>
      <c r="F3" s="1307"/>
      <c r="G3" s="1307"/>
      <c r="H3" s="1308"/>
      <c r="I3" s="1309">
        <f>ROUND(D3*E3*F3*G3*H3/10000,0)</f>
        <v>0</v>
      </c>
    </row>
    <row r="4" spans="1:9">
      <c r="A4" s="3158"/>
      <c r="B4" s="3159" t="s">
        <v>1086</v>
      </c>
      <c r="C4" s="3159"/>
      <c r="D4" s="1306"/>
      <c r="E4" s="1304"/>
      <c r="F4" s="1307"/>
      <c r="G4" s="1307"/>
      <c r="H4" s="1308"/>
      <c r="I4" s="1309">
        <f t="shared" ref="I4:I9" si="0">ROUND(D4*E4*F4*G4*H4/10000,0)</f>
        <v>0</v>
      </c>
    </row>
    <row r="5" spans="1:9">
      <c r="A5" s="3158"/>
      <c r="B5" s="3159" t="s">
        <v>1087</v>
      </c>
      <c r="C5" s="3159"/>
      <c r="D5" s="1306"/>
      <c r="E5" s="1304"/>
      <c r="F5" s="1307"/>
      <c r="G5" s="1307"/>
      <c r="H5" s="1308"/>
      <c r="I5" s="1309">
        <f t="shared" si="0"/>
        <v>0</v>
      </c>
    </row>
    <row r="6" spans="1:9">
      <c r="A6" s="3158"/>
      <c r="B6" s="3159" t="s">
        <v>1088</v>
      </c>
      <c r="C6" s="3159"/>
      <c r="D6" s="1306"/>
      <c r="E6" s="1304"/>
      <c r="F6" s="1307"/>
      <c r="G6" s="1307"/>
      <c r="H6" s="1308"/>
      <c r="I6" s="1309">
        <f t="shared" si="0"/>
        <v>0</v>
      </c>
    </row>
    <row r="7" spans="1:9">
      <c r="A7" s="3158"/>
      <c r="B7" s="3159" t="s">
        <v>1089</v>
      </c>
      <c r="C7" s="3159"/>
      <c r="D7" s="1306"/>
      <c r="E7" s="1304"/>
      <c r="F7" s="1307"/>
      <c r="G7" s="1307"/>
      <c r="H7" s="1308"/>
      <c r="I7" s="1309">
        <f t="shared" si="0"/>
        <v>0</v>
      </c>
    </row>
    <row r="8" spans="1:9">
      <c r="A8" s="3158"/>
      <c r="B8" s="3159" t="s">
        <v>1090</v>
      </c>
      <c r="C8" s="3159"/>
      <c r="D8" s="1306"/>
      <c r="E8" s="1304"/>
      <c r="F8" s="1307"/>
      <c r="G8" s="1307"/>
      <c r="H8" s="1308"/>
      <c r="I8" s="1309">
        <f t="shared" si="0"/>
        <v>0</v>
      </c>
    </row>
    <row r="9" spans="1:9">
      <c r="A9" s="3158"/>
      <c r="B9" s="3159" t="s">
        <v>1091</v>
      </c>
      <c r="C9" s="3159"/>
      <c r="D9" s="1306"/>
      <c r="E9" s="1304"/>
      <c r="F9" s="1307"/>
      <c r="G9" s="1307"/>
      <c r="H9" s="1308"/>
      <c r="I9" s="1309">
        <f t="shared" si="0"/>
        <v>0</v>
      </c>
    </row>
    <row r="10" spans="1:9">
      <c r="A10" s="3158"/>
      <c r="B10" s="3160" t="s">
        <v>1092</v>
      </c>
      <c r="C10" s="3160"/>
      <c r="D10" s="1310"/>
      <c r="E10" s="1310" t="e">
        <f>ROUND(D1*10000/D10/H9,0)</f>
        <v>#DIV/0!</v>
      </c>
      <c r="F10" s="1311"/>
      <c r="G10" s="1311"/>
      <c r="H10" s="1312"/>
      <c r="I10" s="1313">
        <f>SUM(I3:I9)</f>
        <v>0</v>
      </c>
    </row>
    <row r="11" spans="1:9" ht="14.25">
      <c r="A11" s="3158" t="s">
        <v>1093</v>
      </c>
      <c r="B11" s="3159" t="s">
        <v>1094</v>
      </c>
      <c r="C11" s="3159"/>
      <c r="D11" s="1306" t="s">
        <v>1095</v>
      </c>
      <c r="E11" s="1306" t="s">
        <v>1096</v>
      </c>
      <c r="F11" s="1307" t="s">
        <v>1097</v>
      </c>
      <c r="G11" s="1307" t="s">
        <v>1083</v>
      </c>
      <c r="H11" s="1314" t="s">
        <v>1098</v>
      </c>
      <c r="I11" s="1305" t="s">
        <v>1084</v>
      </c>
    </row>
    <row r="12" spans="1:9">
      <c r="A12" s="3158"/>
      <c r="B12" s="3159" t="s">
        <v>1099</v>
      </c>
      <c r="C12" s="3159"/>
      <c r="D12" s="1306"/>
      <c r="E12" s="1306"/>
      <c r="F12" s="1307"/>
      <c r="G12" s="1308"/>
      <c r="H12" s="1315"/>
      <c r="I12" s="1305">
        <f>ROUND(D12*E12*F12*G12/10000,0)</f>
        <v>0</v>
      </c>
    </row>
    <row r="13" spans="1:9">
      <c r="A13" s="3158"/>
      <c r="B13" s="3159" t="s">
        <v>1100</v>
      </c>
      <c r="C13" s="3159"/>
      <c r="D13" s="1306"/>
      <c r="E13" s="1306"/>
      <c r="F13" s="1307"/>
      <c r="G13" s="1308"/>
      <c r="H13" s="1315"/>
      <c r="I13" s="1305">
        <f>ROUND(D13*E13*F13*G13/10000,0)</f>
        <v>0</v>
      </c>
    </row>
    <row r="14" spans="1:9">
      <c r="A14" s="3158"/>
      <c r="B14" s="3159" t="s">
        <v>1101</v>
      </c>
      <c r="C14" s="3159"/>
      <c r="D14" s="1306"/>
      <c r="E14" s="1306"/>
      <c r="F14" s="1307"/>
      <c r="G14" s="1308"/>
      <c r="H14" s="1315"/>
      <c r="I14" s="1305">
        <f>ROUND(D14*E14*F14*G14/10000,0)</f>
        <v>0</v>
      </c>
    </row>
    <row r="15" spans="1:9">
      <c r="A15" s="3158"/>
      <c r="B15" s="3160" t="s">
        <v>1092</v>
      </c>
      <c r="C15" s="3160"/>
      <c r="D15" s="1310"/>
      <c r="E15" s="1310">
        <f>SUM(E12:E14)</f>
        <v>0</v>
      </c>
      <c r="F15" s="1311"/>
      <c r="G15" s="1308"/>
      <c r="H15" s="1315"/>
      <c r="I15" s="1316">
        <f>SUM(I12:I14)</f>
        <v>0</v>
      </c>
    </row>
    <row r="16" spans="1:9" ht="24">
      <c r="A16" s="3158" t="s">
        <v>1102</v>
      </c>
      <c r="B16" s="3159" t="s">
        <v>1103</v>
      </c>
      <c r="C16" s="3159"/>
      <c r="D16" s="1306" t="s">
        <v>1079</v>
      </c>
      <c r="E16" s="1317" t="s">
        <v>1104</v>
      </c>
      <c r="F16" s="1307" t="s">
        <v>1105</v>
      </c>
      <c r="G16" s="1308" t="s">
        <v>1083</v>
      </c>
      <c r="H16" s="1314" t="s">
        <v>1098</v>
      </c>
      <c r="I16" s="1305" t="s">
        <v>1084</v>
      </c>
    </row>
    <row r="17" spans="1:9" ht="14.25">
      <c r="A17" s="3158"/>
      <c r="B17" s="3159" t="s">
        <v>1106</v>
      </c>
      <c r="C17" s="3159"/>
      <c r="D17" s="1306"/>
      <c r="E17" s="1306"/>
      <c r="F17" s="1307"/>
      <c r="G17" s="1308"/>
      <c r="H17" s="1318"/>
      <c r="I17" s="1319">
        <f>ROUND(D17*E17*F17*G17/10000,0)</f>
        <v>0</v>
      </c>
    </row>
    <row r="18" spans="1:9" ht="14.25">
      <c r="A18" s="3158"/>
      <c r="B18" s="3159" t="s">
        <v>1107</v>
      </c>
      <c r="C18" s="3159"/>
      <c r="D18" s="1306"/>
      <c r="E18" s="1306"/>
      <c r="F18" s="1307"/>
      <c r="G18" s="1308"/>
      <c r="H18" s="1318"/>
      <c r="I18" s="1319">
        <f>ROUND(D18*E18*F18*G18/10000,0)</f>
        <v>0</v>
      </c>
    </row>
    <row r="19" spans="1:9" ht="14.25">
      <c r="A19" s="3158"/>
      <c r="B19" s="3159" t="s">
        <v>1108</v>
      </c>
      <c r="C19" s="3159"/>
      <c r="D19" s="1306"/>
      <c r="E19" s="1306"/>
      <c r="F19" s="1307"/>
      <c r="G19" s="1308"/>
      <c r="H19" s="1318"/>
      <c r="I19" s="1319">
        <f>ROUND(D19*E19*F19*G19/10000,0)</f>
        <v>0</v>
      </c>
    </row>
    <row r="20" spans="1:9">
      <c r="A20" s="3158"/>
      <c r="B20" s="3160" t="s">
        <v>1092</v>
      </c>
      <c r="C20" s="3160"/>
      <c r="D20" s="1310">
        <f>SUM(D17:D19)</f>
        <v>0</v>
      </c>
      <c r="E20" s="1310"/>
      <c r="F20" s="1311"/>
      <c r="G20" s="1308"/>
      <c r="H20" s="1315"/>
      <c r="I20" s="1316">
        <f>SUM(I17:I19)</f>
        <v>0</v>
      </c>
    </row>
    <row r="21" spans="1:9">
      <c r="A21" s="3158" t="s">
        <v>1109</v>
      </c>
      <c r="B21" s="3162"/>
      <c r="C21" s="3162"/>
      <c r="D21" s="3162"/>
      <c r="E21" s="3162"/>
      <c r="F21" s="3162"/>
      <c r="G21" s="3162"/>
      <c r="H21" s="1768">
        <v>0.1</v>
      </c>
      <c r="I21" s="1313">
        <f>ROUND(I10*H21,0)</f>
        <v>0</v>
      </c>
    </row>
    <row r="22" spans="1:9" ht="14.25">
      <c r="A22" s="3163" t="s">
        <v>1110</v>
      </c>
      <c r="B22" s="3164"/>
      <c r="C22" s="3165"/>
      <c r="D22" s="1320" t="s">
        <v>1111</v>
      </c>
      <c r="E22" s="1320" t="s">
        <v>1112</v>
      </c>
      <c r="F22" s="1321" t="s">
        <v>1113</v>
      </c>
      <c r="G22" s="1321" t="s">
        <v>1114</v>
      </c>
      <c r="H22" s="1314" t="s">
        <v>1115</v>
      </c>
      <c r="I22" s="1305" t="s">
        <v>1116</v>
      </c>
    </row>
    <row r="23" spans="1:9" ht="14.25" thickBot="1">
      <c r="A23" s="3166"/>
      <c r="B23" s="3167"/>
      <c r="C23" s="3168"/>
      <c r="D23" s="1322"/>
      <c r="E23" s="1322"/>
      <c r="F23" s="1322"/>
      <c r="G23" s="1323"/>
      <c r="H23" s="1324"/>
      <c r="I23" s="1325">
        <f>ROUND(E23*D23*F23*(1-G23)/10000,0)</f>
        <v>0</v>
      </c>
    </row>
    <row r="26" spans="1:9">
      <c r="A26" s="1326" t="s">
        <v>1117</v>
      </c>
      <c r="B26" s="1326"/>
      <c r="C26" s="1326"/>
      <c r="D26" s="1326"/>
      <c r="E26" s="3169">
        <f>C27-C30-C31-C32</f>
        <v>0</v>
      </c>
      <c r="F26" s="3169"/>
      <c r="G26" s="3169"/>
      <c r="H26" s="1740" t="s">
        <v>1340</v>
      </c>
    </row>
    <row r="27" spans="1:9">
      <c r="A27" s="1327">
        <v>1</v>
      </c>
      <c r="B27" s="1328" t="s">
        <v>1118</v>
      </c>
      <c r="C27" s="1328">
        <f>C28+C29</f>
        <v>0</v>
      </c>
      <c r="D27" s="1328"/>
      <c r="E27" s="3170"/>
      <c r="F27" s="3170"/>
      <c r="G27" s="3170"/>
    </row>
    <row r="28" spans="1:9">
      <c r="A28" s="1329" t="s">
        <v>1119</v>
      </c>
      <c r="B28" s="1328" t="s">
        <v>1120</v>
      </c>
      <c r="C28" s="1328"/>
      <c r="D28" s="1328"/>
      <c r="E28" s="3170"/>
      <c r="F28" s="3170"/>
      <c r="G28" s="317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1"/>
      <c r="F32" s="3161"/>
      <c r="G32" s="3161"/>
    </row>
    <row r="33" spans="1:7" hidden="1">
      <c r="A33" s="3171" t="s">
        <v>1129</v>
      </c>
      <c r="B33" s="3172"/>
      <c r="C33" s="3172"/>
      <c r="D33" s="3173"/>
      <c r="E33" s="3169"/>
      <c r="F33" s="3169"/>
      <c r="G33" s="3169"/>
    </row>
    <row r="34" spans="1:7" hidden="1">
      <c r="A34" s="1331">
        <v>1</v>
      </c>
      <c r="B34" s="1328" t="s">
        <v>1130</v>
      </c>
      <c r="C34" s="1328"/>
      <c r="D34" s="1328"/>
      <c r="E34" s="3170"/>
      <c r="F34" s="3170"/>
      <c r="G34" s="3170"/>
    </row>
    <row r="35" spans="1:7" hidden="1">
      <c r="A35" s="1331">
        <v>2</v>
      </c>
      <c r="B35" s="1328" t="s">
        <v>1131</v>
      </c>
      <c r="C35" s="1328"/>
      <c r="D35" s="1328"/>
      <c r="E35" s="3170"/>
      <c r="F35" s="3170"/>
      <c r="G35" s="3170"/>
    </row>
    <row r="36" spans="1:7" hidden="1">
      <c r="A36" s="1331">
        <v>3</v>
      </c>
      <c r="B36" s="1328" t="s">
        <v>1132</v>
      </c>
      <c r="C36" s="1328"/>
      <c r="D36" s="1328"/>
      <c r="E36" s="3170"/>
      <c r="F36" s="3170"/>
      <c r="G36" s="3170"/>
    </row>
    <row r="37" spans="1:7" hidden="1">
      <c r="A37" s="1331">
        <v>4</v>
      </c>
      <c r="B37" s="1328" t="s">
        <v>1133</v>
      </c>
      <c r="C37" s="1328"/>
      <c r="D37" s="1328"/>
      <c r="E37" s="3170"/>
      <c r="F37" s="3170"/>
      <c r="G37" s="3170"/>
    </row>
    <row r="38" spans="1:7" hidden="1">
      <c r="A38" s="3171" t="s">
        <v>1134</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52" sqref="L5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8" t="s">
        <v>2534</v>
      </c>
      <c r="C1" s="1637" t="s">
        <v>2535</v>
      </c>
      <c r="D1" s="1624"/>
      <c r="E1" s="2589"/>
      <c r="F1" s="2590" t="s">
        <v>2536</v>
      </c>
      <c r="G1" s="1634" t="s">
        <v>2537</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2539</v>
      </c>
      <c r="D3" s="399">
        <f>IF(D1="",'数据-汇总表'!E3,SUMIF('数据-汇总表'!$C19:$C33,D1,'数据-汇总表'!$E19:$E33))</f>
        <v>89187.31</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2540</v>
      </c>
      <c r="B4" s="402"/>
      <c r="C4" s="3192" t="s">
        <v>2541</v>
      </c>
      <c r="D4" s="3193"/>
      <c r="E4" s="3194" t="s">
        <v>2542</v>
      </c>
      <c r="F4" s="3195"/>
      <c r="G4" s="3192" t="s">
        <v>2543</v>
      </c>
      <c r="H4" s="3193"/>
      <c r="I4" s="3192" t="s">
        <v>2544</v>
      </c>
      <c r="J4" s="3193"/>
      <c r="K4" s="2602" t="s">
        <v>2545</v>
      </c>
      <c r="L4" s="1133"/>
      <c r="M4" s="1134"/>
      <c r="N4" s="1134"/>
      <c r="O4" s="1134"/>
      <c r="P4" s="3196" t="s">
        <v>2546</v>
      </c>
      <c r="Q4" s="3197"/>
      <c r="R4" s="3179" t="s">
        <v>2542</v>
      </c>
      <c r="S4" s="3180"/>
      <c r="T4" s="3179" t="s">
        <v>2543</v>
      </c>
      <c r="U4" s="3180"/>
      <c r="V4" s="3204" t="s">
        <v>2544</v>
      </c>
      <c r="W4" s="3204"/>
      <c r="X4" s="1816"/>
      <c r="Y4" s="3179" t="s">
        <v>2546</v>
      </c>
      <c r="Z4" s="3180"/>
      <c r="AA4" s="3174" t="s">
        <v>2542</v>
      </c>
      <c r="AB4" s="3174" t="s">
        <v>2543</v>
      </c>
      <c r="AC4" s="3174" t="s">
        <v>2544</v>
      </c>
    </row>
    <row r="5" spans="1:29" ht="15">
      <c r="A5" s="404"/>
      <c r="B5" s="405"/>
      <c r="C5" s="3185" t="s">
        <v>2547</v>
      </c>
      <c r="D5" s="3186"/>
      <c r="E5" s="3183" t="s">
        <v>2548</v>
      </c>
      <c r="F5" s="3184"/>
      <c r="G5" s="3185" t="s">
        <v>2549</v>
      </c>
      <c r="H5" s="3186"/>
      <c r="I5" s="3185" t="s">
        <v>2550</v>
      </c>
      <c r="J5" s="3186"/>
      <c r="K5" s="2603"/>
      <c r="L5" s="1133"/>
      <c r="M5" s="1134"/>
      <c r="N5" s="1134"/>
      <c r="O5" s="1134"/>
      <c r="P5" s="3198"/>
      <c r="Q5" s="3199"/>
      <c r="R5" s="3181"/>
      <c r="S5" s="3182"/>
      <c r="T5" s="3181"/>
      <c r="U5" s="3182"/>
      <c r="V5" s="3204"/>
      <c r="W5" s="3204"/>
      <c r="X5" s="1816"/>
      <c r="Y5" s="3181"/>
      <c r="Z5" s="3182"/>
      <c r="AA5" s="3175"/>
      <c r="AB5" s="3175"/>
      <c r="AC5" s="3175"/>
    </row>
    <row r="6" spans="1:29" ht="15.75" thickBot="1">
      <c r="A6" s="406"/>
      <c r="B6" s="407"/>
      <c r="C6" s="3187" t="s">
        <v>2551</v>
      </c>
      <c r="D6" s="3188"/>
      <c r="E6" s="3189" t="s">
        <v>2551</v>
      </c>
      <c r="F6" s="3190"/>
      <c r="G6" s="3187" t="s">
        <v>2551</v>
      </c>
      <c r="H6" s="3188"/>
      <c r="I6" s="3187" t="s">
        <v>2551</v>
      </c>
      <c r="J6" s="3188"/>
      <c r="K6" s="2603" t="s">
        <v>2552</v>
      </c>
      <c r="L6" s="1133"/>
      <c r="M6" s="1134"/>
      <c r="N6" s="1134"/>
      <c r="O6" s="1134"/>
      <c r="P6" s="3200"/>
      <c r="Q6" s="3201"/>
      <c r="R6" s="3181"/>
      <c r="S6" s="3182"/>
      <c r="T6" s="3202"/>
      <c r="U6" s="3203"/>
      <c r="V6" s="3204"/>
      <c r="W6" s="3204"/>
      <c r="X6" s="1816"/>
      <c r="Y6" s="3202"/>
      <c r="Z6" s="3203"/>
      <c r="AA6" s="3176"/>
      <c r="AB6" s="3176"/>
      <c r="AC6" s="3176"/>
    </row>
    <row r="7" spans="1:29" s="117" customFormat="1" ht="15.75" thickBot="1">
      <c r="A7" s="408" t="s">
        <v>2553</v>
      </c>
      <c r="B7" s="409"/>
      <c r="C7" s="410">
        <f>'数据-取费表'!B2</f>
        <v>43175</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77" t="s">
        <v>2554</v>
      </c>
      <c r="Q7" s="3205"/>
      <c r="R7" s="770" t="s">
        <v>23</v>
      </c>
      <c r="S7" s="771">
        <f t="shared" ref="S7:S15" si="0">F7</f>
        <v>0</v>
      </c>
      <c r="T7" s="770" t="s">
        <v>23</v>
      </c>
      <c r="U7" s="771">
        <f t="shared" ref="U7:U15" si="1">H7</f>
        <v>0</v>
      </c>
      <c r="V7" s="770" t="s">
        <v>23</v>
      </c>
      <c r="W7" s="771">
        <f t="shared" ref="W7:W15" si="2">J7</f>
        <v>0</v>
      </c>
      <c r="X7" s="772"/>
      <c r="Y7" s="3177" t="s">
        <v>2554</v>
      </c>
      <c r="Z7" s="3178"/>
      <c r="AA7" s="773" t="e">
        <f>D7/F7</f>
        <v>#DIV/0!</v>
      </c>
      <c r="AB7" s="773" t="e">
        <f>D7/H7</f>
        <v>#DIV/0!</v>
      </c>
      <c r="AC7" s="773" t="e">
        <f>D7/J7</f>
        <v>#DIV/0!</v>
      </c>
    </row>
    <row r="8" spans="1:29" s="117" customFormat="1" ht="15.75" thickBot="1">
      <c r="A8" s="408" t="s">
        <v>2555</v>
      </c>
      <c r="B8" s="409"/>
      <c r="C8" s="414" t="s">
        <v>2556</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77" t="s">
        <v>2557</v>
      </c>
      <c r="Q8" s="3178"/>
      <c r="R8" s="770" t="s">
        <v>23</v>
      </c>
      <c r="S8" s="771">
        <f t="shared" si="0"/>
        <v>0</v>
      </c>
      <c r="T8" s="770" t="s">
        <v>23</v>
      </c>
      <c r="U8" s="771">
        <f t="shared" si="1"/>
        <v>0</v>
      </c>
      <c r="V8" s="770" t="s">
        <v>23</v>
      </c>
      <c r="W8" s="771">
        <f t="shared" si="2"/>
        <v>0</v>
      </c>
      <c r="X8" s="772"/>
      <c r="Y8" s="3177" t="s">
        <v>2557</v>
      </c>
      <c r="Z8" s="3178"/>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91" t="s">
        <v>2560</v>
      </c>
      <c r="Q9" s="1798" t="str">
        <f t="shared" ref="Q9:Q15" si="6">B9</f>
        <v>用途</v>
      </c>
      <c r="R9" s="770" t="s">
        <v>17</v>
      </c>
      <c r="S9" s="771">
        <f t="shared" si="0"/>
        <v>100</v>
      </c>
      <c r="T9" s="770" t="s">
        <v>17</v>
      </c>
      <c r="U9" s="771">
        <f t="shared" si="1"/>
        <v>100</v>
      </c>
      <c r="V9" s="770" t="s">
        <v>17</v>
      </c>
      <c r="W9" s="771">
        <f t="shared" si="2"/>
        <v>100</v>
      </c>
      <c r="X9" s="772"/>
      <c r="Y9" s="3020"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1"/>
      <c r="Q11" s="1798"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1"/>
      <c r="Q12" s="1798">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1"/>
      <c r="Q13" s="1798">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1"/>
      <c r="Q14" s="1798">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2564</v>
      </c>
      <c r="B15" s="69" t="s">
        <v>2091</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8" t="s">
        <v>2565</v>
      </c>
      <c r="Q15" s="1813" t="str">
        <f t="shared" si="6"/>
        <v>居住社区成熟度</v>
      </c>
      <c r="R15" s="774" t="s">
        <v>21</v>
      </c>
      <c r="S15" s="775">
        <f t="shared" si="0"/>
        <v>100</v>
      </c>
      <c r="T15" s="774" t="s">
        <v>21</v>
      </c>
      <c r="U15" s="775">
        <f t="shared" si="1"/>
        <v>100</v>
      </c>
      <c r="V15" s="774" t="s">
        <v>21</v>
      </c>
      <c r="W15" s="775">
        <f t="shared" si="2"/>
        <v>100</v>
      </c>
      <c r="X15" s="1816"/>
      <c r="Y15" s="3211" t="s">
        <v>2565</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19"/>
      <c r="Q16" s="1813"/>
      <c r="R16" s="774"/>
      <c r="S16" s="775"/>
      <c r="T16" s="774"/>
      <c r="U16" s="775"/>
      <c r="V16" s="774"/>
      <c r="W16" s="775"/>
      <c r="X16" s="1816"/>
      <c r="Y16" s="3212"/>
      <c r="Z16" s="1817"/>
      <c r="AA16" s="1814">
        <v>1</v>
      </c>
      <c r="AB16" s="1814">
        <v>1</v>
      </c>
      <c r="AC16" s="1814">
        <v>1</v>
      </c>
    </row>
    <row r="17" spans="1:29" ht="85.5">
      <c r="A17" s="428"/>
      <c r="B17" s="451" t="s">
        <v>2103</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9"/>
      <c r="Q17" s="1813" t="str">
        <f>B17</f>
        <v>交通便捷度</v>
      </c>
      <c r="R17" s="774" t="s">
        <v>21</v>
      </c>
      <c r="S17" s="775">
        <f>F17</f>
        <v>100</v>
      </c>
      <c r="T17" s="774" t="s">
        <v>21</v>
      </c>
      <c r="U17" s="775">
        <f>H17</f>
        <v>100</v>
      </c>
      <c r="V17" s="774" t="s">
        <v>21</v>
      </c>
      <c r="W17" s="775">
        <f>J17</f>
        <v>100</v>
      </c>
      <c r="X17" s="1816"/>
      <c r="Y17" s="3212"/>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19"/>
      <c r="Q18" s="1813"/>
      <c r="R18" s="774"/>
      <c r="S18" s="775"/>
      <c r="T18" s="774"/>
      <c r="U18" s="775"/>
      <c r="V18" s="774"/>
      <c r="W18" s="775"/>
      <c r="X18" s="1816"/>
      <c r="Y18" s="3212"/>
      <c r="Z18" s="1817"/>
      <c r="AA18" s="1814">
        <v>1</v>
      </c>
      <c r="AB18" s="1814">
        <v>1</v>
      </c>
      <c r="AC18" s="1814">
        <v>1</v>
      </c>
    </row>
    <row r="19" spans="1:29" ht="42.75">
      <c r="A19" s="428"/>
      <c r="B19" s="451" t="s">
        <v>2101</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9"/>
      <c r="Q19" s="1813" t="str">
        <f>B19</f>
        <v>公共配套设施</v>
      </c>
      <c r="R19" s="774" t="s">
        <v>21</v>
      </c>
      <c r="S19" s="775">
        <f>F19</f>
        <v>100</v>
      </c>
      <c r="T19" s="774" t="s">
        <v>21</v>
      </c>
      <c r="U19" s="775">
        <f>H19</f>
        <v>100</v>
      </c>
      <c r="V19" s="774" t="s">
        <v>21</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19"/>
      <c r="Q20" s="1813"/>
      <c r="R20" s="774"/>
      <c r="S20" s="775"/>
      <c r="T20" s="774"/>
      <c r="U20" s="775"/>
      <c r="V20" s="774"/>
      <c r="W20" s="775"/>
      <c r="X20" s="1816"/>
      <c r="Y20" s="3212"/>
      <c r="Z20" s="1817"/>
      <c r="AA20" s="1814">
        <v>1</v>
      </c>
      <c r="AB20" s="1814">
        <v>1</v>
      </c>
      <c r="AC20" s="1814">
        <v>1</v>
      </c>
    </row>
    <row r="21" spans="1:29" ht="28.5">
      <c r="A21" s="428"/>
      <c r="B21" s="1387" t="s">
        <v>2104</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19"/>
      <c r="Q22" s="1813"/>
      <c r="R22" s="774"/>
      <c r="S22" s="775"/>
      <c r="T22" s="774"/>
      <c r="U22" s="775"/>
      <c r="V22" s="774"/>
      <c r="W22" s="775"/>
      <c r="X22" s="1816"/>
      <c r="Y22" s="3212"/>
      <c r="Z22" s="1817"/>
      <c r="AA22" s="1814">
        <v>1</v>
      </c>
      <c r="AB22" s="1814">
        <v>1</v>
      </c>
      <c r="AC22" s="1814">
        <v>1</v>
      </c>
    </row>
    <row r="23" spans="1:29" ht="57">
      <c r="A23" s="428"/>
      <c r="B23" s="451" t="s">
        <v>2108</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9"/>
      <c r="Q23" s="1813" t="str">
        <f>B23</f>
        <v>自然及人文环境</v>
      </c>
      <c r="R23" s="774" t="s">
        <v>21</v>
      </c>
      <c r="S23" s="775">
        <f>F23</f>
        <v>100</v>
      </c>
      <c r="T23" s="774" t="s">
        <v>21</v>
      </c>
      <c r="U23" s="775">
        <f>H23</f>
        <v>100</v>
      </c>
      <c r="V23" s="774" t="s">
        <v>21</v>
      </c>
      <c r="W23" s="775">
        <f>J23</f>
        <v>100</v>
      </c>
      <c r="X23" s="1816"/>
      <c r="Y23" s="3212"/>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19"/>
      <c r="Q24" s="1813"/>
      <c r="R24" s="774"/>
      <c r="S24" s="775"/>
      <c r="T24" s="774"/>
      <c r="U24" s="775"/>
      <c r="V24" s="774"/>
      <c r="W24" s="775"/>
      <c r="X24" s="1816"/>
      <c r="Y24" s="3212"/>
      <c r="Z24" s="1817"/>
      <c r="AA24" s="1814">
        <v>1</v>
      </c>
      <c r="AB24" s="1814">
        <v>1</v>
      </c>
      <c r="AC24" s="1814">
        <v>1</v>
      </c>
    </row>
    <row r="25" spans="1:29" ht="15">
      <c r="A25" s="428"/>
      <c r="B25" s="422" t="s">
        <v>2566</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1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2"/>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19"/>
      <c r="Q26" s="1813" t="str">
        <f t="shared" si="11"/>
        <v>朝向</v>
      </c>
      <c r="R26" s="774" t="s">
        <v>21</v>
      </c>
      <c r="S26" s="775">
        <f t="shared" si="12"/>
        <v>100</v>
      </c>
      <c r="T26" s="774" t="s">
        <v>21</v>
      </c>
      <c r="U26" s="775">
        <f t="shared" si="13"/>
        <v>100</v>
      </c>
      <c r="V26" s="774" t="s">
        <v>21</v>
      </c>
      <c r="W26" s="775">
        <f t="shared" si="14"/>
        <v>100</v>
      </c>
      <c r="X26" s="1816"/>
      <c r="Y26" s="321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19"/>
      <c r="Q27" s="1798">
        <f t="shared" si="11"/>
        <v>111</v>
      </c>
      <c r="R27" s="770" t="s">
        <v>21</v>
      </c>
      <c r="S27" s="771">
        <f t="shared" si="12"/>
        <v>100</v>
      </c>
      <c r="T27" s="770" t="s">
        <v>21</v>
      </c>
      <c r="U27" s="771">
        <f t="shared" si="13"/>
        <v>100</v>
      </c>
      <c r="V27" s="770" t="s">
        <v>21</v>
      </c>
      <c r="W27" s="771">
        <f t="shared" si="14"/>
        <v>100</v>
      </c>
      <c r="X27" s="772"/>
      <c r="Y27" s="321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19"/>
      <c r="Q28" s="1813">
        <f t="shared" si="11"/>
        <v>111</v>
      </c>
      <c r="R28" s="774" t="s">
        <v>21</v>
      </c>
      <c r="S28" s="775">
        <f t="shared" si="12"/>
        <v>100</v>
      </c>
      <c r="T28" s="774" t="s">
        <v>21</v>
      </c>
      <c r="U28" s="775">
        <f t="shared" si="13"/>
        <v>100</v>
      </c>
      <c r="V28" s="774" t="s">
        <v>21</v>
      </c>
      <c r="W28" s="775">
        <f t="shared" si="14"/>
        <v>100</v>
      </c>
      <c r="X28" s="1816"/>
      <c r="Y28" s="321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19"/>
      <c r="Q29" s="1813">
        <f t="shared" si="11"/>
        <v>111</v>
      </c>
      <c r="R29" s="774" t="s">
        <v>21</v>
      </c>
      <c r="S29" s="775">
        <f t="shared" si="12"/>
        <v>100</v>
      </c>
      <c r="T29" s="774" t="s">
        <v>21</v>
      </c>
      <c r="U29" s="775">
        <f t="shared" si="13"/>
        <v>100</v>
      </c>
      <c r="V29" s="774" t="s">
        <v>21</v>
      </c>
      <c r="W29" s="775">
        <f t="shared" si="14"/>
        <v>100</v>
      </c>
      <c r="X29" s="1816"/>
      <c r="Y29" s="321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19"/>
      <c r="Q30" s="1813">
        <f t="shared" si="11"/>
        <v>111</v>
      </c>
      <c r="R30" s="774" t="s">
        <v>21</v>
      </c>
      <c r="S30" s="775">
        <f t="shared" si="12"/>
        <v>100</v>
      </c>
      <c r="T30" s="774" t="s">
        <v>21</v>
      </c>
      <c r="U30" s="775">
        <f t="shared" si="13"/>
        <v>100</v>
      </c>
      <c r="V30" s="774" t="s">
        <v>21</v>
      </c>
      <c r="W30" s="775">
        <f t="shared" si="14"/>
        <v>100</v>
      </c>
      <c r="X30" s="1816"/>
      <c r="Y30" s="321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19"/>
      <c r="Q31" s="1813">
        <f t="shared" si="11"/>
        <v>111</v>
      </c>
      <c r="R31" s="774" t="s">
        <v>21</v>
      </c>
      <c r="S31" s="775">
        <f t="shared" si="12"/>
        <v>100</v>
      </c>
      <c r="T31" s="774" t="s">
        <v>21</v>
      </c>
      <c r="U31" s="775">
        <f t="shared" si="13"/>
        <v>100</v>
      </c>
      <c r="V31" s="774" t="s">
        <v>21</v>
      </c>
      <c r="W31" s="775">
        <f t="shared" si="14"/>
        <v>100</v>
      </c>
      <c r="X31" s="1816"/>
      <c r="Y31" s="3212"/>
      <c r="Z31" s="1817">
        <f t="shared" si="18"/>
        <v>111</v>
      </c>
      <c r="AA31" s="1814">
        <f t="shared" si="15"/>
        <v>1</v>
      </c>
      <c r="AB31" s="1814">
        <f t="shared" si="16"/>
        <v>1</v>
      </c>
      <c r="AC31" s="1814">
        <f t="shared" si="17"/>
        <v>1</v>
      </c>
    </row>
    <row r="32" spans="1:29" ht="15">
      <c r="A32" s="440" t="s">
        <v>2568</v>
      </c>
      <c r="B32" s="71" t="s">
        <v>2569</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13" t="s">
        <v>2570</v>
      </c>
      <c r="Q32" s="1813" t="str">
        <f t="shared" si="11"/>
        <v>建筑类型</v>
      </c>
      <c r="R32" s="774" t="s">
        <v>21</v>
      </c>
      <c r="S32" s="775">
        <f t="shared" si="12"/>
        <v>100</v>
      </c>
      <c r="T32" s="774" t="s">
        <v>21</v>
      </c>
      <c r="U32" s="775">
        <f t="shared" si="13"/>
        <v>100</v>
      </c>
      <c r="V32" s="774" t="s">
        <v>21</v>
      </c>
      <c r="W32" s="775">
        <f t="shared" si="14"/>
        <v>100</v>
      </c>
      <c r="X32" s="1816"/>
      <c r="Y32" s="3216"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14"/>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14" t="e">
        <f t="shared" si="15"/>
        <v>#N/A</v>
      </c>
      <c r="AB33" s="1814" t="e">
        <f t="shared" si="16"/>
        <v>#N/A</v>
      </c>
      <c r="AC33" s="1814" t="e">
        <f t="shared" si="17"/>
        <v>#N/A</v>
      </c>
    </row>
    <row r="34" spans="1:29" ht="15">
      <c r="A34" s="472"/>
      <c r="B34" s="422" t="s">
        <v>2572</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14"/>
      <c r="Q34" s="1813" t="str">
        <f t="shared" si="11"/>
        <v>建筑结构</v>
      </c>
      <c r="R34" s="774" t="s">
        <v>21</v>
      </c>
      <c r="S34" s="775">
        <f t="shared" si="12"/>
        <v>100</v>
      </c>
      <c r="T34" s="774" t="s">
        <v>21</v>
      </c>
      <c r="U34" s="775">
        <f t="shared" si="13"/>
        <v>100</v>
      </c>
      <c r="V34" s="774" t="s">
        <v>21</v>
      </c>
      <c r="W34" s="775">
        <f t="shared" si="14"/>
        <v>100</v>
      </c>
      <c r="X34" s="1816"/>
      <c r="Y34" s="3216"/>
      <c r="Z34" s="1817" t="str">
        <f t="shared" si="18"/>
        <v>建筑结构</v>
      </c>
      <c r="AA34" s="1814">
        <f t="shared" si="15"/>
        <v>1</v>
      </c>
      <c r="AB34" s="1814">
        <f t="shared" si="16"/>
        <v>1</v>
      </c>
      <c r="AC34" s="1814">
        <f t="shared" si="17"/>
        <v>1</v>
      </c>
    </row>
    <row r="35" spans="1:29" ht="15">
      <c r="A35" s="472"/>
      <c r="B35" s="422" t="s">
        <v>2573</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14"/>
      <c r="Q35" s="1813" t="str">
        <f t="shared" si="11"/>
        <v>建筑品质</v>
      </c>
      <c r="R35" s="774" t="s">
        <v>21</v>
      </c>
      <c r="S35" s="775">
        <f t="shared" si="12"/>
        <v>100</v>
      </c>
      <c r="T35" s="774" t="s">
        <v>21</v>
      </c>
      <c r="U35" s="775">
        <f t="shared" si="13"/>
        <v>100</v>
      </c>
      <c r="V35" s="774" t="s">
        <v>21</v>
      </c>
      <c r="W35" s="775">
        <f t="shared" si="14"/>
        <v>100</v>
      </c>
      <c r="X35" s="1816"/>
      <c r="Y35" s="3216"/>
      <c r="Z35" s="1817" t="str">
        <f t="shared" si="18"/>
        <v>建筑品质</v>
      </c>
      <c r="AA35" s="1814">
        <f t="shared" si="15"/>
        <v>1</v>
      </c>
      <c r="AB35" s="1814">
        <f t="shared" si="16"/>
        <v>1</v>
      </c>
      <c r="AC35" s="1814">
        <f t="shared" si="17"/>
        <v>1</v>
      </c>
    </row>
    <row r="36" spans="1:29" ht="15">
      <c r="A36" s="472"/>
      <c r="B36" s="422" t="s">
        <v>2574</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14"/>
      <c r="Q36" s="1813" t="str">
        <f t="shared" si="11"/>
        <v>公共部分装修</v>
      </c>
      <c r="R36" s="774" t="s">
        <v>21</v>
      </c>
      <c r="S36" s="775">
        <f t="shared" si="12"/>
        <v>100</v>
      </c>
      <c r="T36" s="774" t="s">
        <v>21</v>
      </c>
      <c r="U36" s="775">
        <f t="shared" si="13"/>
        <v>100</v>
      </c>
      <c r="V36" s="774" t="s">
        <v>21</v>
      </c>
      <c r="W36" s="775">
        <f t="shared" si="14"/>
        <v>100</v>
      </c>
      <c r="X36" s="1816"/>
      <c r="Y36" s="3216"/>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4"/>
      <c r="Q37" s="1798"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2576</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14" t="s">
        <v>2570</v>
      </c>
      <c r="Q38" s="1813" t="str">
        <f t="shared" si="11"/>
        <v>物业管理</v>
      </c>
      <c r="R38" s="774" t="s">
        <v>21</v>
      </c>
      <c r="S38" s="775">
        <f t="shared" si="12"/>
        <v>100</v>
      </c>
      <c r="T38" s="774" t="s">
        <v>21</v>
      </c>
      <c r="U38" s="775">
        <f t="shared" si="13"/>
        <v>100</v>
      </c>
      <c r="V38" s="774" t="s">
        <v>21</v>
      </c>
      <c r="W38" s="775">
        <f t="shared" si="14"/>
        <v>100</v>
      </c>
      <c r="X38" s="1816"/>
      <c r="Y38" s="3216" t="s">
        <v>2570</v>
      </c>
      <c r="Z38" s="1817" t="str">
        <f t="shared" si="18"/>
        <v>物业管理</v>
      </c>
      <c r="AA38" s="1814">
        <f t="shared" si="15"/>
        <v>1</v>
      </c>
      <c r="AB38" s="1814">
        <f t="shared" si="16"/>
        <v>1</v>
      </c>
      <c r="AC38" s="1814">
        <f t="shared" si="17"/>
        <v>1</v>
      </c>
    </row>
    <row r="39" spans="1:29" ht="15">
      <c r="A39" s="472"/>
      <c r="B39" s="422" t="s">
        <v>2577</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14"/>
      <c r="Q39" s="1813" t="str">
        <f t="shared" si="11"/>
        <v>市政基础设施</v>
      </c>
      <c r="R39" s="774" t="s">
        <v>21</v>
      </c>
      <c r="S39" s="775">
        <f t="shared" si="12"/>
        <v>100</v>
      </c>
      <c r="T39" s="774" t="s">
        <v>21</v>
      </c>
      <c r="U39" s="775">
        <f t="shared" si="13"/>
        <v>100</v>
      </c>
      <c r="V39" s="774" t="s">
        <v>21</v>
      </c>
      <c r="W39" s="775">
        <f t="shared" si="14"/>
        <v>100</v>
      </c>
      <c r="X39" s="1816"/>
      <c r="Y39" s="3216"/>
      <c r="Z39" s="1817" t="str">
        <f t="shared" si="18"/>
        <v>市政基础设施</v>
      </c>
      <c r="AA39" s="1814">
        <f t="shared" si="15"/>
        <v>1</v>
      </c>
      <c r="AB39" s="1814">
        <f t="shared" si="16"/>
        <v>1</v>
      </c>
      <c r="AC39" s="1814">
        <f t="shared" si="17"/>
        <v>1</v>
      </c>
    </row>
    <row r="40" spans="1:29" ht="15">
      <c r="A40" s="472"/>
      <c r="B40" s="422" t="s">
        <v>2578</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14"/>
      <c r="Q40" s="1813" t="str">
        <f t="shared" si="11"/>
        <v>房型</v>
      </c>
      <c r="R40" s="774" t="s">
        <v>21</v>
      </c>
      <c r="S40" s="775">
        <f t="shared" si="12"/>
        <v>100</v>
      </c>
      <c r="T40" s="774" t="s">
        <v>21</v>
      </c>
      <c r="U40" s="775">
        <f t="shared" si="13"/>
        <v>100</v>
      </c>
      <c r="V40" s="774" t="s">
        <v>21</v>
      </c>
      <c r="W40" s="775">
        <f t="shared" si="14"/>
        <v>100</v>
      </c>
      <c r="X40" s="1816"/>
      <c r="Y40" s="3216"/>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4">
        <f t="shared" si="15"/>
        <v>1</v>
      </c>
      <c r="AB41" s="1814">
        <f t="shared" si="16"/>
        <v>1</v>
      </c>
      <c r="AC41" s="1814">
        <f t="shared" si="17"/>
        <v>1</v>
      </c>
    </row>
    <row r="42" spans="1:29" ht="15">
      <c r="A42" s="472"/>
      <c r="B42" s="422" t="s">
        <v>2580</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14"/>
      <c r="Q42" s="1813" t="str">
        <f t="shared" si="11"/>
        <v>内部装修</v>
      </c>
      <c r="R42" s="774" t="s">
        <v>21</v>
      </c>
      <c r="S42" s="775">
        <f t="shared" si="12"/>
        <v>100</v>
      </c>
      <c r="T42" s="774" t="s">
        <v>21</v>
      </c>
      <c r="U42" s="775">
        <f t="shared" si="13"/>
        <v>100</v>
      </c>
      <c r="V42" s="774" t="s">
        <v>21</v>
      </c>
      <c r="W42" s="775">
        <f t="shared" si="14"/>
        <v>100</v>
      </c>
      <c r="X42" s="1816"/>
      <c r="Y42" s="3216"/>
      <c r="Z42" s="1817" t="str">
        <f t="shared" si="18"/>
        <v>内部装修</v>
      </c>
      <c r="AA42" s="1814">
        <f t="shared" si="15"/>
        <v>1</v>
      </c>
      <c r="AB42" s="1814">
        <f t="shared" si="16"/>
        <v>1</v>
      </c>
      <c r="AC42" s="1814">
        <f t="shared" si="17"/>
        <v>1</v>
      </c>
    </row>
    <row r="43" spans="1:29" ht="15">
      <c r="A43" s="472"/>
      <c r="B43" s="422" t="s">
        <v>2581</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14"/>
      <c r="Q43" s="1813" t="str">
        <f t="shared" si="11"/>
        <v>内部装修维护情况</v>
      </c>
      <c r="R43" s="774" t="s">
        <v>21</v>
      </c>
      <c r="S43" s="775">
        <f t="shared" si="12"/>
        <v>100</v>
      </c>
      <c r="T43" s="774" t="s">
        <v>21</v>
      </c>
      <c r="U43" s="775">
        <f t="shared" si="13"/>
        <v>100</v>
      </c>
      <c r="V43" s="774" t="s">
        <v>21</v>
      </c>
      <c r="W43" s="775">
        <f t="shared" si="14"/>
        <v>100</v>
      </c>
      <c r="X43" s="1816"/>
      <c r="Y43" s="321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14"/>
      <c r="Q44" s="1798">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14"/>
      <c r="Q45" s="1813">
        <f t="shared" si="11"/>
        <v>111</v>
      </c>
      <c r="R45" s="774" t="s">
        <v>21</v>
      </c>
      <c r="S45" s="775">
        <f t="shared" si="12"/>
        <v>100</v>
      </c>
      <c r="T45" s="774" t="s">
        <v>21</v>
      </c>
      <c r="U45" s="775">
        <f t="shared" si="13"/>
        <v>100</v>
      </c>
      <c r="V45" s="774" t="s">
        <v>21</v>
      </c>
      <c r="W45" s="775">
        <f t="shared" si="14"/>
        <v>100</v>
      </c>
      <c r="X45" s="1816"/>
      <c r="Y45" s="3216"/>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15"/>
      <c r="Q46" s="1813">
        <f t="shared" si="11"/>
        <v>111</v>
      </c>
      <c r="R46" s="774" t="s">
        <v>20</v>
      </c>
      <c r="S46" s="775">
        <f t="shared" si="12"/>
        <v>100</v>
      </c>
      <c r="T46" s="774" t="s">
        <v>20</v>
      </c>
      <c r="U46" s="775">
        <f t="shared" si="13"/>
        <v>100</v>
      </c>
      <c r="V46" s="774" t="s">
        <v>20</v>
      </c>
      <c r="W46" s="775">
        <f t="shared" si="14"/>
        <v>100</v>
      </c>
      <c r="X46" s="1816"/>
      <c r="Y46" s="3217"/>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7"/>
      <c r="L47" s="1146"/>
      <c r="M47" s="1147"/>
      <c r="N47" s="1134"/>
      <c r="O47" s="1147"/>
      <c r="P47" s="3209" t="str">
        <f>A47</f>
        <v>成交单价（元/平方米）</v>
      </c>
      <c r="Q47" s="3209"/>
      <c r="R47" s="3210">
        <f>E47</f>
        <v>0</v>
      </c>
      <c r="S47" s="3210"/>
      <c r="T47" s="3210">
        <f>G47</f>
        <v>0</v>
      </c>
      <c r="U47" s="3210"/>
      <c r="V47" s="3210">
        <f>I47</f>
        <v>0</v>
      </c>
      <c r="W47" s="3210"/>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8"/>
      <c r="L48" s="1146"/>
      <c r="M48" s="1147"/>
      <c r="N48" s="1147"/>
      <c r="O48" s="1147"/>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9"/>
      <c r="L49" s="1146"/>
      <c r="M49" s="1147"/>
      <c r="N49" s="1147"/>
      <c r="O49" s="1147"/>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2"/>
      <c r="Q57" s="504"/>
    </row>
    <row r="58" spans="1:29" s="508" customFormat="1" ht="15">
      <c r="A58" s="505" t="s">
        <v>2589</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2591</v>
      </c>
      <c r="B61" s="510"/>
      <c r="C61" s="522" t="s">
        <v>2592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2104</v>
      </c>
      <c r="C82" s="539" t="s">
        <v>2609</v>
      </c>
      <c r="D82" s="539" t="s">
        <v>2610</v>
      </c>
      <c r="E82" s="539" t="s">
        <v>2611</v>
      </c>
      <c r="F82" s="539" t="s">
        <v>2612</v>
      </c>
      <c r="G82" s="539" t="s">
        <v>2613</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2616</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2568</v>
      </c>
      <c r="B100" s="528" t="s">
        <v>2617</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2620</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2621</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2624</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2627</v>
      </c>
    </row>
    <row r="137" spans="1:17" ht="15">
      <c r="B137" s="2644" t="s">
        <v>2628</v>
      </c>
      <c r="C137" s="2645"/>
      <c r="D137" s="2645"/>
      <c r="E137" s="2645"/>
      <c r="F137" s="2645"/>
      <c r="G137" s="2646"/>
      <c r="H137" s="2647"/>
      <c r="I137" s="2648" t="s">
        <v>2629</v>
      </c>
      <c r="J137" s="2645"/>
      <c r="K137" s="2649"/>
    </row>
    <row r="138" spans="1:17" ht="15">
      <c r="B138" s="2650"/>
      <c r="C138" s="146" t="s">
        <v>2630</v>
      </c>
      <c r="D138" s="146" t="s">
        <v>2631</v>
      </c>
      <c r="E138" s="2651" t="s">
        <v>2632</v>
      </c>
      <c r="F138" s="2652" t="s">
        <v>2633</v>
      </c>
      <c r="G138" s="146" t="s">
        <v>2631</v>
      </c>
      <c r="H138" s="147" t="s">
        <v>2632</v>
      </c>
      <c r="I138" s="2653"/>
      <c r="J138" s="146" t="s">
        <v>2634</v>
      </c>
      <c r="K138" s="147" t="s">
        <v>2635</v>
      </c>
    </row>
    <row r="139" spans="1:17" ht="15">
      <c r="B139" s="1087">
        <v>6</v>
      </c>
      <c r="C139" s="1088">
        <v>96</v>
      </c>
      <c r="D139" s="2654" t="s">
        <v>2636</v>
      </c>
      <c r="E139" s="1089">
        <v>100</v>
      </c>
      <c r="F139" s="1090">
        <v>102.5</v>
      </c>
      <c r="G139" s="2654" t="s">
        <v>2636</v>
      </c>
      <c r="H139" s="1091">
        <v>105</v>
      </c>
      <c r="I139" s="2655" t="s">
        <v>2637</v>
      </c>
      <c r="J139" s="1088">
        <v>20</v>
      </c>
      <c r="K139" s="1092">
        <f>C145/(J139-2)</f>
        <v>4.0555555555555553E-3</v>
      </c>
    </row>
    <row r="140" spans="1:17" ht="15">
      <c r="B140" s="1093">
        <v>5</v>
      </c>
      <c r="C140" s="1094">
        <v>100</v>
      </c>
      <c r="D140" s="1094"/>
      <c r="E140" s="1095"/>
      <c r="F140" s="1096">
        <v>102</v>
      </c>
      <c r="G140" s="1094"/>
      <c r="H140" s="1097"/>
      <c r="I140" s="2656" t="s">
        <v>2638</v>
      </c>
      <c r="J140" s="315">
        <f>ROUNDUP((J139-1)/2,0)</f>
        <v>10</v>
      </c>
      <c r="K140" s="1098">
        <v>100</v>
      </c>
    </row>
    <row r="141" spans="1:17" ht="15">
      <c r="B141" s="1093">
        <v>4</v>
      </c>
      <c r="C141" s="1094">
        <v>102</v>
      </c>
      <c r="D141" s="1094"/>
      <c r="E141" s="1095"/>
      <c r="F141" s="1096">
        <v>101.5</v>
      </c>
      <c r="G141" s="1094"/>
      <c r="H141" s="1097"/>
      <c r="I141" s="2656" t="s">
        <v>2639</v>
      </c>
      <c r="J141" s="315">
        <v>1</v>
      </c>
      <c r="K141" s="1099">
        <f>ROUND(100+(J141-J140)*K139*100,1)</f>
        <v>96.4</v>
      </c>
    </row>
    <row r="142" spans="1:17" ht="15">
      <c r="B142" s="1093">
        <v>3</v>
      </c>
      <c r="C142" s="1094">
        <v>103</v>
      </c>
      <c r="D142" s="1094"/>
      <c r="E142" s="1095"/>
      <c r="F142" s="1096">
        <v>101</v>
      </c>
      <c r="G142" s="1094"/>
      <c r="H142" s="1097"/>
      <c r="I142" s="2656" t="s">
        <v>2640</v>
      </c>
      <c r="J142" s="315">
        <f>J139</f>
        <v>20</v>
      </c>
      <c r="K142" s="1100">
        <v>95</v>
      </c>
    </row>
    <row r="143" spans="1:17" ht="15">
      <c r="B143" s="1093">
        <v>2</v>
      </c>
      <c r="C143" s="1094">
        <v>100</v>
      </c>
      <c r="D143" s="1094"/>
      <c r="E143" s="1095"/>
      <c r="F143" s="1096">
        <v>100.5</v>
      </c>
      <c r="G143" s="1094"/>
      <c r="H143" s="1097"/>
      <c r="I143" s="2656" t="s">
        <v>2641</v>
      </c>
      <c r="J143" s="1094">
        <v>15</v>
      </c>
      <c r="K143" s="1099">
        <f>ROUND(100+(J143-J140)*K139*100,1)</f>
        <v>102</v>
      </c>
    </row>
    <row r="144" spans="1:17" ht="15">
      <c r="B144" s="1093">
        <v>1</v>
      </c>
      <c r="C144" s="1094">
        <v>98</v>
      </c>
      <c r="D144" s="2657" t="s">
        <v>2642</v>
      </c>
      <c r="E144" s="1095">
        <v>102</v>
      </c>
      <c r="F144" s="1101">
        <v>100</v>
      </c>
      <c r="G144" s="2657" t="s">
        <v>2642</v>
      </c>
      <c r="H144" s="1097">
        <v>105</v>
      </c>
      <c r="I144" s="2656" t="s">
        <v>2641</v>
      </c>
      <c r="J144" s="1094">
        <v>18</v>
      </c>
      <c r="K144" s="1099">
        <f>ROUND(100+(J144-J140)*K139*100,1)</f>
        <v>103.2</v>
      </c>
    </row>
    <row r="145" spans="2:11" ht="15.75" thickBot="1">
      <c r="B145" s="2658" t="s">
        <v>2643</v>
      </c>
      <c r="C145" s="1102">
        <f>ROUND(MAX(C139:C144)/MIN(C139:C144)-1,3)</f>
        <v>7.2999999999999995E-2</v>
      </c>
      <c r="D145" s="1103"/>
      <c r="E145" s="1103"/>
      <c r="F145" s="2659" t="s">
        <v>2644</v>
      </c>
      <c r="G145" s="2660"/>
      <c r="H145" s="2661"/>
      <c r="I145" s="2662" t="s">
        <v>2641</v>
      </c>
      <c r="J145" s="1104">
        <v>8</v>
      </c>
      <c r="K145" s="1105">
        <f>ROUND(100+(J145-J140)*K139*100,1)</f>
        <v>99.2</v>
      </c>
    </row>
    <row r="147" spans="2:11">
      <c r="B147" s="2643" t="s">
        <v>2645</v>
      </c>
    </row>
    <row r="148" spans="2:11">
      <c r="B148" s="2643"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52" sqref="L5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8" t="s">
        <v>2647</v>
      </c>
      <c r="C1" s="1637" t="s">
        <v>2535</v>
      </c>
      <c r="D1" s="1624"/>
      <c r="E1" s="2663"/>
      <c r="F1" s="2590"/>
      <c r="G1" s="1634" t="s">
        <v>2648</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2335</v>
      </c>
      <c r="B2" s="1421" t="e">
        <f ca="1">IF(C2="——",ROUND(C49*D3/10000,0),ROUND(C49*D3/10000,0)-D2)</f>
        <v>#DIV/0!</v>
      </c>
      <c r="C2" s="2592"/>
      <c r="D2" s="1368" t="e">
        <f ca="1">SUMIF(INDIRECT("'"&amp;F2&amp;"'"&amp;"!A:A"),"承租人权益价值",INDIRECT("'"&amp;F2&amp;"'"&amp;"!c:c"))</f>
        <v>#REF!</v>
      </c>
      <c r="E2" s="2593" t="s">
        <v>2336</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2337</v>
      </c>
      <c r="B3" s="609" t="e">
        <f ca="1">IF(C2="——",C49,ROUND(B2*10000/D3,0))</f>
        <v>#DIV/0!</v>
      </c>
      <c r="C3" s="400" t="s">
        <v>2649</v>
      </c>
      <c r="D3" s="399">
        <f>IF(D1="",'数据-汇总表'!E3,SUMIF('数据-汇总表'!$C19:$C33,D1,'数据-汇总表'!$E19:$E33))</f>
        <v>89187.31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2650</v>
      </c>
      <c r="B4" s="402"/>
      <c r="C4" s="3192" t="s">
        <v>2651</v>
      </c>
      <c r="D4" s="3193"/>
      <c r="E4" s="3194" t="s">
        <v>2652</v>
      </c>
      <c r="F4" s="3195"/>
      <c r="G4" s="3192" t="s">
        <v>2653</v>
      </c>
      <c r="H4" s="3193"/>
      <c r="I4" s="3192" t="s">
        <v>2654</v>
      </c>
      <c r="J4" s="3193"/>
      <c r="K4" s="610" t="s">
        <v>2655</v>
      </c>
      <c r="L4" s="1133"/>
      <c r="M4" s="1134"/>
      <c r="N4" s="1134"/>
      <c r="O4" s="1134"/>
      <c r="P4" s="3196" t="s">
        <v>2656</v>
      </c>
      <c r="Q4" s="3197"/>
      <c r="R4" s="3179" t="s">
        <v>2652</v>
      </c>
      <c r="S4" s="3180"/>
      <c r="T4" s="3179" t="s">
        <v>2653</v>
      </c>
      <c r="U4" s="3180"/>
      <c r="V4" s="3204" t="s">
        <v>2654</v>
      </c>
      <c r="W4" s="3204"/>
      <c r="X4" s="1816"/>
      <c r="Y4" s="3179" t="s">
        <v>2656</v>
      </c>
      <c r="Z4" s="3180"/>
      <c r="AA4" s="3174" t="s">
        <v>2652</v>
      </c>
      <c r="AB4" s="3204" t="s">
        <v>2653</v>
      </c>
      <c r="AC4" s="3174" t="s">
        <v>2654</v>
      </c>
    </row>
    <row r="5" spans="1:29" ht="15">
      <c r="A5" s="404"/>
      <c r="B5" s="405"/>
      <c r="C5" s="3185" t="s">
        <v>2547</v>
      </c>
      <c r="D5" s="3186"/>
      <c r="E5" s="3183" t="s">
        <v>2548</v>
      </c>
      <c r="F5" s="3184"/>
      <c r="G5" s="3185" t="s">
        <v>2549</v>
      </c>
      <c r="H5" s="3186"/>
      <c r="I5" s="3185" t="s">
        <v>2550</v>
      </c>
      <c r="J5" s="3186"/>
      <c r="K5" s="610"/>
      <c r="L5" s="1133"/>
      <c r="M5" s="1134"/>
      <c r="N5" s="1134"/>
      <c r="O5" s="1134"/>
      <c r="P5" s="3198"/>
      <c r="Q5" s="3199"/>
      <c r="R5" s="3181"/>
      <c r="S5" s="3182"/>
      <c r="T5" s="3181"/>
      <c r="U5" s="3182"/>
      <c r="V5" s="3204"/>
      <c r="W5" s="3204"/>
      <c r="X5" s="1816"/>
      <c r="Y5" s="3181"/>
      <c r="Z5" s="3182"/>
      <c r="AA5" s="3175"/>
      <c r="AB5" s="3204"/>
      <c r="AC5" s="3175"/>
    </row>
    <row r="6" spans="1:29" ht="15.75" thickBot="1">
      <c r="A6" s="406"/>
      <c r="B6" s="407"/>
      <c r="C6" s="3187" t="s">
        <v>2551</v>
      </c>
      <c r="D6" s="3188"/>
      <c r="E6" s="3189" t="s">
        <v>2551</v>
      </c>
      <c r="F6" s="3190"/>
      <c r="G6" s="3187" t="s">
        <v>2551</v>
      </c>
      <c r="H6" s="3188"/>
      <c r="I6" s="3187" t="s">
        <v>2551</v>
      </c>
      <c r="J6" s="3188"/>
      <c r="K6" s="610" t="s">
        <v>2552</v>
      </c>
      <c r="L6" s="1133"/>
      <c r="M6" s="1134"/>
      <c r="N6" s="1134"/>
      <c r="O6" s="1134"/>
      <c r="P6" s="3200"/>
      <c r="Q6" s="3201"/>
      <c r="R6" s="3181"/>
      <c r="S6" s="3182"/>
      <c r="T6" s="3202"/>
      <c r="U6" s="3203"/>
      <c r="V6" s="3204"/>
      <c r="W6" s="3204"/>
      <c r="X6" s="1816"/>
      <c r="Y6" s="3202"/>
      <c r="Z6" s="3203"/>
      <c r="AA6" s="3176"/>
      <c r="AB6" s="3204"/>
      <c r="AC6" s="3176"/>
    </row>
    <row r="7" spans="1:29" s="117" customFormat="1" ht="15.75" thickBot="1">
      <c r="A7" s="408" t="s">
        <v>2553</v>
      </c>
      <c r="B7" s="409"/>
      <c r="C7" s="410">
        <f>'数据-取费表'!B2</f>
        <v>43175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7" t="s">
        <v>2554</v>
      </c>
      <c r="Q7" s="3205"/>
      <c r="R7" s="770" t="s">
        <v>17</v>
      </c>
      <c r="S7" s="771">
        <f t="shared" ref="S7:S15" si="0">F7</f>
        <v>0</v>
      </c>
      <c r="T7" s="770" t="s">
        <v>17</v>
      </c>
      <c r="U7" s="771">
        <f t="shared" ref="U7:U15" si="1">H7</f>
        <v>0</v>
      </c>
      <c r="V7" s="770" t="s">
        <v>17</v>
      </c>
      <c r="W7" s="771">
        <f t="shared" ref="W7:W15" si="2">J7</f>
        <v>0</v>
      </c>
      <c r="X7" s="772"/>
      <c r="Y7" s="3177" t="s">
        <v>2554</v>
      </c>
      <c r="Z7" s="3178"/>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7" t="s">
        <v>2557</v>
      </c>
      <c r="Q8" s="3178"/>
      <c r="R8" s="770" t="s">
        <v>17</v>
      </c>
      <c r="S8" s="771">
        <f t="shared" si="0"/>
        <v>0</v>
      </c>
      <c r="T8" s="770" t="s">
        <v>17</v>
      </c>
      <c r="U8" s="771">
        <f t="shared" si="1"/>
        <v>0</v>
      </c>
      <c r="V8" s="770" t="s">
        <v>17</v>
      </c>
      <c r="W8" s="771">
        <f t="shared" si="2"/>
        <v>0</v>
      </c>
      <c r="X8" s="772"/>
      <c r="Y8" s="3177" t="s">
        <v>2557</v>
      </c>
      <c r="Z8" s="3178"/>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1" t="s">
        <v>2560</v>
      </c>
      <c r="Q9" s="1798" t="str">
        <f t="shared" ref="Q9:Q15" si="6">B9</f>
        <v>用途</v>
      </c>
      <c r="R9" s="770" t="s">
        <v>17</v>
      </c>
      <c r="S9" s="771">
        <f t="shared" si="0"/>
        <v>100</v>
      </c>
      <c r="T9" s="770" t="s">
        <v>17</v>
      </c>
      <c r="U9" s="771">
        <f t="shared" si="1"/>
        <v>100</v>
      </c>
      <c r="V9" s="770" t="s">
        <v>17</v>
      </c>
      <c r="W9" s="771">
        <f t="shared" si="2"/>
        <v>100</v>
      </c>
      <c r="X9" s="772"/>
      <c r="Y9" s="3020"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1"/>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1"/>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2564</v>
      </c>
      <c r="B15" s="69" t="s">
        <v>2658</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8" t="s">
        <v>2565</v>
      </c>
      <c r="Q15" s="1813" t="str">
        <f t="shared" si="6"/>
        <v>商业繁华度</v>
      </c>
      <c r="R15" s="774" t="s">
        <v>17</v>
      </c>
      <c r="S15" s="775">
        <f t="shared" si="0"/>
        <v>100</v>
      </c>
      <c r="T15" s="774" t="s">
        <v>17</v>
      </c>
      <c r="U15" s="775">
        <f t="shared" si="1"/>
        <v>100</v>
      </c>
      <c r="V15" s="774" t="s">
        <v>17</v>
      </c>
      <c r="W15" s="775">
        <f t="shared" si="2"/>
        <v>100</v>
      </c>
      <c r="X15" s="1816"/>
      <c r="Y15" s="3211"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9"/>
      <c r="Q16" s="1813"/>
      <c r="R16" s="774"/>
      <c r="S16" s="775"/>
      <c r="T16" s="774"/>
      <c r="U16" s="775"/>
      <c r="V16" s="774"/>
      <c r="W16" s="775"/>
      <c r="X16" s="1816"/>
      <c r="Y16" s="3212"/>
      <c r="Z16" s="1817"/>
      <c r="AA16" s="1814">
        <v>1</v>
      </c>
      <c r="AB16" s="1814">
        <v>1</v>
      </c>
      <c r="AC16" s="1814">
        <v>1</v>
      </c>
    </row>
    <row r="17" spans="1:29" ht="85.5">
      <c r="A17" s="428"/>
      <c r="B17" s="451" t="s">
        <v>2103</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9"/>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19"/>
      <c r="Q18" s="1813"/>
      <c r="R18" s="774"/>
      <c r="S18" s="775"/>
      <c r="T18" s="774"/>
      <c r="U18" s="775"/>
      <c r="V18" s="774"/>
      <c r="W18" s="775"/>
      <c r="X18" s="1816"/>
      <c r="Y18" s="3212"/>
      <c r="Z18" s="1817"/>
      <c r="AA18" s="1814">
        <v>1</v>
      </c>
      <c r="AB18" s="1814">
        <v>1</v>
      </c>
      <c r="AC18" s="1814">
        <v>1</v>
      </c>
    </row>
    <row r="19" spans="1:29" ht="42.75">
      <c r="A19" s="428"/>
      <c r="B19" s="451" t="s">
        <v>2659</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9"/>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19"/>
      <c r="Q20" s="1813"/>
      <c r="R20" s="774"/>
      <c r="S20" s="775"/>
      <c r="T20" s="774"/>
      <c r="U20" s="775"/>
      <c r="V20" s="774"/>
      <c r="W20" s="775"/>
      <c r="X20" s="1816"/>
      <c r="Y20" s="3212"/>
      <c r="Z20" s="1817"/>
      <c r="AA20" s="1814">
        <v>1</v>
      </c>
      <c r="AB20" s="1814">
        <v>1</v>
      </c>
      <c r="AC20" s="1814">
        <v>1</v>
      </c>
    </row>
    <row r="21" spans="1:29" ht="28.5">
      <c r="A21" s="428"/>
      <c r="B21" s="1387" t="s">
        <v>2660</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19"/>
      <c r="Q22" s="1813"/>
      <c r="R22" s="774"/>
      <c r="S22" s="775"/>
      <c r="T22" s="774"/>
      <c r="U22" s="775"/>
      <c r="V22" s="774"/>
      <c r="W22" s="775"/>
      <c r="X22" s="1816"/>
      <c r="Y22" s="3212"/>
      <c r="Z22" s="1817"/>
      <c r="AA22" s="1814">
        <v>1</v>
      </c>
      <c r="AB22" s="1814">
        <v>1</v>
      </c>
      <c r="AC22" s="1814">
        <v>1</v>
      </c>
    </row>
    <row r="23" spans="1:29" ht="57">
      <c r="A23" s="428"/>
      <c r="B23" s="451" t="s">
        <v>2108</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9"/>
      <c r="Q23" s="1813" t="str">
        <f>B23</f>
        <v>自然及人文环境</v>
      </c>
      <c r="R23" s="774" t="s">
        <v>17</v>
      </c>
      <c r="S23" s="775">
        <f>F23</f>
        <v>100</v>
      </c>
      <c r="T23" s="774" t="s">
        <v>17</v>
      </c>
      <c r="U23" s="775">
        <f>H23</f>
        <v>100</v>
      </c>
      <c r="V23" s="774" t="s">
        <v>17</v>
      </c>
      <c r="W23" s="775">
        <f>J23</f>
        <v>100</v>
      </c>
      <c r="X23" s="1816"/>
      <c r="Y23" s="3212"/>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19"/>
      <c r="Q24" s="1813"/>
      <c r="R24" s="774"/>
      <c r="S24" s="775"/>
      <c r="T24" s="774"/>
      <c r="U24" s="775"/>
      <c r="V24" s="774"/>
      <c r="W24" s="775"/>
      <c r="X24" s="1816"/>
      <c r="Y24" s="3212"/>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9"/>
      <c r="Q25" s="1813" t="str">
        <f t="shared" ref="Q25:Q46" si="11">B25</f>
        <v>临街状况</v>
      </c>
      <c r="R25" s="774" t="s">
        <v>17</v>
      </c>
      <c r="S25" s="775">
        <f>F25</f>
        <v>100</v>
      </c>
      <c r="T25" s="774" t="s">
        <v>17</v>
      </c>
      <c r="U25" s="775">
        <f>H25</f>
        <v>100</v>
      </c>
      <c r="V25" s="774" t="s">
        <v>17</v>
      </c>
      <c r="W25" s="775">
        <f>J25</f>
        <v>100</v>
      </c>
      <c r="X25" s="1816"/>
      <c r="Y25" s="3212"/>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9"/>
      <c r="Q26" s="1813" t="str">
        <f t="shared" si="11"/>
        <v>平面位置/可视性</v>
      </c>
      <c r="R26" s="774" t="s">
        <v>17</v>
      </c>
      <c r="S26" s="775">
        <f>F26</f>
        <v>100</v>
      </c>
      <c r="T26" s="774" t="s">
        <v>17</v>
      </c>
      <c r="U26" s="775">
        <f>H26</f>
        <v>100</v>
      </c>
      <c r="V26" s="774" t="s">
        <v>17</v>
      </c>
      <c r="W26" s="775">
        <f>J26</f>
        <v>100</v>
      </c>
      <c r="X26" s="1816"/>
      <c r="Y26" s="3212"/>
      <c r="Z26" s="1817" t="str">
        <f>Q26</f>
        <v>平面位置/可视性</v>
      </c>
      <c r="AA26" s="1814">
        <f t="shared" si="3"/>
        <v>1</v>
      </c>
      <c r="AB26" s="1814">
        <f t="shared" si="4"/>
        <v>1</v>
      </c>
      <c r="AC26" s="1814">
        <f t="shared" si="5"/>
        <v>1</v>
      </c>
    </row>
    <row r="27" spans="1:29" s="117" customFormat="1" ht="15">
      <c r="A27" s="431"/>
      <c r="B27" s="451" t="s">
        <v>2663</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19"/>
      <c r="Q27" s="1798" t="str">
        <f t="shared" si="11"/>
        <v>人流量</v>
      </c>
      <c r="R27" s="770" t="s">
        <v>17</v>
      </c>
      <c r="S27" s="771">
        <f>F27</f>
        <v>100</v>
      </c>
      <c r="T27" s="770" t="s">
        <v>17</v>
      </c>
      <c r="U27" s="771">
        <f>H27</f>
        <v>100</v>
      </c>
      <c r="V27" s="770" t="s">
        <v>17</v>
      </c>
      <c r="W27" s="771">
        <f>J27</f>
        <v>100</v>
      </c>
      <c r="X27" s="772"/>
      <c r="Y27" s="3212"/>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9"/>
      <c r="Q29" s="1813">
        <f t="shared" si="11"/>
        <v>111</v>
      </c>
      <c r="R29" s="774" t="s">
        <v>17</v>
      </c>
      <c r="S29" s="775">
        <f t="shared" si="12"/>
        <v>100</v>
      </c>
      <c r="T29" s="774" t="s">
        <v>17</v>
      </c>
      <c r="U29" s="775">
        <f t="shared" si="13"/>
        <v>100</v>
      </c>
      <c r="V29" s="774" t="s">
        <v>17</v>
      </c>
      <c r="W29" s="775">
        <f t="shared" si="14"/>
        <v>100</v>
      </c>
      <c r="X29" s="1816"/>
      <c r="Y29" s="321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9"/>
      <c r="Q30" s="1813">
        <f t="shared" si="11"/>
        <v>111</v>
      </c>
      <c r="R30" s="774" t="s">
        <v>17</v>
      </c>
      <c r="S30" s="775">
        <f t="shared" si="12"/>
        <v>100</v>
      </c>
      <c r="T30" s="774" t="s">
        <v>17</v>
      </c>
      <c r="U30" s="775">
        <f t="shared" si="13"/>
        <v>100</v>
      </c>
      <c r="V30" s="774" t="s">
        <v>17</v>
      </c>
      <c r="W30" s="775">
        <f t="shared" si="14"/>
        <v>100</v>
      </c>
      <c r="X30" s="1816"/>
      <c r="Y30" s="321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9"/>
      <c r="Q31" s="1813">
        <f t="shared" si="11"/>
        <v>111</v>
      </c>
      <c r="R31" s="774" t="s">
        <v>17</v>
      </c>
      <c r="S31" s="775">
        <f t="shared" si="12"/>
        <v>100</v>
      </c>
      <c r="T31" s="774" t="s">
        <v>17</v>
      </c>
      <c r="U31" s="775">
        <f t="shared" si="13"/>
        <v>100</v>
      </c>
      <c r="V31" s="774" t="s">
        <v>17</v>
      </c>
      <c r="W31" s="775">
        <f t="shared" si="14"/>
        <v>100</v>
      </c>
      <c r="X31" s="1816"/>
      <c r="Y31" s="3212"/>
      <c r="Z31" s="1817">
        <f t="shared" si="15"/>
        <v>111</v>
      </c>
      <c r="AA31" s="1814">
        <f t="shared" si="3"/>
        <v>1</v>
      </c>
      <c r="AB31" s="1814">
        <f t="shared" si="4"/>
        <v>1</v>
      </c>
      <c r="AC31" s="1814">
        <f t="shared" si="5"/>
        <v>1</v>
      </c>
    </row>
    <row r="32" spans="1:29" ht="15">
      <c r="A32" s="440" t="s">
        <v>2568</v>
      </c>
      <c r="B32" s="71" t="s">
        <v>2665</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13" t="s">
        <v>2570</v>
      </c>
      <c r="Q32" s="1813" t="str">
        <f t="shared" si="11"/>
        <v>商业类型</v>
      </c>
      <c r="R32" s="774" t="s">
        <v>17</v>
      </c>
      <c r="S32" s="775">
        <f t="shared" si="12"/>
        <v>100</v>
      </c>
      <c r="T32" s="774" t="s">
        <v>17</v>
      </c>
      <c r="U32" s="775">
        <f t="shared" si="13"/>
        <v>100</v>
      </c>
      <c r="V32" s="774" t="s">
        <v>17</v>
      </c>
      <c r="W32" s="775">
        <f t="shared" si="14"/>
        <v>100</v>
      </c>
      <c r="X32" s="1816"/>
      <c r="Y32" s="3216"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4"/>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14" t="e">
        <f t="shared" si="3"/>
        <v>#N/A</v>
      </c>
      <c r="AB33" s="1814" t="e">
        <f t="shared" si="4"/>
        <v>#N/A</v>
      </c>
      <c r="AC33" s="1814" t="e">
        <f t="shared" si="5"/>
        <v>#N/A</v>
      </c>
    </row>
    <row r="34" spans="1:29" ht="15">
      <c r="A34" s="472"/>
      <c r="B34" s="422" t="s">
        <v>2572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14"/>
      <c r="Q34" s="1813" t="str">
        <f t="shared" si="11"/>
        <v>建筑结构</v>
      </c>
      <c r="R34" s="774" t="s">
        <v>17</v>
      </c>
      <c r="S34" s="775">
        <f t="shared" si="12"/>
        <v>100</v>
      </c>
      <c r="T34" s="774" t="s">
        <v>17</v>
      </c>
      <c r="U34" s="775">
        <f t="shared" si="13"/>
        <v>100</v>
      </c>
      <c r="V34" s="774" t="s">
        <v>17</v>
      </c>
      <c r="W34" s="775">
        <f t="shared" si="14"/>
        <v>100</v>
      </c>
      <c r="X34" s="1816"/>
      <c r="Y34" s="3216"/>
      <c r="Z34" s="1817" t="str">
        <f t="shared" si="15"/>
        <v>建筑结构</v>
      </c>
      <c r="AA34" s="1814">
        <f t="shared" si="3"/>
        <v>1</v>
      </c>
      <c r="AB34" s="1814">
        <f t="shared" si="4"/>
        <v>1</v>
      </c>
      <c r="AC34" s="1814">
        <f t="shared" si="5"/>
        <v>1</v>
      </c>
    </row>
    <row r="35" spans="1:29" ht="15">
      <c r="A35" s="472"/>
      <c r="B35" s="422" t="s">
        <v>2666</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14"/>
      <c r="Q35" s="1813" t="str">
        <f t="shared" si="11"/>
        <v>公共部分装修</v>
      </c>
      <c r="R35" s="774" t="s">
        <v>17</v>
      </c>
      <c r="S35" s="775">
        <f t="shared" si="12"/>
        <v>100</v>
      </c>
      <c r="T35" s="774" t="s">
        <v>17</v>
      </c>
      <c r="U35" s="775">
        <f t="shared" si="13"/>
        <v>100</v>
      </c>
      <c r="V35" s="774" t="s">
        <v>17</v>
      </c>
      <c r="W35" s="775">
        <f t="shared" si="14"/>
        <v>100</v>
      </c>
      <c r="X35" s="1816"/>
      <c r="Y35" s="3216"/>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4"/>
      <c r="Q36" s="1813" t="str">
        <f t="shared" si="11"/>
        <v>成新度</v>
      </c>
      <c r="R36" s="774" t="s">
        <v>17</v>
      </c>
      <c r="S36" s="775" t="e">
        <f t="shared" si="12"/>
        <v>#N/A</v>
      </c>
      <c r="T36" s="774" t="s">
        <v>17</v>
      </c>
      <c r="U36" s="775" t="e">
        <f t="shared" si="13"/>
        <v>#N/A</v>
      </c>
      <c r="V36" s="774" t="s">
        <v>17</v>
      </c>
      <c r="W36" s="775" t="e">
        <f t="shared" si="14"/>
        <v>#N/A</v>
      </c>
      <c r="X36" s="1816"/>
      <c r="Y36" s="3216"/>
      <c r="Z36" s="1817" t="str">
        <f t="shared" si="15"/>
        <v>成新度</v>
      </c>
      <c r="AA36" s="1814" t="e">
        <f t="shared" si="3"/>
        <v>#N/A</v>
      </c>
      <c r="AB36" s="1814" t="e">
        <f t="shared" si="4"/>
        <v>#N/A</v>
      </c>
      <c r="AC36" s="1814" t="e">
        <f t="shared" si="5"/>
        <v>#N/A</v>
      </c>
    </row>
    <row r="37" spans="1:29" s="117" customFormat="1" ht="15">
      <c r="A37" s="473"/>
      <c r="B37" s="422" t="s">
        <v>2668</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14"/>
      <c r="Q37" s="1798"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2669</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14" t="s">
        <v>2570</v>
      </c>
      <c r="Q38" s="1813" t="str">
        <f t="shared" si="11"/>
        <v>业态</v>
      </c>
      <c r="R38" s="774" t="s">
        <v>17</v>
      </c>
      <c r="S38" s="775">
        <f t="shared" si="12"/>
        <v>100</v>
      </c>
      <c r="T38" s="774" t="s">
        <v>17</v>
      </c>
      <c r="U38" s="775">
        <f t="shared" si="13"/>
        <v>100</v>
      </c>
      <c r="V38" s="774" t="s">
        <v>17</v>
      </c>
      <c r="W38" s="775">
        <f t="shared" si="14"/>
        <v>100</v>
      </c>
      <c r="X38" s="1816"/>
      <c r="Y38" s="3216" t="s">
        <v>2570</v>
      </c>
      <c r="Z38" s="1817" t="str">
        <f t="shared" si="15"/>
        <v>业态</v>
      </c>
      <c r="AA38" s="1814">
        <f t="shared" si="3"/>
        <v>1</v>
      </c>
      <c r="AB38" s="1814">
        <f t="shared" si="4"/>
        <v>1</v>
      </c>
      <c r="AC38" s="1814">
        <f t="shared" si="5"/>
        <v>1</v>
      </c>
    </row>
    <row r="39" spans="1:29" ht="15">
      <c r="A39" s="472"/>
      <c r="B39" s="422" t="s">
        <v>2670</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14"/>
      <c r="Q39" s="1813" t="str">
        <f t="shared" si="11"/>
        <v>层高</v>
      </c>
      <c r="R39" s="774" t="s">
        <v>17</v>
      </c>
      <c r="S39" s="775">
        <f t="shared" si="12"/>
        <v>100</v>
      </c>
      <c r="T39" s="774" t="s">
        <v>17</v>
      </c>
      <c r="U39" s="775">
        <f t="shared" si="13"/>
        <v>100</v>
      </c>
      <c r="V39" s="774" t="s">
        <v>17</v>
      </c>
      <c r="W39" s="775">
        <f t="shared" si="14"/>
        <v>100</v>
      </c>
      <c r="X39" s="1816"/>
      <c r="Y39" s="3216"/>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4"/>
      <c r="Q40" s="1813" t="str">
        <f t="shared" si="11"/>
        <v>单套建筑面积</v>
      </c>
      <c r="R40" s="774" t="s">
        <v>17</v>
      </c>
      <c r="S40" s="775">
        <f t="shared" si="12"/>
        <v>100</v>
      </c>
      <c r="T40" s="774" t="s">
        <v>17</v>
      </c>
      <c r="U40" s="775">
        <f t="shared" si="13"/>
        <v>100</v>
      </c>
      <c r="V40" s="774" t="s">
        <v>17</v>
      </c>
      <c r="W40" s="775">
        <f t="shared" si="14"/>
        <v>100</v>
      </c>
      <c r="X40" s="1816"/>
      <c r="Y40" s="3216"/>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4">
        <f t="shared" si="3"/>
        <v>1</v>
      </c>
      <c r="AB41" s="1814">
        <f t="shared" si="4"/>
        <v>1</v>
      </c>
      <c r="AC41" s="1814">
        <f t="shared" si="5"/>
        <v>1</v>
      </c>
    </row>
    <row r="42" spans="1:29" ht="15">
      <c r="A42" s="472"/>
      <c r="B42" s="422" t="s">
        <v>2673</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14"/>
      <c r="Q42" s="1813" t="str">
        <f t="shared" si="11"/>
        <v>内部装修</v>
      </c>
      <c r="R42" s="774" t="s">
        <v>17</v>
      </c>
      <c r="S42" s="775">
        <f t="shared" si="12"/>
        <v>100</v>
      </c>
      <c r="T42" s="774" t="s">
        <v>17</v>
      </c>
      <c r="U42" s="775">
        <f t="shared" si="13"/>
        <v>100</v>
      </c>
      <c r="V42" s="774" t="s">
        <v>17</v>
      </c>
      <c r="W42" s="775">
        <f t="shared" si="14"/>
        <v>100</v>
      </c>
      <c r="X42" s="1816"/>
      <c r="Y42" s="3216"/>
      <c r="Z42" s="1817" t="str">
        <f t="shared" si="15"/>
        <v>内部装修</v>
      </c>
      <c r="AA42" s="1814">
        <f t="shared" si="3"/>
        <v>1</v>
      </c>
      <c r="AB42" s="1814">
        <f t="shared" si="4"/>
        <v>1</v>
      </c>
      <c r="AC42" s="1814">
        <f t="shared" si="5"/>
        <v>1</v>
      </c>
    </row>
    <row r="43" spans="1:29" ht="15">
      <c r="A43" s="472"/>
      <c r="B43" s="422" t="s">
        <v>2581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14"/>
      <c r="Q43" s="1813" t="str">
        <f t="shared" si="11"/>
        <v>内部装修维护情况</v>
      </c>
      <c r="R43" s="774" t="s">
        <v>17</v>
      </c>
      <c r="S43" s="775">
        <f t="shared" si="12"/>
        <v>100</v>
      </c>
      <c r="T43" s="774" t="s">
        <v>17</v>
      </c>
      <c r="U43" s="775">
        <f t="shared" si="13"/>
        <v>100</v>
      </c>
      <c r="V43" s="774" t="s">
        <v>17</v>
      </c>
      <c r="W43" s="775">
        <f t="shared" si="14"/>
        <v>100</v>
      </c>
      <c r="X43" s="1816"/>
      <c r="Y43" s="321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4"/>
      <c r="Q44" s="1798">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4"/>
      <c r="Q45" s="1813">
        <f t="shared" si="11"/>
        <v>111</v>
      </c>
      <c r="R45" s="774" t="s">
        <v>17</v>
      </c>
      <c r="S45" s="775">
        <f t="shared" si="12"/>
        <v>100</v>
      </c>
      <c r="T45" s="774" t="s">
        <v>17</v>
      </c>
      <c r="U45" s="775">
        <f t="shared" si="13"/>
        <v>100</v>
      </c>
      <c r="V45" s="774" t="s">
        <v>17</v>
      </c>
      <c r="W45" s="775">
        <f t="shared" si="14"/>
        <v>100</v>
      </c>
      <c r="X45" s="1816"/>
      <c r="Y45" s="3216"/>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5"/>
      <c r="Q46" s="1813">
        <f t="shared" si="11"/>
        <v>111</v>
      </c>
      <c r="R46" s="774" t="s">
        <v>17</v>
      </c>
      <c r="S46" s="775">
        <f t="shared" si="12"/>
        <v>100</v>
      </c>
      <c r="T46" s="774" t="s">
        <v>17</v>
      </c>
      <c r="U46" s="775">
        <f t="shared" si="13"/>
        <v>100</v>
      </c>
      <c r="V46" s="774" t="s">
        <v>17</v>
      </c>
      <c r="W46" s="775">
        <f t="shared" si="14"/>
        <v>100</v>
      </c>
      <c r="X46" s="1816"/>
      <c r="Y46" s="3217"/>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209" t="str">
        <f>A47</f>
        <v>成交单价（元/平方米）</v>
      </c>
      <c r="Q47" s="3209"/>
      <c r="R47" s="3204">
        <f>E47</f>
        <v>0</v>
      </c>
      <c r="S47" s="3204"/>
      <c r="T47" s="3204">
        <f>G47</f>
        <v>0</v>
      </c>
      <c r="U47" s="3204"/>
      <c r="V47" s="3204">
        <f>I47</f>
        <v>0</v>
      </c>
      <c r="W47" s="3204"/>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2553</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2590</v>
      </c>
      <c r="B60" s="516"/>
      <c r="C60" s="517"/>
      <c r="D60" s="518"/>
      <c r="E60" s="518"/>
      <c r="F60" s="518"/>
      <c r="G60" s="518"/>
      <c r="H60" s="518"/>
      <c r="I60" s="518"/>
      <c r="J60" s="518"/>
      <c r="K60" s="518"/>
      <c r="L60" s="518"/>
      <c r="M60" s="519"/>
      <c r="N60" s="518"/>
      <c r="O60" s="519"/>
      <c r="P60" s="2634"/>
      <c r="Q60" s="504"/>
    </row>
    <row r="61" spans="1:29" s="117" customFormat="1" ht="15">
      <c r="A61" s="521" t="s">
        <v>2555</v>
      </c>
      <c r="B61" s="510"/>
      <c r="C61" s="522" t="s">
        <v>2657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2593</v>
      </c>
      <c r="B63" s="528" t="s">
        <v>2559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2685</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2568</v>
      </c>
      <c r="B100" s="528" t="s">
        <v>2686</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2619</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2621</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2689</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2625</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52" sqref="L5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5" t="s">
        <v>2691</v>
      </c>
      <c r="C1" s="1623" t="s">
        <v>2535</v>
      </c>
      <c r="D1" s="1624"/>
      <c r="E1" s="1633"/>
      <c r="F1" s="2590"/>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2335</v>
      </c>
      <c r="B2" s="1421" t="e">
        <f ca="1">IF(C2="——",ROUND(C50*D3/10000,0),ROUND(C50*D3/10000,0)-D2)</f>
        <v>#DIV/0!</v>
      </c>
      <c r="C2" s="2592"/>
      <c r="D2" s="1368" t="e">
        <f ca="1">SUMIF(INDIRECT("'"&amp;F2&amp;"'"&amp;"!A:A"),"承租人权益价值",INDIRECT("'"&amp;F2&amp;"'"&amp;"!c:c"))</f>
        <v>#REF!</v>
      </c>
      <c r="E2" s="2593" t="s">
        <v>2336</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2337</v>
      </c>
      <c r="B3" s="609" t="e">
        <f ca="1">IF(C2="——",C50,ROUND(B2*10000/D3,0))</f>
        <v>#DIV/0!</v>
      </c>
      <c r="C3" s="400" t="s">
        <v>2649</v>
      </c>
      <c r="D3" s="399">
        <f>IF(D1="",'数据-汇总表'!E3,SUMIF('数据-汇总表'!$C19:$C33,D1,'数据-汇总表'!$E19:$E33))</f>
        <v>89187.31</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192" t="s">
        <v>2651</v>
      </c>
      <c r="D4" s="3193"/>
      <c r="E4" s="3194" t="s">
        <v>2652</v>
      </c>
      <c r="F4" s="3195"/>
      <c r="G4" s="3192" t="s">
        <v>2653</v>
      </c>
      <c r="H4" s="3193"/>
      <c r="I4" s="3192" t="s">
        <v>2654</v>
      </c>
      <c r="J4" s="3193"/>
      <c r="K4" s="610" t="s">
        <v>2655</v>
      </c>
      <c r="L4" s="1133"/>
      <c r="M4" s="1134"/>
      <c r="N4" s="1134"/>
      <c r="O4" s="1134"/>
      <c r="P4" s="3226" t="s">
        <v>2656</v>
      </c>
      <c r="Q4" s="3227"/>
      <c r="R4" s="3221" t="s">
        <v>2652</v>
      </c>
      <c r="S4" s="3222"/>
      <c r="T4" s="3221" t="s">
        <v>2653</v>
      </c>
      <c r="U4" s="3222"/>
      <c r="V4" s="3230" t="s">
        <v>2654</v>
      </c>
      <c r="W4" s="3230"/>
      <c r="X4" s="2676"/>
      <c r="Y4" s="3221" t="s">
        <v>2656</v>
      </c>
      <c r="Z4" s="3222"/>
      <c r="AA4" s="3220" t="s">
        <v>2652</v>
      </c>
      <c r="AB4" s="3220" t="s">
        <v>2653</v>
      </c>
      <c r="AC4" s="3223" t="s">
        <v>2654</v>
      </c>
    </row>
    <row r="5" spans="1:29" ht="15">
      <c r="A5" s="404"/>
      <c r="B5" s="405"/>
      <c r="C5" s="3185" t="s">
        <v>2547</v>
      </c>
      <c r="D5" s="3186"/>
      <c r="E5" s="3183" t="s">
        <v>2548</v>
      </c>
      <c r="F5" s="3184"/>
      <c r="G5" s="3185" t="s">
        <v>2549</v>
      </c>
      <c r="H5" s="3186"/>
      <c r="I5" s="3185" t="s">
        <v>2550</v>
      </c>
      <c r="J5" s="3186"/>
      <c r="K5" s="610"/>
      <c r="L5" s="1133"/>
      <c r="M5" s="1134"/>
      <c r="N5" s="1134"/>
      <c r="O5" s="1134"/>
      <c r="P5" s="3228"/>
      <c r="Q5" s="3199"/>
      <c r="R5" s="3181"/>
      <c r="S5" s="3182"/>
      <c r="T5" s="3181"/>
      <c r="U5" s="3182"/>
      <c r="V5" s="3204"/>
      <c r="W5" s="3204"/>
      <c r="X5" s="1816"/>
      <c r="Y5" s="3181"/>
      <c r="Z5" s="3182"/>
      <c r="AA5" s="3175"/>
      <c r="AB5" s="3175"/>
      <c r="AC5" s="3224"/>
    </row>
    <row r="6" spans="1:29" ht="15.75" thickBot="1">
      <c r="A6" s="406"/>
      <c r="B6" s="407"/>
      <c r="C6" s="3187" t="s">
        <v>2551</v>
      </c>
      <c r="D6" s="3188"/>
      <c r="E6" s="3189" t="s">
        <v>2551</v>
      </c>
      <c r="F6" s="3190"/>
      <c r="G6" s="3187" t="s">
        <v>2551</v>
      </c>
      <c r="H6" s="3188"/>
      <c r="I6" s="3187" t="s">
        <v>2551</v>
      </c>
      <c r="J6" s="3188"/>
      <c r="K6" s="610" t="s">
        <v>2552</v>
      </c>
      <c r="L6" s="1133"/>
      <c r="M6" s="1134"/>
      <c r="N6" s="1134"/>
      <c r="O6" s="1134"/>
      <c r="P6" s="3229"/>
      <c r="Q6" s="3201"/>
      <c r="R6" s="3181"/>
      <c r="S6" s="3182"/>
      <c r="T6" s="3202"/>
      <c r="U6" s="3203"/>
      <c r="V6" s="3204"/>
      <c r="W6" s="3204"/>
      <c r="X6" s="1816"/>
      <c r="Y6" s="3202"/>
      <c r="Z6" s="3203"/>
      <c r="AA6" s="3176"/>
      <c r="AB6" s="3176"/>
      <c r="AC6" s="3225"/>
    </row>
    <row r="7" spans="1:29" s="117" customFormat="1" ht="15.75" thickBot="1">
      <c r="A7" s="408" t="s">
        <v>2553</v>
      </c>
      <c r="B7" s="409"/>
      <c r="C7" s="410">
        <f>'数据-取费表'!B2</f>
        <v>43175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1" t="s">
        <v>2554</v>
      </c>
      <c r="Q7" s="3205"/>
      <c r="R7" s="770" t="s">
        <v>17</v>
      </c>
      <c r="S7" s="771">
        <f t="shared" ref="S7:S15" si="0">F7</f>
        <v>0</v>
      </c>
      <c r="T7" s="770" t="s">
        <v>17</v>
      </c>
      <c r="U7" s="771">
        <f t="shared" ref="U7:U15" si="1">H7</f>
        <v>0</v>
      </c>
      <c r="V7" s="770" t="s">
        <v>17</v>
      </c>
      <c r="W7" s="771">
        <f t="shared" ref="W7:W15" si="2">J7</f>
        <v>0</v>
      </c>
      <c r="X7" s="772"/>
      <c r="Y7" s="3177" t="s">
        <v>2554</v>
      </c>
      <c r="Z7" s="3178"/>
      <c r="AA7" s="773" t="e">
        <f>D7/F7</f>
        <v>#DIV/0!</v>
      </c>
      <c r="AB7" s="773" t="e">
        <f>D7/H7</f>
        <v>#DIV/0!</v>
      </c>
      <c r="AC7" s="2677"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1" t="s">
        <v>2557</v>
      </c>
      <c r="Q8" s="3178"/>
      <c r="R8" s="770" t="s">
        <v>17</v>
      </c>
      <c r="S8" s="771">
        <f t="shared" si="0"/>
        <v>0</v>
      </c>
      <c r="T8" s="770" t="s">
        <v>17</v>
      </c>
      <c r="U8" s="771">
        <f t="shared" si="1"/>
        <v>0</v>
      </c>
      <c r="V8" s="770" t="s">
        <v>17</v>
      </c>
      <c r="W8" s="771">
        <f t="shared" si="2"/>
        <v>0</v>
      </c>
      <c r="X8" s="772"/>
      <c r="Y8" s="3177" t="s">
        <v>2557</v>
      </c>
      <c r="Z8" s="3178"/>
      <c r="AA8" s="773" t="e">
        <f t="shared" ref="AA8:AA47" si="3">D8/F8</f>
        <v>#DIV/0!</v>
      </c>
      <c r="AB8" s="773" t="e">
        <f t="shared" ref="AB8:AB47" si="4">D8/H8</f>
        <v>#DIV/0!</v>
      </c>
      <c r="AC8" s="2677"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1" t="s">
        <v>2560</v>
      </c>
      <c r="Q9" s="1798" t="str">
        <f t="shared" ref="Q9:Q15" si="6">B9</f>
        <v>用途</v>
      </c>
      <c r="R9" s="770" t="s">
        <v>17</v>
      </c>
      <c r="S9" s="771">
        <f t="shared" si="0"/>
        <v>100</v>
      </c>
      <c r="T9" s="770" t="s">
        <v>17</v>
      </c>
      <c r="U9" s="771">
        <f t="shared" si="1"/>
        <v>100</v>
      </c>
      <c r="V9" s="770" t="s">
        <v>17</v>
      </c>
      <c r="W9" s="771">
        <f t="shared" si="2"/>
        <v>100</v>
      </c>
      <c r="X9" s="772"/>
      <c r="Y9" s="3020" t="s">
        <v>2561</v>
      </c>
      <c r="Z9" s="55" t="str">
        <f t="shared" ref="Z9:Z15" si="7">Q9</f>
        <v>用途</v>
      </c>
      <c r="AA9" s="773">
        <f t="shared" si="3"/>
        <v>1</v>
      </c>
      <c r="AB9" s="773">
        <f t="shared" si="4"/>
        <v>1</v>
      </c>
      <c r="AC9" s="2677">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7">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1"/>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1"/>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7">
        <f t="shared" si="5"/>
        <v>1</v>
      </c>
    </row>
    <row r="15" spans="1:29" ht="71.25">
      <c r="A15" s="440" t="s">
        <v>2564</v>
      </c>
      <c r="B15" s="629" t="s">
        <v>2692</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8" t="s">
        <v>2565</v>
      </c>
      <c r="Q15" s="1813" t="str">
        <f t="shared" si="6"/>
        <v>办公集聚程度</v>
      </c>
      <c r="R15" s="774" t="s">
        <v>17</v>
      </c>
      <c r="S15" s="775">
        <f t="shared" si="0"/>
        <v>100</v>
      </c>
      <c r="T15" s="774" t="s">
        <v>17</v>
      </c>
      <c r="U15" s="775">
        <f t="shared" si="1"/>
        <v>100</v>
      </c>
      <c r="V15" s="774" t="s">
        <v>17</v>
      </c>
      <c r="W15" s="775">
        <f t="shared" si="2"/>
        <v>100</v>
      </c>
      <c r="X15" s="1816"/>
      <c r="Y15" s="3211" t="s">
        <v>2565</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19"/>
      <c r="Q16" s="1813"/>
      <c r="R16" s="774"/>
      <c r="S16" s="775"/>
      <c r="T16" s="774"/>
      <c r="U16" s="775"/>
      <c r="V16" s="774"/>
      <c r="W16" s="775"/>
      <c r="X16" s="1816"/>
      <c r="Y16" s="3212"/>
      <c r="Z16" s="1817"/>
      <c r="AA16" s="1814">
        <v>1</v>
      </c>
      <c r="AB16" s="1814">
        <v>1</v>
      </c>
      <c r="AC16" s="2680">
        <v>1</v>
      </c>
    </row>
    <row r="17" spans="1:29" ht="71.25">
      <c r="A17" s="428"/>
      <c r="B17" s="631" t="s">
        <v>2103</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9"/>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19"/>
      <c r="Q18" s="1813"/>
      <c r="R18" s="774"/>
      <c r="S18" s="775"/>
      <c r="T18" s="774"/>
      <c r="U18" s="775"/>
      <c r="V18" s="774"/>
      <c r="W18" s="775"/>
      <c r="X18" s="1816"/>
      <c r="Y18" s="3212"/>
      <c r="Z18" s="1817"/>
      <c r="AA18" s="1814">
        <v>1</v>
      </c>
      <c r="AB18" s="1814">
        <v>1</v>
      </c>
      <c r="AC18" s="2680">
        <v>1</v>
      </c>
    </row>
    <row r="19" spans="1:29" ht="42.75">
      <c r="A19" s="428"/>
      <c r="B19" s="631" t="s">
        <v>2693</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9"/>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19"/>
      <c r="Q20" s="1813"/>
      <c r="R20" s="774"/>
      <c r="S20" s="775"/>
      <c r="T20" s="774"/>
      <c r="U20" s="775"/>
      <c r="V20" s="774"/>
      <c r="W20" s="775"/>
      <c r="X20" s="1816"/>
      <c r="Y20" s="3212"/>
      <c r="Z20" s="1817"/>
      <c r="AA20" s="1814">
        <v>1</v>
      </c>
      <c r="AB20" s="1814">
        <v>1</v>
      </c>
      <c r="AC20" s="2680">
        <v>1</v>
      </c>
    </row>
    <row r="21" spans="1:29" ht="28.5">
      <c r="A21" s="428"/>
      <c r="B21" s="633" t="s">
        <v>2694</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19"/>
      <c r="Q22" s="1813"/>
      <c r="R22" s="774"/>
      <c r="S22" s="775"/>
      <c r="T22" s="774"/>
      <c r="U22" s="775"/>
      <c r="V22" s="774"/>
      <c r="W22" s="775"/>
      <c r="X22" s="1816"/>
      <c r="Y22" s="3212"/>
      <c r="Z22" s="1817"/>
      <c r="AA22" s="1814">
        <v>1</v>
      </c>
      <c r="AB22" s="1814">
        <v>1</v>
      </c>
      <c r="AC22" s="2680">
        <v>1</v>
      </c>
    </row>
    <row r="23" spans="1:29" ht="42.75">
      <c r="A23" s="428"/>
      <c r="B23" s="631" t="s">
        <v>2695</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9"/>
      <c r="Q23" s="1813" t="str">
        <f>B23</f>
        <v>环境质量</v>
      </c>
      <c r="R23" s="774" t="s">
        <v>17</v>
      </c>
      <c r="S23" s="775">
        <f>F23</f>
        <v>100</v>
      </c>
      <c r="T23" s="774" t="s">
        <v>17</v>
      </c>
      <c r="U23" s="775">
        <f>H23</f>
        <v>100</v>
      </c>
      <c r="V23" s="774" t="s">
        <v>17</v>
      </c>
      <c r="W23" s="775">
        <f>J23</f>
        <v>100</v>
      </c>
      <c r="X23" s="1816"/>
      <c r="Y23" s="3212"/>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19"/>
      <c r="Q24" s="1813"/>
      <c r="R24" s="774"/>
      <c r="S24" s="775"/>
      <c r="T24" s="774"/>
      <c r="U24" s="775"/>
      <c r="V24" s="774"/>
      <c r="W24" s="775"/>
      <c r="X24" s="1816"/>
      <c r="Y24" s="3212"/>
      <c r="Z24" s="1817"/>
      <c r="AA24" s="1814">
        <v>1</v>
      </c>
      <c r="AB24" s="1814">
        <v>1</v>
      </c>
      <c r="AC24" s="2680">
        <v>1</v>
      </c>
    </row>
    <row r="25" spans="1:29" ht="27">
      <c r="A25" s="404"/>
      <c r="B25" s="631" t="s">
        <v>2696</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19"/>
      <c r="Q25" s="1813" t="str">
        <f>B25</f>
        <v>毗邻道路的类型与等级</v>
      </c>
      <c r="R25" s="774" t="s">
        <v>17</v>
      </c>
      <c r="S25" s="775">
        <f>F25</f>
        <v>100</v>
      </c>
      <c r="T25" s="774" t="s">
        <v>17</v>
      </c>
      <c r="U25" s="775">
        <f>H25</f>
        <v>100</v>
      </c>
      <c r="V25" s="774" t="s">
        <v>17</v>
      </c>
      <c r="W25" s="775">
        <f>J25</f>
        <v>100</v>
      </c>
      <c r="X25" s="1816"/>
      <c r="Y25" s="3212"/>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19"/>
      <c r="Q26" s="1813"/>
      <c r="R26" s="774"/>
      <c r="S26" s="775"/>
      <c r="T26" s="774"/>
      <c r="U26" s="775"/>
      <c r="V26" s="774"/>
      <c r="W26" s="775"/>
      <c r="X26" s="1816"/>
      <c r="Y26" s="3212"/>
      <c r="Z26" s="1817"/>
      <c r="AA26" s="1814">
        <v>1</v>
      </c>
      <c r="AB26" s="1814">
        <v>1</v>
      </c>
      <c r="AC26" s="2680">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9"/>
      <c r="Q27" s="1813" t="str">
        <f t="shared" ref="Q27:Q47" si="11">B27</f>
        <v>楼层</v>
      </c>
      <c r="R27" s="774" t="s">
        <v>17</v>
      </c>
      <c r="S27" s="775">
        <f>F27</f>
        <v>100</v>
      </c>
      <c r="T27" s="774" t="s">
        <v>17</v>
      </c>
      <c r="U27" s="775">
        <f>H27</f>
        <v>100</v>
      </c>
      <c r="V27" s="774" t="s">
        <v>17</v>
      </c>
      <c r="W27" s="775">
        <f>J27</f>
        <v>100</v>
      </c>
      <c r="X27" s="1816"/>
      <c r="Y27" s="3212"/>
      <c r="Z27" s="1817" t="str">
        <f>Q27</f>
        <v>楼层</v>
      </c>
      <c r="AA27" s="1814">
        <f t="shared" si="3"/>
        <v>1</v>
      </c>
      <c r="AB27" s="1814">
        <f t="shared" si="4"/>
        <v>1</v>
      </c>
      <c r="AC27" s="2680">
        <f t="shared" si="5"/>
        <v>1</v>
      </c>
    </row>
    <row r="28" spans="1:29" s="117" customFormat="1" ht="15">
      <c r="A28" s="431"/>
      <c r="B28" s="631" t="s">
        <v>2697</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19"/>
      <c r="Q28" s="1798" t="str">
        <f t="shared" si="11"/>
        <v>朝向</v>
      </c>
      <c r="R28" s="770" t="s">
        <v>17</v>
      </c>
      <c r="S28" s="771">
        <f>F28</f>
        <v>100</v>
      </c>
      <c r="T28" s="770" t="s">
        <v>17</v>
      </c>
      <c r="U28" s="771">
        <f>H28</f>
        <v>100</v>
      </c>
      <c r="V28" s="770" t="s">
        <v>17</v>
      </c>
      <c r="W28" s="771">
        <f>J28</f>
        <v>100</v>
      </c>
      <c r="X28" s="772"/>
      <c r="Y28" s="3212"/>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19"/>
      <c r="Q29" s="1813">
        <f t="shared" si="11"/>
        <v>111</v>
      </c>
      <c r="R29" s="774" t="s">
        <v>17</v>
      </c>
      <c r="S29" s="775">
        <f t="shared" ref="S29:S47" si="12">F29</f>
        <v>100</v>
      </c>
      <c r="T29" s="774" t="s">
        <v>17</v>
      </c>
      <c r="U29" s="775">
        <f t="shared" ref="U29:U47" si="13">H29</f>
        <v>100</v>
      </c>
      <c r="V29" s="774" t="s">
        <v>17</v>
      </c>
      <c r="W29" s="775">
        <f t="shared" ref="W29:W47" si="14">J29</f>
        <v>100</v>
      </c>
      <c r="X29" s="1816"/>
      <c r="Y29" s="3212"/>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19"/>
      <c r="Q30" s="1813">
        <f t="shared" si="11"/>
        <v>111</v>
      </c>
      <c r="R30" s="774" t="s">
        <v>17</v>
      </c>
      <c r="S30" s="775">
        <f t="shared" si="12"/>
        <v>100</v>
      </c>
      <c r="T30" s="774" t="s">
        <v>17</v>
      </c>
      <c r="U30" s="775">
        <f t="shared" si="13"/>
        <v>100</v>
      </c>
      <c r="V30" s="774" t="s">
        <v>17</v>
      </c>
      <c r="W30" s="775">
        <f t="shared" si="14"/>
        <v>100</v>
      </c>
      <c r="X30" s="1816"/>
      <c r="Y30" s="3212"/>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19"/>
      <c r="Q31" s="1813">
        <f t="shared" si="11"/>
        <v>111</v>
      </c>
      <c r="R31" s="774" t="s">
        <v>17</v>
      </c>
      <c r="S31" s="775">
        <f t="shared" si="12"/>
        <v>100</v>
      </c>
      <c r="T31" s="774" t="s">
        <v>17</v>
      </c>
      <c r="U31" s="775">
        <f t="shared" si="13"/>
        <v>100</v>
      </c>
      <c r="V31" s="774" t="s">
        <v>17</v>
      </c>
      <c r="W31" s="775">
        <f t="shared" si="14"/>
        <v>100</v>
      </c>
      <c r="X31" s="1816"/>
      <c r="Y31" s="3212"/>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19"/>
      <c r="Q32" s="1813">
        <f t="shared" si="11"/>
        <v>111</v>
      </c>
      <c r="R32" s="774" t="s">
        <v>17</v>
      </c>
      <c r="S32" s="775">
        <f t="shared" si="12"/>
        <v>100</v>
      </c>
      <c r="T32" s="774" t="s">
        <v>17</v>
      </c>
      <c r="U32" s="775">
        <f t="shared" si="13"/>
        <v>100</v>
      </c>
      <c r="V32" s="774" t="s">
        <v>17</v>
      </c>
      <c r="W32" s="775">
        <f t="shared" si="14"/>
        <v>100</v>
      </c>
      <c r="X32" s="1816"/>
      <c r="Y32" s="3212"/>
      <c r="Z32" s="1817">
        <f t="shared" si="15"/>
        <v>111</v>
      </c>
      <c r="AA32" s="1814">
        <f t="shared" si="3"/>
        <v>1</v>
      </c>
      <c r="AB32" s="1814">
        <f t="shared" si="4"/>
        <v>1</v>
      </c>
      <c r="AC32" s="2680">
        <f t="shared" si="5"/>
        <v>1</v>
      </c>
    </row>
    <row r="33" spans="1:29" ht="15">
      <c r="A33" s="440" t="s">
        <v>2568</v>
      </c>
      <c r="B33" s="71" t="s">
        <v>2698</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13" t="s">
        <v>2570</v>
      </c>
      <c r="Q33" s="1813" t="str">
        <f t="shared" si="11"/>
        <v>建筑类型</v>
      </c>
      <c r="R33" s="774" t="s">
        <v>17</v>
      </c>
      <c r="S33" s="775">
        <f t="shared" si="12"/>
        <v>100</v>
      </c>
      <c r="T33" s="774" t="s">
        <v>17</v>
      </c>
      <c r="U33" s="775">
        <f t="shared" si="13"/>
        <v>100</v>
      </c>
      <c r="V33" s="774" t="s">
        <v>17</v>
      </c>
      <c r="W33" s="775">
        <f t="shared" si="14"/>
        <v>100</v>
      </c>
      <c r="X33" s="1816"/>
      <c r="Y33" s="3216" t="s">
        <v>2570</v>
      </c>
      <c r="Z33" s="1817" t="str">
        <f t="shared" si="15"/>
        <v>建筑类型</v>
      </c>
      <c r="AA33" s="1814">
        <f t="shared" si="3"/>
        <v>1</v>
      </c>
      <c r="AB33" s="1814">
        <f t="shared" si="4"/>
        <v>1</v>
      </c>
      <c r="AC33" s="2680">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4"/>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14" t="e">
        <f t="shared" si="3"/>
        <v>#N/A</v>
      </c>
      <c r="AB34" s="1814" t="e">
        <f t="shared" si="4"/>
        <v>#N/A</v>
      </c>
      <c r="AC34" s="2680"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4"/>
      <c r="Q35" s="1813" t="str">
        <f t="shared" si="11"/>
        <v>建筑结构</v>
      </c>
      <c r="R35" s="774" t="s">
        <v>17</v>
      </c>
      <c r="S35" s="775">
        <f t="shared" si="12"/>
        <v>100</v>
      </c>
      <c r="T35" s="774" t="s">
        <v>17</v>
      </c>
      <c r="U35" s="775">
        <f t="shared" si="13"/>
        <v>100</v>
      </c>
      <c r="V35" s="774" t="s">
        <v>17</v>
      </c>
      <c r="W35" s="775">
        <f t="shared" si="14"/>
        <v>100</v>
      </c>
      <c r="X35" s="1816"/>
      <c r="Y35" s="3216"/>
      <c r="Z35" s="1817" t="str">
        <f t="shared" si="15"/>
        <v>建筑结构</v>
      </c>
      <c r="AA35" s="1814">
        <f t="shared" si="3"/>
        <v>1</v>
      </c>
      <c r="AB35" s="1814">
        <f t="shared" si="4"/>
        <v>1</v>
      </c>
      <c r="AC35" s="2680">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4"/>
      <c r="Q36" s="1813" t="str">
        <f t="shared" si="11"/>
        <v>公共部分装修</v>
      </c>
      <c r="R36" s="774" t="s">
        <v>17</v>
      </c>
      <c r="S36" s="775">
        <f t="shared" si="12"/>
        <v>100</v>
      </c>
      <c r="T36" s="774" t="s">
        <v>17</v>
      </c>
      <c r="U36" s="775">
        <f t="shared" si="13"/>
        <v>100</v>
      </c>
      <c r="V36" s="774" t="s">
        <v>17</v>
      </c>
      <c r="W36" s="775">
        <f t="shared" si="14"/>
        <v>100</v>
      </c>
      <c r="X36" s="1816"/>
      <c r="Y36" s="3216"/>
      <c r="Z36" s="1817" t="str">
        <f t="shared" si="15"/>
        <v>公共部分装修</v>
      </c>
      <c r="AA36" s="1814">
        <f t="shared" si="3"/>
        <v>1</v>
      </c>
      <c r="AB36" s="1814">
        <f t="shared" si="4"/>
        <v>1</v>
      </c>
      <c r="AC36" s="2680">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4"/>
      <c r="Q37" s="1813" t="str">
        <f t="shared" si="11"/>
        <v>成新度</v>
      </c>
      <c r="R37" s="774" t="s">
        <v>17</v>
      </c>
      <c r="S37" s="775" t="e">
        <f t="shared" si="12"/>
        <v>#N/A</v>
      </c>
      <c r="T37" s="774" t="s">
        <v>17</v>
      </c>
      <c r="U37" s="775" t="e">
        <f t="shared" si="13"/>
        <v>#N/A</v>
      </c>
      <c r="V37" s="774" t="s">
        <v>17</v>
      </c>
      <c r="W37" s="775" t="e">
        <f t="shared" si="14"/>
        <v>#N/A</v>
      </c>
      <c r="X37" s="1816"/>
      <c r="Y37" s="3216"/>
      <c r="Z37" s="1817" t="str">
        <f t="shared" si="15"/>
        <v>成新度</v>
      </c>
      <c r="AA37" s="1814" t="e">
        <f t="shared" si="3"/>
        <v>#N/A</v>
      </c>
      <c r="AB37" s="1814" t="e">
        <f t="shared" si="4"/>
        <v>#N/A</v>
      </c>
      <c r="AC37" s="2680"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4"/>
      <c r="Q38" s="1798"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77">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4" t="s">
        <v>2570</v>
      </c>
      <c r="Q39" s="1813" t="str">
        <f t="shared" si="11"/>
        <v>物业管理</v>
      </c>
      <c r="R39" s="774" t="s">
        <v>17</v>
      </c>
      <c r="S39" s="775">
        <f t="shared" si="12"/>
        <v>100</v>
      </c>
      <c r="T39" s="774" t="s">
        <v>17</v>
      </c>
      <c r="U39" s="775">
        <f t="shared" si="13"/>
        <v>100</v>
      </c>
      <c r="V39" s="774" t="s">
        <v>17</v>
      </c>
      <c r="W39" s="775">
        <f t="shared" si="14"/>
        <v>100</v>
      </c>
      <c r="X39" s="1816"/>
      <c r="Y39" s="3216" t="s">
        <v>2570</v>
      </c>
      <c r="Z39" s="1817" t="str">
        <f t="shared" si="15"/>
        <v>物业管理</v>
      </c>
      <c r="AA39" s="1814">
        <f t="shared" si="3"/>
        <v>1</v>
      </c>
      <c r="AB39" s="1814">
        <f t="shared" si="4"/>
        <v>1</v>
      </c>
      <c r="AC39" s="2680">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4"/>
      <c r="Q40" s="1813" t="str">
        <f t="shared" si="11"/>
        <v>市政基础设施</v>
      </c>
      <c r="R40" s="774" t="s">
        <v>17</v>
      </c>
      <c r="S40" s="775">
        <f t="shared" si="12"/>
        <v>100</v>
      </c>
      <c r="T40" s="774" t="s">
        <v>17</v>
      </c>
      <c r="U40" s="775">
        <f t="shared" si="13"/>
        <v>100</v>
      </c>
      <c r="V40" s="774" t="s">
        <v>17</v>
      </c>
      <c r="W40" s="775">
        <f t="shared" si="14"/>
        <v>100</v>
      </c>
      <c r="X40" s="1816"/>
      <c r="Y40" s="3216"/>
      <c r="Z40" s="1817" t="str">
        <f t="shared" si="15"/>
        <v>市政基础设施</v>
      </c>
      <c r="AA40" s="1814">
        <f t="shared" si="3"/>
        <v>1</v>
      </c>
      <c r="AB40" s="1814">
        <f t="shared" si="4"/>
        <v>1</v>
      </c>
      <c r="AC40" s="2680">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4"/>
      <c r="Q41" s="1813" t="str">
        <f t="shared" si="11"/>
        <v>层高</v>
      </c>
      <c r="R41" s="774" t="s">
        <v>17</v>
      </c>
      <c r="S41" s="775">
        <f t="shared" si="12"/>
        <v>100</v>
      </c>
      <c r="T41" s="774" t="s">
        <v>17</v>
      </c>
      <c r="U41" s="775">
        <f t="shared" si="13"/>
        <v>100</v>
      </c>
      <c r="V41" s="774" t="s">
        <v>17</v>
      </c>
      <c r="W41" s="775">
        <f t="shared" si="14"/>
        <v>100</v>
      </c>
      <c r="X41" s="1816"/>
      <c r="Y41" s="3216"/>
      <c r="Z41" s="1817" t="str">
        <f t="shared" si="15"/>
        <v>层高</v>
      </c>
      <c r="AA41" s="1814">
        <f t="shared" si="3"/>
        <v>1</v>
      </c>
      <c r="AB41" s="1814">
        <f t="shared" si="4"/>
        <v>1</v>
      </c>
      <c r="AC41" s="2680">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4">
        <f t="shared" si="3"/>
        <v>1</v>
      </c>
      <c r="AB42" s="1814">
        <f t="shared" si="4"/>
        <v>1</v>
      </c>
      <c r="AC42" s="2680">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4"/>
      <c r="Q43" s="1813" t="str">
        <f t="shared" si="11"/>
        <v>内部装修</v>
      </c>
      <c r="R43" s="774" t="s">
        <v>17</v>
      </c>
      <c r="S43" s="775">
        <f t="shared" si="12"/>
        <v>100</v>
      </c>
      <c r="T43" s="774" t="s">
        <v>17</v>
      </c>
      <c r="U43" s="775">
        <f t="shared" si="13"/>
        <v>100</v>
      </c>
      <c r="V43" s="774" t="s">
        <v>17</v>
      </c>
      <c r="W43" s="775">
        <f t="shared" si="14"/>
        <v>100</v>
      </c>
      <c r="X43" s="1816"/>
      <c r="Y43" s="3216"/>
      <c r="Z43" s="1817" t="str">
        <f t="shared" si="15"/>
        <v>内部装修</v>
      </c>
      <c r="AA43" s="1814">
        <f t="shared" si="3"/>
        <v>1</v>
      </c>
      <c r="AB43" s="1814">
        <f t="shared" si="4"/>
        <v>1</v>
      </c>
      <c r="AC43" s="2680">
        <f t="shared" si="5"/>
        <v>1</v>
      </c>
    </row>
    <row r="44" spans="1:29" ht="15">
      <c r="A44" s="472"/>
      <c r="B44" s="422" t="s">
        <v>2581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14"/>
      <c r="Q44" s="1813" t="str">
        <f t="shared" si="11"/>
        <v>内部装修维护情况</v>
      </c>
      <c r="R44" s="774" t="s">
        <v>17</v>
      </c>
      <c r="S44" s="775">
        <f t="shared" si="12"/>
        <v>100</v>
      </c>
      <c r="T44" s="774" t="s">
        <v>17</v>
      </c>
      <c r="U44" s="775">
        <f t="shared" si="13"/>
        <v>100</v>
      </c>
      <c r="V44" s="774" t="s">
        <v>17</v>
      </c>
      <c r="W44" s="775">
        <f t="shared" si="14"/>
        <v>100</v>
      </c>
      <c r="X44" s="1816"/>
      <c r="Y44" s="3216"/>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4"/>
      <c r="Q45" s="1798">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4"/>
      <c r="Q46" s="1813">
        <f t="shared" si="11"/>
        <v>111</v>
      </c>
      <c r="R46" s="774" t="s">
        <v>17</v>
      </c>
      <c r="S46" s="775">
        <f t="shared" si="12"/>
        <v>100</v>
      </c>
      <c r="T46" s="774" t="s">
        <v>17</v>
      </c>
      <c r="U46" s="775">
        <f t="shared" si="13"/>
        <v>100</v>
      </c>
      <c r="V46" s="774" t="s">
        <v>17</v>
      </c>
      <c r="W46" s="775">
        <f t="shared" si="14"/>
        <v>100</v>
      </c>
      <c r="X46" s="1816"/>
      <c r="Y46" s="3216"/>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5"/>
      <c r="Q47" s="1813">
        <f t="shared" si="11"/>
        <v>111</v>
      </c>
      <c r="R47" s="774" t="s">
        <v>17</v>
      </c>
      <c r="S47" s="775">
        <f t="shared" si="12"/>
        <v>100</v>
      </c>
      <c r="T47" s="774" t="s">
        <v>17</v>
      </c>
      <c r="U47" s="775">
        <f t="shared" si="13"/>
        <v>100</v>
      </c>
      <c r="V47" s="774" t="s">
        <v>17</v>
      </c>
      <c r="W47" s="775">
        <f t="shared" si="14"/>
        <v>100</v>
      </c>
      <c r="X47" s="1816"/>
      <c r="Y47" s="3217"/>
      <c r="Z47" s="1817">
        <f t="shared" si="15"/>
        <v>111</v>
      </c>
      <c r="AA47" s="1814">
        <f t="shared" si="3"/>
        <v>1</v>
      </c>
      <c r="AB47" s="1814">
        <f t="shared" si="4"/>
        <v>1</v>
      </c>
      <c r="AC47" s="2680">
        <f t="shared" si="5"/>
        <v>1</v>
      </c>
    </row>
    <row r="48" spans="1:29" ht="15">
      <c r="A48" s="479" t="s">
        <v>2582</v>
      </c>
      <c r="B48" s="480"/>
      <c r="C48" s="1410" t="s">
        <v>1</v>
      </c>
      <c r="D48" s="1411"/>
      <c r="E48" s="1412"/>
      <c r="F48" s="1413"/>
      <c r="G48" s="1414"/>
      <c r="H48" s="1415"/>
      <c r="I48" s="1412"/>
      <c r="J48" s="485"/>
      <c r="K48" s="783"/>
      <c r="L48" s="1146"/>
      <c r="M48" s="1134"/>
      <c r="N48" s="1134"/>
      <c r="O48" s="1134"/>
      <c r="P48" s="3191" t="str">
        <f>A48</f>
        <v>成交单价（元/平方米）</v>
      </c>
      <c r="Q48" s="3209"/>
      <c r="R48" s="3210">
        <f>E48</f>
        <v>0</v>
      </c>
      <c r="S48" s="3210"/>
      <c r="T48" s="3210">
        <f>G48</f>
        <v>0</v>
      </c>
      <c r="U48" s="3210"/>
      <c r="V48" s="3210">
        <f>I48</f>
        <v>0</v>
      </c>
      <c r="W48" s="3210"/>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191"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32" t="str">
        <f>A50</f>
        <v>估价对象XX用房的比较价值（楼面单价，元/平方米）</v>
      </c>
      <c r="Q50" s="3233"/>
      <c r="R50" s="3234" t="e">
        <f>IF(F1="售价",ROUND(AVERAGE(R49:V49),0),ROUND(AVERAGE(R49:V49),1))</f>
        <v>#DIV/0!</v>
      </c>
      <c r="S50" s="3234"/>
      <c r="T50" s="3234"/>
      <c r="U50" s="3234"/>
      <c r="V50" s="3234"/>
      <c r="W50" s="323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7"/>
      <c r="Q58" s="504"/>
    </row>
    <row r="59" spans="1:29" s="508" customFormat="1" ht="15">
      <c r="A59" s="505" t="s">
        <v>2553</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2590</v>
      </c>
      <c r="B61" s="516"/>
      <c r="C61" s="517"/>
      <c r="D61" s="518"/>
      <c r="E61" s="518"/>
      <c r="F61" s="518"/>
      <c r="G61" s="518"/>
      <c r="H61" s="518"/>
      <c r="I61" s="518"/>
      <c r="J61" s="518"/>
      <c r="K61" s="518"/>
      <c r="L61" s="518"/>
      <c r="M61" s="519"/>
      <c r="N61" s="518"/>
      <c r="O61" s="519"/>
      <c r="P61" s="2688"/>
      <c r="Q61" s="504"/>
    </row>
    <row r="62" spans="1:29" s="117" customFormat="1" ht="15">
      <c r="A62" s="521" t="s">
        <v>2555</v>
      </c>
      <c r="B62" s="510"/>
      <c r="C62" s="522" t="s">
        <v>2657</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2593</v>
      </c>
      <c r="B64" s="528" t="s">
        <v>2559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2704</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2568</v>
      </c>
      <c r="B101" s="528" t="s">
        <v>2617</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2619</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2621</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2622</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2623</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2706</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2625</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52" sqref="L5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5" t="s">
        <v>2707</v>
      </c>
      <c r="C1" s="1623" t="s">
        <v>2535</v>
      </c>
      <c r="D1" s="1624"/>
      <c r="E1" s="1633"/>
      <c r="F1" s="2590"/>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2335</v>
      </c>
      <c r="B2" s="1421" t="e">
        <f ca="1">IF(C2="——",ROUND(C43*D3/10000,0),ROUND(C43*D3/10000,0)-D2)</f>
        <v>#DIV/0!</v>
      </c>
      <c r="C2" s="2592"/>
      <c r="D2" s="1127" t="e">
        <f ca="1">SUMIF(INDIRECT("'"&amp;F2&amp;"'"&amp;"!A:A"),"承租人权益价值",INDIRECT("'"&amp;F2&amp;"'"&amp;"!c:c"))</f>
        <v>#REF!</v>
      </c>
      <c r="E2" s="2593" t="s">
        <v>2336</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2337</v>
      </c>
      <c r="B3" s="609" t="e">
        <f ca="1">IF(C2="——",C43,ROUND(B2*10000/D3,0))</f>
        <v>#DIV/0!</v>
      </c>
      <c r="C3" s="400" t="s">
        <v>2649</v>
      </c>
      <c r="D3" s="399">
        <f>IF(D1="",'数据-汇总表'!E3,SUMIF('数据-汇总表'!$C19:$C33,D1,'数据-汇总表'!$E19:$E33))</f>
        <v>89187.31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2" t="s">
        <v>2651</v>
      </c>
      <c r="D4" s="3193"/>
      <c r="E4" s="3194" t="s">
        <v>2652</v>
      </c>
      <c r="F4" s="3195"/>
      <c r="G4" s="3192" t="s">
        <v>2653</v>
      </c>
      <c r="H4" s="3193"/>
      <c r="I4" s="3192" t="s">
        <v>2654</v>
      </c>
      <c r="J4" s="3193"/>
      <c r="K4" s="610" t="s">
        <v>2655</v>
      </c>
      <c r="L4" s="1133"/>
      <c r="M4" s="1134"/>
      <c r="N4" s="1134"/>
      <c r="O4" s="1134"/>
      <c r="P4" s="3196" t="s">
        <v>2656</v>
      </c>
      <c r="Q4" s="3197"/>
      <c r="R4" s="3179" t="s">
        <v>2652</v>
      </c>
      <c r="S4" s="3180"/>
      <c r="T4" s="3179" t="s">
        <v>2653</v>
      </c>
      <c r="U4" s="3180"/>
      <c r="V4" s="3204" t="s">
        <v>2654</v>
      </c>
      <c r="W4" s="3204"/>
      <c r="X4" s="1816"/>
      <c r="Y4" s="3179" t="s">
        <v>2656</v>
      </c>
      <c r="Z4" s="3180"/>
      <c r="AA4" s="3174" t="s">
        <v>2652</v>
      </c>
      <c r="AB4" s="3175" t="s">
        <v>2653</v>
      </c>
      <c r="AC4" s="3174" t="s">
        <v>2654</v>
      </c>
    </row>
    <row r="5" spans="1:29" ht="15">
      <c r="A5" s="404"/>
      <c r="B5" s="405"/>
      <c r="C5" s="3185" t="s">
        <v>2547</v>
      </c>
      <c r="D5" s="3186"/>
      <c r="E5" s="3183" t="s">
        <v>2548</v>
      </c>
      <c r="F5" s="3184"/>
      <c r="G5" s="3185" t="s">
        <v>2549</v>
      </c>
      <c r="H5" s="3186"/>
      <c r="I5" s="3185" t="s">
        <v>2550</v>
      </c>
      <c r="J5" s="3186"/>
      <c r="K5" s="610"/>
      <c r="L5" s="1133"/>
      <c r="M5" s="1134"/>
      <c r="N5" s="1134"/>
      <c r="O5" s="1134"/>
      <c r="P5" s="3198"/>
      <c r="Q5" s="3199"/>
      <c r="R5" s="3181"/>
      <c r="S5" s="3182"/>
      <c r="T5" s="3181"/>
      <c r="U5" s="3182"/>
      <c r="V5" s="3204"/>
      <c r="W5" s="3204"/>
      <c r="X5" s="1816"/>
      <c r="Y5" s="3181"/>
      <c r="Z5" s="3182"/>
      <c r="AA5" s="3175"/>
      <c r="AB5" s="3175"/>
      <c r="AC5" s="3175"/>
    </row>
    <row r="6" spans="1:29" ht="15.75" thickBot="1">
      <c r="A6" s="406"/>
      <c r="B6" s="407"/>
      <c r="C6" s="3187" t="s">
        <v>2551</v>
      </c>
      <c r="D6" s="3188"/>
      <c r="E6" s="3189" t="s">
        <v>2551</v>
      </c>
      <c r="F6" s="3190"/>
      <c r="G6" s="3187" t="s">
        <v>2551</v>
      </c>
      <c r="H6" s="3188"/>
      <c r="I6" s="3187" t="s">
        <v>2551</v>
      </c>
      <c r="J6" s="3188"/>
      <c r="K6" s="610" t="s">
        <v>2552</v>
      </c>
      <c r="L6" s="1133"/>
      <c r="M6" s="1134"/>
      <c r="N6" s="1134"/>
      <c r="O6" s="1134"/>
      <c r="P6" s="3200"/>
      <c r="Q6" s="3201"/>
      <c r="R6" s="3181"/>
      <c r="S6" s="3182"/>
      <c r="T6" s="3202"/>
      <c r="U6" s="3203"/>
      <c r="V6" s="3204"/>
      <c r="W6" s="3204"/>
      <c r="X6" s="1816"/>
      <c r="Y6" s="3202"/>
      <c r="Z6" s="3203"/>
      <c r="AA6" s="3176"/>
      <c r="AB6" s="3176"/>
      <c r="AC6" s="3176"/>
    </row>
    <row r="7" spans="1:29" s="117" customFormat="1" ht="15.75" thickBot="1">
      <c r="A7" s="408" t="s">
        <v>2553</v>
      </c>
      <c r="B7" s="409"/>
      <c r="C7" s="410">
        <f>'数据-取费表'!B2</f>
        <v>43175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7" t="s">
        <v>2554</v>
      </c>
      <c r="Q7" s="3205"/>
      <c r="R7" s="770" t="s">
        <v>17</v>
      </c>
      <c r="S7" s="771">
        <f t="shared" ref="S7:S15" si="0">F7</f>
        <v>0</v>
      </c>
      <c r="T7" s="770" t="s">
        <v>17</v>
      </c>
      <c r="U7" s="771">
        <f t="shared" ref="U7:U15" si="1">H7</f>
        <v>0</v>
      </c>
      <c r="V7" s="770" t="s">
        <v>17</v>
      </c>
      <c r="W7" s="771">
        <f t="shared" ref="W7:W15" si="2">J7</f>
        <v>0</v>
      </c>
      <c r="X7" s="772"/>
      <c r="Y7" s="3177" t="s">
        <v>2554</v>
      </c>
      <c r="Z7" s="3178"/>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7" t="s">
        <v>2557</v>
      </c>
      <c r="Q8" s="3178"/>
      <c r="R8" s="770" t="s">
        <v>17</v>
      </c>
      <c r="S8" s="771">
        <f t="shared" si="0"/>
        <v>0</v>
      </c>
      <c r="T8" s="770" t="s">
        <v>17</v>
      </c>
      <c r="U8" s="771">
        <f t="shared" si="1"/>
        <v>0</v>
      </c>
      <c r="V8" s="770" t="s">
        <v>17</v>
      </c>
      <c r="W8" s="771">
        <f t="shared" si="2"/>
        <v>0</v>
      </c>
      <c r="X8" s="772"/>
      <c r="Y8" s="3177" t="s">
        <v>2557</v>
      </c>
      <c r="Z8" s="3178"/>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9" t="s">
        <v>2560</v>
      </c>
      <c r="Q9" s="1798" t="str">
        <f t="shared" ref="Q9:Q15" si="6">B9</f>
        <v>用途</v>
      </c>
      <c r="R9" s="770" t="s">
        <v>17</v>
      </c>
      <c r="S9" s="771">
        <f t="shared" si="0"/>
        <v>100</v>
      </c>
      <c r="T9" s="770" t="s">
        <v>17</v>
      </c>
      <c r="U9" s="771">
        <f t="shared" si="1"/>
        <v>100</v>
      </c>
      <c r="V9" s="770" t="s">
        <v>17</v>
      </c>
      <c r="W9" s="771">
        <f t="shared" si="2"/>
        <v>100</v>
      </c>
      <c r="X9" s="772"/>
      <c r="Y9" s="3020"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9"/>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2564</v>
      </c>
      <c r="B15" s="69" t="s">
        <v>2708</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1" t="s">
        <v>2565</v>
      </c>
      <c r="Q15" s="1813" t="str">
        <f t="shared" si="6"/>
        <v>产业集聚程度</v>
      </c>
      <c r="R15" s="774" t="s">
        <v>17</v>
      </c>
      <c r="S15" s="775">
        <f t="shared" si="0"/>
        <v>100</v>
      </c>
      <c r="T15" s="774" t="s">
        <v>17</v>
      </c>
      <c r="U15" s="775">
        <f t="shared" si="1"/>
        <v>100</v>
      </c>
      <c r="V15" s="774" t="s">
        <v>17</v>
      </c>
      <c r="W15" s="775">
        <f t="shared" si="2"/>
        <v>100</v>
      </c>
      <c r="X15" s="1816"/>
      <c r="Y15" s="3211"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2"/>
      <c r="Q16" s="1813"/>
      <c r="R16" s="774"/>
      <c r="S16" s="775"/>
      <c r="T16" s="774"/>
      <c r="U16" s="775"/>
      <c r="V16" s="774"/>
      <c r="W16" s="775"/>
      <c r="X16" s="1816"/>
      <c r="Y16" s="3212"/>
      <c r="Z16" s="1817"/>
      <c r="AA16" s="1814">
        <v>1</v>
      </c>
      <c r="AB16" s="1814">
        <v>1</v>
      </c>
      <c r="AC16" s="1814">
        <v>1</v>
      </c>
    </row>
    <row r="17" spans="1:29" ht="85.5">
      <c r="A17" s="428"/>
      <c r="B17" s="451" t="s">
        <v>2103</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2"/>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12"/>
      <c r="Q18" s="1813"/>
      <c r="R18" s="774"/>
      <c r="S18" s="775"/>
      <c r="T18" s="774"/>
      <c r="U18" s="775"/>
      <c r="V18" s="774"/>
      <c r="W18" s="775"/>
      <c r="X18" s="1816"/>
      <c r="Y18" s="3212"/>
      <c r="Z18" s="1817"/>
      <c r="AA18" s="1814">
        <v>1</v>
      </c>
      <c r="AB18" s="1814">
        <v>1</v>
      </c>
      <c r="AC18" s="1814">
        <v>1</v>
      </c>
    </row>
    <row r="19" spans="1:29" ht="42.75">
      <c r="A19" s="428"/>
      <c r="B19" s="451" t="s">
        <v>2693</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2"/>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12"/>
      <c r="Q20" s="1813"/>
      <c r="R20" s="774"/>
      <c r="S20" s="775"/>
      <c r="T20" s="774"/>
      <c r="U20" s="775"/>
      <c r="V20" s="774"/>
      <c r="W20" s="775"/>
      <c r="X20" s="1816"/>
      <c r="Y20" s="3212"/>
      <c r="Z20" s="1817"/>
      <c r="AA20" s="1814">
        <v>1</v>
      </c>
      <c r="AB20" s="1814">
        <v>1</v>
      </c>
      <c r="AC20" s="1814">
        <v>1</v>
      </c>
    </row>
    <row r="21" spans="1:29" ht="28.5">
      <c r="A21" s="428"/>
      <c r="B21" s="1387" t="s">
        <v>2694</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2"/>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12"/>
      <c r="Q22" s="1813"/>
      <c r="R22" s="774"/>
      <c r="S22" s="775"/>
      <c r="T22" s="774"/>
      <c r="U22" s="775"/>
      <c r="V22" s="774"/>
      <c r="W22" s="775"/>
      <c r="X22" s="1816"/>
      <c r="Y22" s="3212"/>
      <c r="Z22" s="1817"/>
      <c r="AA22" s="1814">
        <v>1</v>
      </c>
      <c r="AB22" s="1814">
        <v>1</v>
      </c>
      <c r="AC22" s="1814">
        <v>1</v>
      </c>
    </row>
    <row r="23" spans="1:29" ht="71.25">
      <c r="A23" s="428"/>
      <c r="B23" s="451" t="s">
        <v>2695</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2"/>
      <c r="Q23" s="1813" t="str">
        <f>B23</f>
        <v>环境质量</v>
      </c>
      <c r="R23" s="774" t="s">
        <v>17</v>
      </c>
      <c r="S23" s="775">
        <f>F23</f>
        <v>100</v>
      </c>
      <c r="T23" s="774" t="s">
        <v>17</v>
      </c>
      <c r="U23" s="775">
        <f>H23</f>
        <v>100</v>
      </c>
      <c r="V23" s="774" t="s">
        <v>17</v>
      </c>
      <c r="W23" s="775">
        <f>J23</f>
        <v>100</v>
      </c>
      <c r="X23" s="1816"/>
      <c r="Y23" s="3212"/>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12"/>
      <c r="Q24" s="1813"/>
      <c r="R24" s="774"/>
      <c r="S24" s="775"/>
      <c r="T24" s="774"/>
      <c r="U24" s="775"/>
      <c r="V24" s="774"/>
      <c r="W24" s="775"/>
      <c r="X24" s="1816"/>
      <c r="Y24" s="321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2"/>
      <c r="Q25" s="1813">
        <f>B25</f>
        <v>111</v>
      </c>
      <c r="R25" s="774" t="s">
        <v>17</v>
      </c>
      <c r="S25" s="775">
        <f>F25</f>
        <v>100</v>
      </c>
      <c r="T25" s="774" t="s">
        <v>17</v>
      </c>
      <c r="U25" s="775">
        <f>H25</f>
        <v>100</v>
      </c>
      <c r="V25" s="774" t="s">
        <v>17</v>
      </c>
      <c r="W25" s="775">
        <f>J25</f>
        <v>100</v>
      </c>
      <c r="X25" s="1816"/>
      <c r="Y25" s="321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2"/>
      <c r="Q26" s="1813">
        <f t="shared" ref="Q26:Q40" si="11">B26</f>
        <v>111</v>
      </c>
      <c r="R26" s="774" t="s">
        <v>17</v>
      </c>
      <c r="S26" s="775">
        <f>F26</f>
        <v>100</v>
      </c>
      <c r="T26" s="774" t="s">
        <v>17</v>
      </c>
      <c r="U26" s="775">
        <f>H26</f>
        <v>100</v>
      </c>
      <c r="V26" s="774" t="s">
        <v>17</v>
      </c>
      <c r="W26" s="775">
        <f>J26</f>
        <v>100</v>
      </c>
      <c r="X26" s="1816"/>
      <c r="Y26" s="321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2"/>
      <c r="Q27" s="1798">
        <f t="shared" si="11"/>
        <v>111</v>
      </c>
      <c r="R27" s="770" t="s">
        <v>17</v>
      </c>
      <c r="S27" s="771">
        <f>F27</f>
        <v>100</v>
      </c>
      <c r="T27" s="770" t="s">
        <v>17</v>
      </c>
      <c r="U27" s="771">
        <f>H27</f>
        <v>100</v>
      </c>
      <c r="V27" s="770" t="s">
        <v>17</v>
      </c>
      <c r="W27" s="771">
        <f>J27</f>
        <v>100</v>
      </c>
      <c r="X27" s="772"/>
      <c r="Y27" s="321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2"/>
      <c r="Q28" s="1813">
        <f t="shared" si="11"/>
        <v>111</v>
      </c>
      <c r="R28" s="774" t="s">
        <v>17</v>
      </c>
      <c r="S28" s="775">
        <f t="shared" ref="S28:S40" si="12">F28</f>
        <v>100</v>
      </c>
      <c r="T28" s="774" t="s">
        <v>17</v>
      </c>
      <c r="U28" s="775">
        <f t="shared" ref="U28:U40" si="13">H28</f>
        <v>100</v>
      </c>
      <c r="V28" s="774" t="s">
        <v>17</v>
      </c>
      <c r="W28" s="775">
        <f t="shared" ref="W28:W40" si="14">J28</f>
        <v>100</v>
      </c>
      <c r="X28" s="1816"/>
      <c r="Y28" s="3212"/>
      <c r="Z28" s="1817">
        <f t="shared" ref="Z28:Z40" si="15">Q28</f>
        <v>111</v>
      </c>
      <c r="AA28" s="1814">
        <f t="shared" si="3"/>
        <v>1</v>
      </c>
      <c r="AB28" s="1814">
        <f t="shared" si="4"/>
        <v>1</v>
      </c>
      <c r="AC28" s="1814">
        <f t="shared" si="5"/>
        <v>1</v>
      </c>
    </row>
    <row r="29" spans="1:29" ht="15">
      <c r="A29" s="466" t="s">
        <v>2568</v>
      </c>
      <c r="B29" s="71" t="s">
        <v>2698</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35" t="s">
        <v>2570</v>
      </c>
      <c r="Q29" s="1813" t="str">
        <f t="shared" si="11"/>
        <v>建筑类型</v>
      </c>
      <c r="R29" s="774" t="s">
        <v>17</v>
      </c>
      <c r="S29" s="775">
        <f t="shared" si="12"/>
        <v>100</v>
      </c>
      <c r="T29" s="774" t="s">
        <v>17</v>
      </c>
      <c r="U29" s="775">
        <f t="shared" si="13"/>
        <v>100</v>
      </c>
      <c r="V29" s="774" t="s">
        <v>17</v>
      </c>
      <c r="W29" s="775">
        <f t="shared" si="14"/>
        <v>100</v>
      </c>
      <c r="X29" s="1816"/>
      <c r="Y29" s="3216"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6"/>
      <c r="Q31" s="1813" t="str">
        <f t="shared" si="11"/>
        <v>建筑结构</v>
      </c>
      <c r="R31" s="774" t="s">
        <v>17</v>
      </c>
      <c r="S31" s="775">
        <f t="shared" si="12"/>
        <v>100</v>
      </c>
      <c r="T31" s="774" t="s">
        <v>17</v>
      </c>
      <c r="U31" s="775">
        <f t="shared" si="13"/>
        <v>100</v>
      </c>
      <c r="V31" s="774" t="s">
        <v>17</v>
      </c>
      <c r="W31" s="775">
        <f t="shared" si="14"/>
        <v>100</v>
      </c>
      <c r="X31" s="1816"/>
      <c r="Y31" s="3216"/>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6"/>
      <c r="Q32" s="1813" t="str">
        <f t="shared" si="11"/>
        <v>公共部分装修</v>
      </c>
      <c r="R32" s="774" t="s">
        <v>17</v>
      </c>
      <c r="S32" s="775">
        <f t="shared" si="12"/>
        <v>100</v>
      </c>
      <c r="T32" s="774" t="s">
        <v>17</v>
      </c>
      <c r="U32" s="775">
        <f t="shared" si="13"/>
        <v>100</v>
      </c>
      <c r="V32" s="774" t="s">
        <v>17</v>
      </c>
      <c r="W32" s="775">
        <f t="shared" si="14"/>
        <v>100</v>
      </c>
      <c r="X32" s="1816"/>
      <c r="Y32" s="3216"/>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6"/>
      <c r="Q33" s="1813" t="str">
        <f t="shared" si="11"/>
        <v>成新度</v>
      </c>
      <c r="R33" s="774" t="s">
        <v>17</v>
      </c>
      <c r="S33" s="775" t="e">
        <f t="shared" si="12"/>
        <v>#N/A</v>
      </c>
      <c r="T33" s="774" t="s">
        <v>17</v>
      </c>
      <c r="U33" s="775" t="e">
        <f t="shared" si="13"/>
        <v>#N/A</v>
      </c>
      <c r="V33" s="774" t="s">
        <v>17</v>
      </c>
      <c r="W33" s="775" t="e">
        <f t="shared" si="14"/>
        <v>#N/A</v>
      </c>
      <c r="X33" s="1816"/>
      <c r="Y33" s="3216"/>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6"/>
      <c r="Q34" s="1798"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6" t="s">
        <v>2570</v>
      </c>
      <c r="Q35" s="1813" t="str">
        <f t="shared" si="11"/>
        <v>市政基础设施</v>
      </c>
      <c r="R35" s="774" t="s">
        <v>17</v>
      </c>
      <c r="S35" s="775">
        <f t="shared" si="12"/>
        <v>100</v>
      </c>
      <c r="T35" s="774" t="s">
        <v>17</v>
      </c>
      <c r="U35" s="775">
        <f t="shared" si="13"/>
        <v>100</v>
      </c>
      <c r="V35" s="774" t="s">
        <v>17</v>
      </c>
      <c r="W35" s="775">
        <f t="shared" si="14"/>
        <v>100</v>
      </c>
      <c r="X35" s="1816"/>
      <c r="Y35" s="3216"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6"/>
      <c r="Q36" s="1813" t="str">
        <f t="shared" si="11"/>
        <v>内部装修</v>
      </c>
      <c r="R36" s="774" t="s">
        <v>17</v>
      </c>
      <c r="S36" s="775">
        <f t="shared" si="12"/>
        <v>100</v>
      </c>
      <c r="T36" s="774" t="s">
        <v>17</v>
      </c>
      <c r="U36" s="775">
        <f t="shared" si="13"/>
        <v>100</v>
      </c>
      <c r="V36" s="774" t="s">
        <v>17</v>
      </c>
      <c r="W36" s="775">
        <f t="shared" si="14"/>
        <v>100</v>
      </c>
      <c r="X36" s="1816"/>
      <c r="Y36" s="3216"/>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6"/>
      <c r="Q37" s="1813" t="str">
        <f t="shared" si="11"/>
        <v>内部装修状况</v>
      </c>
      <c r="R37" s="774" t="s">
        <v>17</v>
      </c>
      <c r="S37" s="775">
        <f t="shared" si="12"/>
        <v>100</v>
      </c>
      <c r="T37" s="774" t="s">
        <v>17</v>
      </c>
      <c r="U37" s="775">
        <f t="shared" si="13"/>
        <v>100</v>
      </c>
      <c r="V37" s="774" t="s">
        <v>17</v>
      </c>
      <c r="W37" s="775">
        <f t="shared" si="14"/>
        <v>100</v>
      </c>
      <c r="X37" s="1816"/>
      <c r="Y37" s="321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6"/>
      <c r="Q39" s="1813">
        <f t="shared" si="11"/>
        <v>111</v>
      </c>
      <c r="R39" s="774" t="s">
        <v>17</v>
      </c>
      <c r="S39" s="775">
        <f t="shared" si="12"/>
        <v>100</v>
      </c>
      <c r="T39" s="774" t="s">
        <v>17</v>
      </c>
      <c r="U39" s="775">
        <f t="shared" si="13"/>
        <v>100</v>
      </c>
      <c r="V39" s="774" t="s">
        <v>17</v>
      </c>
      <c r="W39" s="775">
        <f t="shared" si="14"/>
        <v>100</v>
      </c>
      <c r="X39" s="1816"/>
      <c r="Y39" s="3216"/>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7"/>
      <c r="Q40" s="1813">
        <f t="shared" si="11"/>
        <v>111</v>
      </c>
      <c r="R40" s="774" t="s">
        <v>17</v>
      </c>
      <c r="S40" s="775">
        <f t="shared" si="12"/>
        <v>100</v>
      </c>
      <c r="T40" s="774" t="s">
        <v>17</v>
      </c>
      <c r="U40" s="775">
        <f t="shared" si="13"/>
        <v>100</v>
      </c>
      <c r="V40" s="774" t="s">
        <v>17</v>
      </c>
      <c r="W40" s="775">
        <f t="shared" si="14"/>
        <v>100</v>
      </c>
      <c r="X40" s="1816"/>
      <c r="Y40" s="3217"/>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1613</v>
      </c>
    </row>
    <row r="6" spans="1:1" ht="18.75">
      <c r="A6" s="1953" t="s">
        <v>1614</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估价对象为出让国有建设用地使用权及在建建筑物房地产，为所有。根据《国有土地使用证》[]，估价对象（分摊）出让国有建设用地使用权面积为29092.1平方米，建筑面积为89187.31平方米。</v>
      </c>
    </row>
    <row r="8" spans="1:1" ht="57.75">
      <c r="A8" s="1954" t="s">
        <v>1615</v>
      </c>
    </row>
    <row r="9" spans="1:1" ht="18.75">
      <c r="A9" s="1953" t="s">
        <v>1616</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29092.1平方米，规划建筑面积为89187.31平方米。</v>
      </c>
    </row>
    <row r="11" spans="1:1" ht="76.5">
      <c r="A11" s="1954" t="s">
        <v>1617</v>
      </c>
    </row>
    <row r="12" spans="1:1" ht="18.75">
      <c r="A12" s="1952" t="s">
        <v>1618</v>
      </c>
    </row>
    <row r="13" spans="1:1" ht="38.25" customHeight="1">
      <c r="A13" s="1955"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2018年3月16日（评估专业人员实地查勘之日）</v>
      </c>
    </row>
    <row r="16" spans="1:1" ht="18.75">
      <c r="A16" s="1956" t="s">
        <v>1620</v>
      </c>
    </row>
    <row r="17" spans="1:1" ht="75">
      <c r="A17" s="1951" t="s">
        <v>1621</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90"/>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2335</v>
      </c>
      <c r="B2" s="1421" t="e">
        <f ca="1">IF(C2="——",IF(B37="元/平方米",ROUND(C39*D3/10000,0),ROUND(F3*C39/10000,0)),IF(B37="元/平方米",ROUND(C39*D3/10000,0),ROUND(F3*C39/10000,0))-D2)</f>
        <v>#DIV/0!</v>
      </c>
      <c r="C2" s="2592"/>
      <c r="D2" s="1127" t="e">
        <f ca="1">SUMIF(INDIRECT("'"&amp;F2&amp;"'"&amp;"!A:A"),"承租人权益价值",INDIRECT("'"&amp;F2&amp;"'"&amp;"!c:c"))</f>
        <v>#REF!</v>
      </c>
      <c r="E2" s="2593" t="s">
        <v>2336</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2337</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192" t="s">
        <v>2651</v>
      </c>
      <c r="D4" s="3193"/>
      <c r="E4" s="3194" t="s">
        <v>2652</v>
      </c>
      <c r="F4" s="3195"/>
      <c r="G4" s="3192" t="s">
        <v>2653</v>
      </c>
      <c r="H4" s="3193"/>
      <c r="I4" s="3192" t="s">
        <v>2654</v>
      </c>
      <c r="J4" s="3193"/>
      <c r="K4" s="610" t="s">
        <v>2655</v>
      </c>
      <c r="L4" s="1133"/>
      <c r="M4" s="1134"/>
      <c r="N4" s="1134"/>
      <c r="O4" s="1134"/>
      <c r="P4" s="3196" t="s">
        <v>2656</v>
      </c>
      <c r="Q4" s="3197"/>
      <c r="R4" s="3179" t="s">
        <v>2652</v>
      </c>
      <c r="S4" s="3180"/>
      <c r="T4" s="3179" t="s">
        <v>2653</v>
      </c>
      <c r="U4" s="3180"/>
      <c r="V4" s="3204" t="s">
        <v>2654</v>
      </c>
      <c r="W4" s="3204"/>
      <c r="X4" s="1816"/>
      <c r="Y4" s="3179" t="s">
        <v>2656</v>
      </c>
      <c r="Z4" s="3180"/>
      <c r="AA4" s="3174" t="s">
        <v>2652</v>
      </c>
      <c r="AB4" s="3175" t="s">
        <v>2653</v>
      </c>
      <c r="AC4" s="3174" t="s">
        <v>2654</v>
      </c>
    </row>
    <row r="5" spans="1:29" ht="15">
      <c r="A5" s="404"/>
      <c r="B5" s="405"/>
      <c r="C5" s="3185" t="s">
        <v>2547</v>
      </c>
      <c r="D5" s="3186"/>
      <c r="E5" s="3183" t="s">
        <v>2548</v>
      </c>
      <c r="F5" s="3184"/>
      <c r="G5" s="3185" t="s">
        <v>2549</v>
      </c>
      <c r="H5" s="3186"/>
      <c r="I5" s="3185" t="s">
        <v>2550</v>
      </c>
      <c r="J5" s="3186"/>
      <c r="K5" s="610"/>
      <c r="L5" s="1133"/>
      <c r="M5" s="1134"/>
      <c r="N5" s="1134"/>
      <c r="O5" s="1134"/>
      <c r="P5" s="3198"/>
      <c r="Q5" s="3199"/>
      <c r="R5" s="3181"/>
      <c r="S5" s="3182"/>
      <c r="T5" s="3181"/>
      <c r="U5" s="3182"/>
      <c r="V5" s="3204"/>
      <c r="W5" s="3204"/>
      <c r="X5" s="1816"/>
      <c r="Y5" s="3181"/>
      <c r="Z5" s="3182"/>
      <c r="AA5" s="3175"/>
      <c r="AB5" s="3175"/>
      <c r="AC5" s="3175"/>
    </row>
    <row r="6" spans="1:29" ht="15.75" thickBot="1">
      <c r="A6" s="406"/>
      <c r="B6" s="407"/>
      <c r="C6" s="3187" t="s">
        <v>2551</v>
      </c>
      <c r="D6" s="3188"/>
      <c r="E6" s="3189" t="s">
        <v>2551</v>
      </c>
      <c r="F6" s="3190"/>
      <c r="G6" s="3187" t="s">
        <v>2551</v>
      </c>
      <c r="H6" s="3188"/>
      <c r="I6" s="3187" t="s">
        <v>2551</v>
      </c>
      <c r="J6" s="3188"/>
      <c r="K6" s="610" t="s">
        <v>2552</v>
      </c>
      <c r="L6" s="1133"/>
      <c r="M6" s="1134"/>
      <c r="N6" s="1134"/>
      <c r="O6" s="1134"/>
      <c r="P6" s="3200"/>
      <c r="Q6" s="3201"/>
      <c r="R6" s="3181"/>
      <c r="S6" s="3182"/>
      <c r="T6" s="3202"/>
      <c r="U6" s="3203"/>
      <c r="V6" s="3204"/>
      <c r="W6" s="3204"/>
      <c r="X6" s="1816"/>
      <c r="Y6" s="3202"/>
      <c r="Z6" s="3203"/>
      <c r="AA6" s="3176"/>
      <c r="AB6" s="3176"/>
      <c r="AC6" s="3176"/>
    </row>
    <row r="7" spans="1:29" s="117" customFormat="1" ht="15.75" thickBot="1">
      <c r="A7" s="408" t="s">
        <v>2553</v>
      </c>
      <c r="B7" s="409"/>
      <c r="C7" s="410">
        <f>'数据-取费表'!B2</f>
        <v>43175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7" t="s">
        <v>2554</v>
      </c>
      <c r="Q7" s="3205"/>
      <c r="R7" s="770" t="s">
        <v>17</v>
      </c>
      <c r="S7" s="771">
        <f t="shared" ref="S7:S14" si="0">F7</f>
        <v>0</v>
      </c>
      <c r="T7" s="770" t="s">
        <v>17</v>
      </c>
      <c r="U7" s="771">
        <f t="shared" ref="U7:U14" si="1">H7</f>
        <v>0</v>
      </c>
      <c r="V7" s="770" t="s">
        <v>17</v>
      </c>
      <c r="W7" s="771">
        <f t="shared" ref="W7:W14" si="2">J7</f>
        <v>0</v>
      </c>
      <c r="X7" s="772"/>
      <c r="Y7" s="3177" t="s">
        <v>2554</v>
      </c>
      <c r="Z7" s="3178"/>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7" t="s">
        <v>2557</v>
      </c>
      <c r="Q8" s="3178"/>
      <c r="R8" s="770" t="s">
        <v>17</v>
      </c>
      <c r="S8" s="771">
        <f t="shared" si="0"/>
        <v>0</v>
      </c>
      <c r="T8" s="770" t="s">
        <v>17</v>
      </c>
      <c r="U8" s="771">
        <f t="shared" si="1"/>
        <v>0</v>
      </c>
      <c r="V8" s="770" t="s">
        <v>17</v>
      </c>
      <c r="W8" s="771">
        <f t="shared" si="2"/>
        <v>0</v>
      </c>
      <c r="X8" s="772"/>
      <c r="Y8" s="3177" t="s">
        <v>2557</v>
      </c>
      <c r="Z8" s="3178"/>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9" t="s">
        <v>2560</v>
      </c>
      <c r="Q9" s="1798" t="str">
        <f t="shared" ref="Q9:Q14" si="6">B9</f>
        <v>用途</v>
      </c>
      <c r="R9" s="770" t="s">
        <v>17</v>
      </c>
      <c r="S9" s="771">
        <f t="shared" si="0"/>
        <v>100</v>
      </c>
      <c r="T9" s="770" t="s">
        <v>17</v>
      </c>
      <c r="U9" s="771">
        <f t="shared" si="1"/>
        <v>100</v>
      </c>
      <c r="V9" s="770" t="s">
        <v>17</v>
      </c>
      <c r="W9" s="771">
        <f t="shared" si="2"/>
        <v>100</v>
      </c>
      <c r="X9" s="772"/>
      <c r="Y9" s="3020"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9"/>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9"/>
      <c r="Q11" s="1798">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9"/>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9"/>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2564</v>
      </c>
      <c r="B14" s="629" t="s">
        <v>2714</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1" t="s">
        <v>2565</v>
      </c>
      <c r="Q14" s="1813" t="str">
        <f t="shared" si="6"/>
        <v>交通便捷度</v>
      </c>
      <c r="R14" s="774" t="s">
        <v>17</v>
      </c>
      <c r="S14" s="775">
        <f t="shared" si="0"/>
        <v>100</v>
      </c>
      <c r="T14" s="774" t="s">
        <v>17</v>
      </c>
      <c r="U14" s="775">
        <f t="shared" si="1"/>
        <v>100</v>
      </c>
      <c r="V14" s="774" t="s">
        <v>17</v>
      </c>
      <c r="W14" s="775">
        <f t="shared" si="2"/>
        <v>100</v>
      </c>
      <c r="X14" s="1816"/>
      <c r="Y14" s="3211"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2"/>
      <c r="Q15" s="1813"/>
      <c r="R15" s="774"/>
      <c r="S15" s="775"/>
      <c r="T15" s="774"/>
      <c r="U15" s="775"/>
      <c r="V15" s="774"/>
      <c r="W15" s="775"/>
      <c r="X15" s="1816"/>
      <c r="Y15" s="3212"/>
      <c r="Z15" s="1817"/>
      <c r="AA15" s="1814">
        <v>1</v>
      </c>
      <c r="AB15" s="1814">
        <v>1</v>
      </c>
      <c r="AC15" s="1814">
        <v>1</v>
      </c>
    </row>
    <row r="16" spans="1:29" ht="42.75">
      <c r="A16" s="404"/>
      <c r="B16" s="631" t="s">
        <v>2693</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2"/>
      <c r="Q16" s="1813" t="str">
        <f>B16</f>
        <v>公共配套设施</v>
      </c>
      <c r="R16" s="774" t="s">
        <v>17</v>
      </c>
      <c r="S16" s="775">
        <f>F16</f>
        <v>100</v>
      </c>
      <c r="T16" s="774" t="s">
        <v>17</v>
      </c>
      <c r="U16" s="775">
        <f>H16</f>
        <v>100</v>
      </c>
      <c r="V16" s="774" t="s">
        <v>17</v>
      </c>
      <c r="W16" s="775">
        <f>J16</f>
        <v>100</v>
      </c>
      <c r="X16" s="1816"/>
      <c r="Y16" s="3212"/>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212"/>
      <c r="Q17" s="1813"/>
      <c r="R17" s="774"/>
      <c r="S17" s="775"/>
      <c r="T17" s="774"/>
      <c r="U17" s="775"/>
      <c r="V17" s="774"/>
      <c r="W17" s="775"/>
      <c r="X17" s="1816"/>
      <c r="Y17" s="3212"/>
      <c r="Z17" s="1817"/>
      <c r="AA17" s="1814">
        <v>1</v>
      </c>
      <c r="AB17" s="1814">
        <v>1</v>
      </c>
      <c r="AC17" s="1814">
        <v>1</v>
      </c>
    </row>
    <row r="18" spans="1:29" ht="28.5">
      <c r="A18" s="404"/>
      <c r="B18" s="633" t="s">
        <v>2694</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2"/>
      <c r="Q18" s="1813" t="str">
        <f>B18</f>
        <v>基础设施水平</v>
      </c>
      <c r="R18" s="774" t="s">
        <v>17</v>
      </c>
      <c r="S18" s="775">
        <f>F18</f>
        <v>100</v>
      </c>
      <c r="T18" s="774" t="s">
        <v>17</v>
      </c>
      <c r="U18" s="775">
        <f>H18</f>
        <v>100</v>
      </c>
      <c r="V18" s="774" t="s">
        <v>17</v>
      </c>
      <c r="W18" s="775">
        <f>J18</f>
        <v>100</v>
      </c>
      <c r="X18" s="1816"/>
      <c r="Y18" s="3212"/>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212"/>
      <c r="Q19" s="1813"/>
      <c r="R19" s="774"/>
      <c r="S19" s="775"/>
      <c r="T19" s="774"/>
      <c r="U19" s="775"/>
      <c r="V19" s="774"/>
      <c r="W19" s="775"/>
      <c r="X19" s="1816"/>
      <c r="Y19" s="3212"/>
      <c r="Z19" s="1817"/>
      <c r="AA19" s="1814">
        <v>1</v>
      </c>
      <c r="AB19" s="1814">
        <v>1</v>
      </c>
      <c r="AC19" s="1814">
        <v>1</v>
      </c>
    </row>
    <row r="20" spans="1:29" ht="57">
      <c r="A20" s="404"/>
      <c r="B20" s="631" t="s">
        <v>2715</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2"/>
      <c r="Q20" s="1813" t="str">
        <f>B20</f>
        <v>自然及人文环境</v>
      </c>
      <c r="R20" s="774" t="s">
        <v>17</v>
      </c>
      <c r="S20" s="775">
        <f>F20</f>
        <v>100</v>
      </c>
      <c r="T20" s="774" t="s">
        <v>17</v>
      </c>
      <c r="U20" s="775">
        <f>H20</f>
        <v>100</v>
      </c>
      <c r="V20" s="774" t="s">
        <v>17</v>
      </c>
      <c r="W20" s="775">
        <f>J20</f>
        <v>100</v>
      </c>
      <c r="X20" s="1816"/>
      <c r="Y20" s="321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2"/>
      <c r="Q21" s="1813"/>
      <c r="R21" s="774"/>
      <c r="S21" s="775"/>
      <c r="T21" s="774"/>
      <c r="U21" s="775"/>
      <c r="V21" s="774"/>
      <c r="W21" s="775"/>
      <c r="X21" s="1816"/>
      <c r="Y21" s="3212"/>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2"/>
      <c r="Q22" s="1813" t="str">
        <f>B22</f>
        <v>楼层</v>
      </c>
      <c r="R22" s="774" t="s">
        <v>17</v>
      </c>
      <c r="S22" s="775">
        <f>F22</f>
        <v>100</v>
      </c>
      <c r="T22" s="774" t="s">
        <v>17</v>
      </c>
      <c r="U22" s="775">
        <f>H22</f>
        <v>100</v>
      </c>
      <c r="V22" s="774" t="s">
        <v>17</v>
      </c>
      <c r="W22" s="775">
        <f>J22</f>
        <v>100</v>
      </c>
      <c r="X22" s="1816"/>
      <c r="Y22" s="321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2"/>
      <c r="Q23" s="1813">
        <f>B23</f>
        <v>111</v>
      </c>
      <c r="R23" s="774" t="s">
        <v>17</v>
      </c>
      <c r="S23" s="775">
        <f>F23</f>
        <v>100</v>
      </c>
      <c r="T23" s="774" t="s">
        <v>17</v>
      </c>
      <c r="U23" s="775">
        <f>H23</f>
        <v>100</v>
      </c>
      <c r="V23" s="774" t="s">
        <v>17</v>
      </c>
      <c r="W23" s="775">
        <f>J23</f>
        <v>100</v>
      </c>
      <c r="X23" s="1816"/>
      <c r="Y23" s="321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2"/>
      <c r="Q24" s="1813">
        <f t="shared" ref="Q24:Q36" si="11">B24</f>
        <v>111</v>
      </c>
      <c r="R24" s="774" t="s">
        <v>17</v>
      </c>
      <c r="S24" s="775">
        <f>F24</f>
        <v>100</v>
      </c>
      <c r="T24" s="774" t="s">
        <v>17</v>
      </c>
      <c r="U24" s="775">
        <f>H24</f>
        <v>100</v>
      </c>
      <c r="V24" s="774" t="s">
        <v>17</v>
      </c>
      <c r="W24" s="775">
        <f>J24</f>
        <v>100</v>
      </c>
      <c r="X24" s="1816"/>
      <c r="Y24" s="321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2"/>
      <c r="Q25" s="1798">
        <f t="shared" si="11"/>
        <v>111</v>
      </c>
      <c r="R25" s="770" t="s">
        <v>17</v>
      </c>
      <c r="S25" s="771">
        <f>F25</f>
        <v>100</v>
      </c>
      <c r="T25" s="770" t="s">
        <v>17</v>
      </c>
      <c r="U25" s="771">
        <f>H25</f>
        <v>100</v>
      </c>
      <c r="V25" s="770" t="s">
        <v>17</v>
      </c>
      <c r="W25" s="771">
        <f>J25</f>
        <v>100</v>
      </c>
      <c r="X25" s="772"/>
      <c r="Y25" s="3212"/>
      <c r="Z25" s="55">
        <f>Q25</f>
        <v>111</v>
      </c>
      <c r="AA25" s="1814">
        <f>D25/F25</f>
        <v>1</v>
      </c>
      <c r="AB25" s="1814">
        <f>D25/H25</f>
        <v>1</v>
      </c>
      <c r="AC25" s="1814">
        <f>D25/J25</f>
        <v>1</v>
      </c>
    </row>
    <row r="26" spans="1:29" ht="15">
      <c r="A26" s="652" t="s">
        <v>2568</v>
      </c>
      <c r="B26" s="70" t="s">
        <v>2717</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5"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6"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6"/>
      <c r="Q28" s="1813" t="str">
        <f t="shared" si="11"/>
        <v>公共部分装修</v>
      </c>
      <c r="R28" s="774" t="s">
        <v>17</v>
      </c>
      <c r="S28" s="775">
        <f t="shared" si="12"/>
        <v>100</v>
      </c>
      <c r="T28" s="774" t="s">
        <v>17</v>
      </c>
      <c r="U28" s="775">
        <f t="shared" si="13"/>
        <v>100</v>
      </c>
      <c r="V28" s="774" t="s">
        <v>17</v>
      </c>
      <c r="W28" s="775">
        <f t="shared" si="14"/>
        <v>100</v>
      </c>
      <c r="X28" s="1816"/>
      <c r="Y28" s="3216"/>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6"/>
      <c r="Q29" s="1813" t="str">
        <f t="shared" si="11"/>
        <v>成新率</v>
      </c>
      <c r="R29" s="774" t="s">
        <v>17</v>
      </c>
      <c r="S29" s="775" t="e">
        <f t="shared" si="12"/>
        <v>#N/A</v>
      </c>
      <c r="T29" s="774" t="s">
        <v>17</v>
      </c>
      <c r="U29" s="775" t="e">
        <f t="shared" si="13"/>
        <v>#N/A</v>
      </c>
      <c r="V29" s="774" t="s">
        <v>17</v>
      </c>
      <c r="W29" s="775" t="e">
        <f t="shared" si="14"/>
        <v>#N/A</v>
      </c>
      <c r="X29" s="1816"/>
      <c r="Y29" s="3216"/>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6"/>
      <c r="Q30" s="1813" t="str">
        <f t="shared" si="11"/>
        <v>物业等级</v>
      </c>
      <c r="R30" s="774" t="s">
        <v>17</v>
      </c>
      <c r="S30" s="775">
        <f t="shared" si="12"/>
        <v>100</v>
      </c>
      <c r="T30" s="774" t="s">
        <v>17</v>
      </c>
      <c r="U30" s="775">
        <f t="shared" si="13"/>
        <v>100</v>
      </c>
      <c r="V30" s="774" t="s">
        <v>17</v>
      </c>
      <c r="W30" s="775">
        <f t="shared" si="14"/>
        <v>100</v>
      </c>
      <c r="X30" s="1816"/>
      <c r="Y30" s="3216"/>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6"/>
      <c r="Q31" s="1798"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6" t="s">
        <v>2570</v>
      </c>
      <c r="Q32" s="1813" t="str">
        <f t="shared" si="11"/>
        <v>车位类型</v>
      </c>
      <c r="R32" s="774" t="s">
        <v>17</v>
      </c>
      <c r="S32" s="775">
        <f t="shared" si="12"/>
        <v>100</v>
      </c>
      <c r="T32" s="774" t="s">
        <v>17</v>
      </c>
      <c r="U32" s="775">
        <f t="shared" si="13"/>
        <v>100</v>
      </c>
      <c r="V32" s="774" t="s">
        <v>17</v>
      </c>
      <c r="W32" s="775">
        <f t="shared" si="14"/>
        <v>100</v>
      </c>
      <c r="X32" s="1816"/>
      <c r="Y32" s="3216"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6"/>
      <c r="Q33" s="1813" t="str">
        <f t="shared" si="11"/>
        <v>是否直接入户</v>
      </c>
      <c r="R33" s="774" t="s">
        <v>17</v>
      </c>
      <c r="S33" s="775">
        <f t="shared" si="12"/>
        <v>100</v>
      </c>
      <c r="T33" s="774" t="s">
        <v>17</v>
      </c>
      <c r="U33" s="775">
        <f t="shared" si="13"/>
        <v>100</v>
      </c>
      <c r="V33" s="774" t="s">
        <v>17</v>
      </c>
      <c r="W33" s="775">
        <f t="shared" si="14"/>
        <v>100</v>
      </c>
      <c r="X33" s="1816"/>
      <c r="Y33" s="321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6"/>
      <c r="Q34" s="1813">
        <f t="shared" si="11"/>
        <v>111</v>
      </c>
      <c r="R34" s="774" t="s">
        <v>17</v>
      </c>
      <c r="S34" s="775">
        <f t="shared" si="12"/>
        <v>100</v>
      </c>
      <c r="T34" s="774" t="s">
        <v>17</v>
      </c>
      <c r="U34" s="775">
        <f t="shared" si="13"/>
        <v>100</v>
      </c>
      <c r="V34" s="774" t="s">
        <v>17</v>
      </c>
      <c r="W34" s="775">
        <f t="shared" si="14"/>
        <v>100</v>
      </c>
      <c r="X34" s="1816"/>
      <c r="Y34" s="321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6"/>
      <c r="Q36" s="1813">
        <f t="shared" si="11"/>
        <v>111</v>
      </c>
      <c r="R36" s="774" t="s">
        <v>17</v>
      </c>
      <c r="S36" s="775">
        <f t="shared" si="12"/>
        <v>100</v>
      </c>
      <c r="T36" s="774" t="s">
        <v>17</v>
      </c>
      <c r="U36" s="775">
        <f t="shared" si="13"/>
        <v>100</v>
      </c>
      <c r="V36" s="774" t="s">
        <v>17</v>
      </c>
      <c r="W36" s="775">
        <f t="shared" si="14"/>
        <v>100</v>
      </c>
      <c r="X36" s="1816"/>
      <c r="Y36" s="3216"/>
      <c r="Z36" s="1817">
        <f t="shared" si="15"/>
        <v>111</v>
      </c>
      <c r="AA36" s="1814">
        <f t="shared" si="3"/>
        <v>1</v>
      </c>
      <c r="AB36" s="1814">
        <f t="shared" si="4"/>
        <v>1</v>
      </c>
      <c r="AC36" s="1814">
        <f t="shared" si="5"/>
        <v>1</v>
      </c>
    </row>
    <row r="37" spans="1:29" ht="15">
      <c r="A37" s="479" t="s">
        <v>2725</v>
      </c>
      <c r="B37" s="2701" t="s">
        <v>2726</v>
      </c>
      <c r="C37" s="1410" t="s">
        <v>1</v>
      </c>
      <c r="D37" s="1411"/>
      <c r="E37" s="1412"/>
      <c r="F37" s="1413"/>
      <c r="G37" s="1414"/>
      <c r="H37" s="1415"/>
      <c r="I37" s="1412"/>
      <c r="J37" s="1415"/>
      <c r="K37" s="619"/>
      <c r="L37" s="1146"/>
      <c r="M37" s="1147"/>
      <c r="N37" s="1134"/>
      <c r="O37" s="1147"/>
      <c r="P37" s="3209" t="str">
        <f>A37</f>
        <v>成交单价</v>
      </c>
      <c r="Q37" s="3209"/>
      <c r="R37" s="3210">
        <f>E37</f>
        <v>0</v>
      </c>
      <c r="S37" s="3210"/>
      <c r="T37" s="3210">
        <f>G37</f>
        <v>0</v>
      </c>
      <c r="U37" s="3210"/>
      <c r="V37" s="3210">
        <f>I37</f>
        <v>0</v>
      </c>
      <c r="W37" s="3210"/>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206" t="str">
        <f>A39</f>
        <v>估价对象XX用房的比较价值（楼面单价，元/平方米）</v>
      </c>
      <c r="Q39" s="3207"/>
      <c r="R39" s="3208" t="e">
        <f>IF(F1="售价",ROUND(AVERAGE(R38:V38),0),ROUND(AVERAGE(R38:V38),1))</f>
        <v>#DIV/0!</v>
      </c>
      <c r="S39" s="3208"/>
      <c r="T39" s="3208"/>
      <c r="U39" s="3208"/>
      <c r="V39" s="3208"/>
      <c r="W39" s="320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90"/>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2335</v>
      </c>
      <c r="B2" s="1421" t="e">
        <f ca="1">IF(C2="——",ROUND(C37*D3/10000,0),ROUND(C37*D3/10000,0)-D2)</f>
        <v>#DIV/0!</v>
      </c>
      <c r="C2" s="2592"/>
      <c r="D2" s="1127" t="e">
        <f ca="1">SUMIF(INDIRECT("'"&amp;F2&amp;"'"&amp;"!A:A"),"承租人权益价值",INDIRECT("'"&amp;F2&amp;"'"&amp;"!c:c"))</f>
        <v>#REF!</v>
      </c>
      <c r="E2" s="2593" t="s">
        <v>2336</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2337</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2" t="s">
        <v>2651</v>
      </c>
      <c r="D4" s="3193"/>
      <c r="E4" s="3194" t="s">
        <v>2652</v>
      </c>
      <c r="F4" s="3195"/>
      <c r="G4" s="3192" t="s">
        <v>2653</v>
      </c>
      <c r="H4" s="3193"/>
      <c r="I4" s="3192" t="s">
        <v>2654</v>
      </c>
      <c r="J4" s="3193"/>
      <c r="K4" s="610" t="s">
        <v>2655</v>
      </c>
      <c r="L4" s="1133"/>
      <c r="M4" s="1134"/>
      <c r="N4" s="1134"/>
      <c r="O4" s="1134"/>
      <c r="P4" s="3196" t="s">
        <v>2656</v>
      </c>
      <c r="Q4" s="3197"/>
      <c r="R4" s="3179" t="s">
        <v>2652</v>
      </c>
      <c r="S4" s="3180"/>
      <c r="T4" s="3179" t="s">
        <v>2653</v>
      </c>
      <c r="U4" s="3180"/>
      <c r="V4" s="3204" t="s">
        <v>2654</v>
      </c>
      <c r="W4" s="3204"/>
      <c r="X4" s="1816"/>
      <c r="Y4" s="3179" t="s">
        <v>2656</v>
      </c>
      <c r="Z4" s="3180"/>
      <c r="AA4" s="3174" t="s">
        <v>2652</v>
      </c>
      <c r="AB4" s="3175" t="s">
        <v>2653</v>
      </c>
      <c r="AC4" s="3174" t="s">
        <v>2654</v>
      </c>
    </row>
    <row r="5" spans="1:29" ht="15">
      <c r="A5" s="404"/>
      <c r="B5" s="405"/>
      <c r="C5" s="3185" t="s">
        <v>2547</v>
      </c>
      <c r="D5" s="3186"/>
      <c r="E5" s="3183" t="s">
        <v>2548</v>
      </c>
      <c r="F5" s="3184"/>
      <c r="G5" s="3185" t="s">
        <v>2549</v>
      </c>
      <c r="H5" s="3186"/>
      <c r="I5" s="3185" t="s">
        <v>2550</v>
      </c>
      <c r="J5" s="3186"/>
      <c r="K5" s="610"/>
      <c r="L5" s="1133"/>
      <c r="M5" s="1134"/>
      <c r="N5" s="1134"/>
      <c r="O5" s="1134"/>
      <c r="P5" s="3198"/>
      <c r="Q5" s="3199"/>
      <c r="R5" s="3181"/>
      <c r="S5" s="3182"/>
      <c r="T5" s="3181"/>
      <c r="U5" s="3182"/>
      <c r="V5" s="3204"/>
      <c r="W5" s="3204"/>
      <c r="X5" s="1816"/>
      <c r="Y5" s="3181"/>
      <c r="Z5" s="3182"/>
      <c r="AA5" s="3175"/>
      <c r="AB5" s="3175"/>
      <c r="AC5" s="3175"/>
    </row>
    <row r="6" spans="1:29" ht="15.75" thickBot="1">
      <c r="A6" s="406"/>
      <c r="B6" s="407"/>
      <c r="C6" s="3187" t="s">
        <v>2551</v>
      </c>
      <c r="D6" s="3188"/>
      <c r="E6" s="3189" t="s">
        <v>2551</v>
      </c>
      <c r="F6" s="3190"/>
      <c r="G6" s="3187" t="s">
        <v>2551</v>
      </c>
      <c r="H6" s="3188"/>
      <c r="I6" s="3187" t="s">
        <v>2551</v>
      </c>
      <c r="J6" s="3188"/>
      <c r="K6" s="610" t="s">
        <v>2552</v>
      </c>
      <c r="L6" s="1133"/>
      <c r="M6" s="1134"/>
      <c r="N6" s="1134"/>
      <c r="O6" s="1134"/>
      <c r="P6" s="3200"/>
      <c r="Q6" s="3201"/>
      <c r="R6" s="3181"/>
      <c r="S6" s="3182"/>
      <c r="T6" s="3202"/>
      <c r="U6" s="3203"/>
      <c r="V6" s="3204"/>
      <c r="W6" s="3204"/>
      <c r="X6" s="1816"/>
      <c r="Y6" s="3202"/>
      <c r="Z6" s="3203"/>
      <c r="AA6" s="3176"/>
      <c r="AB6" s="3176"/>
      <c r="AC6" s="3176"/>
    </row>
    <row r="7" spans="1:29" s="117" customFormat="1" ht="15.75" thickBot="1">
      <c r="A7" s="408" t="s">
        <v>2553</v>
      </c>
      <c r="B7" s="409"/>
      <c r="C7" s="410">
        <f>'数据-取费表'!B2</f>
        <v>43175</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77" t="s">
        <v>2554</v>
      </c>
      <c r="Q7" s="3205"/>
      <c r="R7" s="770" t="s">
        <v>17</v>
      </c>
      <c r="S7" s="771">
        <f t="shared" ref="S7:S14" si="0">F7</f>
        <v>0</v>
      </c>
      <c r="T7" s="770" t="s">
        <v>17</v>
      </c>
      <c r="U7" s="771">
        <f t="shared" ref="U7:U14" si="1">H7</f>
        <v>0</v>
      </c>
      <c r="V7" s="770" t="s">
        <v>17</v>
      </c>
      <c r="W7" s="771">
        <f t="shared" ref="W7:W14" si="2">J7</f>
        <v>0</v>
      </c>
      <c r="X7" s="772"/>
      <c r="Y7" s="3177" t="s">
        <v>2554</v>
      </c>
      <c r="Z7" s="3178"/>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7" t="s">
        <v>2557</v>
      </c>
      <c r="Q8" s="3178"/>
      <c r="R8" s="770" t="s">
        <v>17</v>
      </c>
      <c r="S8" s="771">
        <f t="shared" si="0"/>
        <v>0</v>
      </c>
      <c r="T8" s="770" t="s">
        <v>17</v>
      </c>
      <c r="U8" s="771">
        <f t="shared" si="1"/>
        <v>0</v>
      </c>
      <c r="V8" s="770" t="s">
        <v>17</v>
      </c>
      <c r="W8" s="771">
        <f t="shared" si="2"/>
        <v>0</v>
      </c>
      <c r="X8" s="772"/>
      <c r="Y8" s="3177" t="s">
        <v>2557</v>
      </c>
      <c r="Z8" s="3178"/>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9" t="s">
        <v>2560</v>
      </c>
      <c r="Q9" s="1798" t="str">
        <f t="shared" ref="Q9:Q14" si="6">B9</f>
        <v>用途</v>
      </c>
      <c r="R9" s="770" t="s">
        <v>17</v>
      </c>
      <c r="S9" s="771">
        <f t="shared" si="0"/>
        <v>100</v>
      </c>
      <c r="T9" s="770" t="s">
        <v>17</v>
      </c>
      <c r="U9" s="771">
        <f t="shared" si="1"/>
        <v>100</v>
      </c>
      <c r="V9" s="770" t="s">
        <v>17</v>
      </c>
      <c r="W9" s="771">
        <f t="shared" si="2"/>
        <v>100</v>
      </c>
      <c r="X9" s="772"/>
      <c r="Y9" s="3020"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9"/>
      <c r="Q10" s="1798"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9"/>
      <c r="Q11" s="1798">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2564</v>
      </c>
      <c r="B14" s="69" t="s">
        <v>2714</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1" t="s">
        <v>2565</v>
      </c>
      <c r="Q14" s="1813" t="str">
        <f t="shared" si="6"/>
        <v>交通便捷度</v>
      </c>
      <c r="R14" s="774" t="s">
        <v>17</v>
      </c>
      <c r="S14" s="775">
        <f t="shared" si="0"/>
        <v>100</v>
      </c>
      <c r="T14" s="774" t="s">
        <v>17</v>
      </c>
      <c r="U14" s="775">
        <f t="shared" si="1"/>
        <v>100</v>
      </c>
      <c r="V14" s="774" t="s">
        <v>17</v>
      </c>
      <c r="W14" s="775">
        <f t="shared" si="2"/>
        <v>100</v>
      </c>
      <c r="X14" s="1816"/>
      <c r="Y14" s="3211"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2"/>
      <c r="Q15" s="1813"/>
      <c r="R15" s="774"/>
      <c r="S15" s="775"/>
      <c r="T15" s="774"/>
      <c r="U15" s="775"/>
      <c r="V15" s="774"/>
      <c r="W15" s="775"/>
      <c r="X15" s="1816"/>
      <c r="Y15" s="3212"/>
      <c r="Z15" s="1817"/>
      <c r="AA15" s="1814">
        <v>1</v>
      </c>
      <c r="AB15" s="1814">
        <v>1</v>
      </c>
      <c r="AC15" s="1814">
        <v>1</v>
      </c>
    </row>
    <row r="16" spans="1:29" ht="42.75">
      <c r="A16" s="428"/>
      <c r="B16" s="451" t="s">
        <v>2693</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2"/>
      <c r="Q16" s="1813" t="str">
        <f>B16</f>
        <v>公共配套设施</v>
      </c>
      <c r="R16" s="774" t="s">
        <v>17</v>
      </c>
      <c r="S16" s="775">
        <f>F16</f>
        <v>100</v>
      </c>
      <c r="T16" s="774" t="s">
        <v>17</v>
      </c>
      <c r="U16" s="775">
        <f>H16</f>
        <v>100</v>
      </c>
      <c r="V16" s="774" t="s">
        <v>17</v>
      </c>
      <c r="W16" s="775">
        <f>J16</f>
        <v>100</v>
      </c>
      <c r="X16" s="1816"/>
      <c r="Y16" s="3212"/>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12"/>
      <c r="Q17" s="1813"/>
      <c r="R17" s="774"/>
      <c r="S17" s="775"/>
      <c r="T17" s="774"/>
      <c r="U17" s="775"/>
      <c r="V17" s="774"/>
      <c r="W17" s="775"/>
      <c r="X17" s="1816"/>
      <c r="Y17" s="3212"/>
      <c r="Z17" s="1817"/>
      <c r="AA17" s="1814">
        <v>1</v>
      </c>
      <c r="AB17" s="1814">
        <v>1</v>
      </c>
      <c r="AC17" s="1814">
        <v>1</v>
      </c>
    </row>
    <row r="18" spans="1:29" ht="28.5">
      <c r="A18" s="428"/>
      <c r="B18" s="1387" t="s">
        <v>2694</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2"/>
      <c r="Q18" s="1813" t="str">
        <f>B18</f>
        <v>基础设施水平</v>
      </c>
      <c r="R18" s="774" t="s">
        <v>17</v>
      </c>
      <c r="S18" s="775">
        <f>F18</f>
        <v>100</v>
      </c>
      <c r="T18" s="774" t="s">
        <v>17</v>
      </c>
      <c r="U18" s="775">
        <f>H18</f>
        <v>100</v>
      </c>
      <c r="V18" s="774" t="s">
        <v>17</v>
      </c>
      <c r="W18" s="775">
        <f>J18</f>
        <v>100</v>
      </c>
      <c r="X18" s="1816"/>
      <c r="Y18" s="3212"/>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12"/>
      <c r="Q19" s="1813"/>
      <c r="R19" s="774"/>
      <c r="S19" s="775"/>
      <c r="T19" s="774"/>
      <c r="U19" s="775"/>
      <c r="V19" s="774"/>
      <c r="W19" s="775"/>
      <c r="X19" s="1816"/>
      <c r="Y19" s="3212"/>
      <c r="Z19" s="1817"/>
      <c r="AA19" s="1814">
        <v>1</v>
      </c>
      <c r="AB19" s="1814">
        <v>1</v>
      </c>
      <c r="AC19" s="1814">
        <v>1</v>
      </c>
    </row>
    <row r="20" spans="1:29" ht="57">
      <c r="A20" s="428"/>
      <c r="B20" s="451" t="s">
        <v>2715</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2"/>
      <c r="Q20" s="1813" t="str">
        <f>B20</f>
        <v>自然及人文环境</v>
      </c>
      <c r="R20" s="774" t="s">
        <v>17</v>
      </c>
      <c r="S20" s="775">
        <f>F20</f>
        <v>100</v>
      </c>
      <c r="T20" s="774" t="s">
        <v>17</v>
      </c>
      <c r="U20" s="775">
        <f>H20</f>
        <v>100</v>
      </c>
      <c r="V20" s="774" t="s">
        <v>17</v>
      </c>
      <c r="W20" s="775">
        <f>J20</f>
        <v>100</v>
      </c>
      <c r="X20" s="1816"/>
      <c r="Y20" s="321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2"/>
      <c r="Q21" s="1813"/>
      <c r="R21" s="774"/>
      <c r="S21" s="775"/>
      <c r="T21" s="774"/>
      <c r="U21" s="775"/>
      <c r="V21" s="774"/>
      <c r="W21" s="775"/>
      <c r="X21" s="1816"/>
      <c r="Y21" s="3212"/>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2"/>
      <c r="Q22" s="1813" t="str">
        <f>B22</f>
        <v>楼层</v>
      </c>
      <c r="R22" s="774" t="s">
        <v>17</v>
      </c>
      <c r="S22" s="775">
        <f>F22</f>
        <v>100</v>
      </c>
      <c r="T22" s="774" t="s">
        <v>17</v>
      </c>
      <c r="U22" s="775">
        <f>H22</f>
        <v>100</v>
      </c>
      <c r="V22" s="774" t="s">
        <v>17</v>
      </c>
      <c r="W22" s="775">
        <f>J22</f>
        <v>100</v>
      </c>
      <c r="X22" s="1816"/>
      <c r="Y22" s="3212"/>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2"/>
      <c r="Q23" s="1813">
        <f>B23</f>
        <v>111</v>
      </c>
      <c r="R23" s="774" t="s">
        <v>17</v>
      </c>
      <c r="S23" s="775">
        <f>F23</f>
        <v>100</v>
      </c>
      <c r="T23" s="774" t="s">
        <v>17</v>
      </c>
      <c r="U23" s="775">
        <f>H23</f>
        <v>100</v>
      </c>
      <c r="V23" s="774" t="s">
        <v>17</v>
      </c>
      <c r="W23" s="775">
        <f>J23</f>
        <v>100</v>
      </c>
      <c r="X23" s="1816"/>
      <c r="Y23" s="3212"/>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2"/>
      <c r="Q24" s="1813">
        <f t="shared" ref="Q24:Q34" si="11">B24</f>
        <v>111</v>
      </c>
      <c r="R24" s="774" t="s">
        <v>17</v>
      </c>
      <c r="S24" s="775">
        <f>F24</f>
        <v>100</v>
      </c>
      <c r="T24" s="774" t="s">
        <v>17</v>
      </c>
      <c r="U24" s="775">
        <f>H24</f>
        <v>100</v>
      </c>
      <c r="V24" s="774" t="s">
        <v>17</v>
      </c>
      <c r="W24" s="775">
        <f>J24</f>
        <v>100</v>
      </c>
      <c r="X24" s="1816"/>
      <c r="Y24" s="3212"/>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12"/>
      <c r="Q25" s="1798">
        <f t="shared" si="11"/>
        <v>111</v>
      </c>
      <c r="R25" s="770" t="s">
        <v>17</v>
      </c>
      <c r="S25" s="771">
        <f>F25</f>
        <v>100</v>
      </c>
      <c r="T25" s="770" t="s">
        <v>17</v>
      </c>
      <c r="U25" s="771">
        <f>H25</f>
        <v>100</v>
      </c>
      <c r="V25" s="770" t="s">
        <v>17</v>
      </c>
      <c r="W25" s="771">
        <f>J25</f>
        <v>100</v>
      </c>
      <c r="X25" s="772"/>
      <c r="Y25" s="3212"/>
      <c r="Z25" s="55">
        <f>Q25</f>
        <v>111</v>
      </c>
      <c r="AA25" s="1814">
        <f>D25/F25</f>
        <v>1</v>
      </c>
      <c r="AB25" s="1814">
        <f>D25/H25</f>
        <v>1</v>
      </c>
      <c r="AC25" s="1814">
        <f>D25/J25</f>
        <v>1</v>
      </c>
    </row>
    <row r="26" spans="1:29" ht="15">
      <c r="A26" s="466" t="s">
        <v>2568</v>
      </c>
      <c r="B26" s="71" t="s">
        <v>2719</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35"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6"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6"/>
      <c r="Q28" s="1813" t="str">
        <f t="shared" si="11"/>
        <v>物业等级</v>
      </c>
      <c r="R28" s="774" t="s">
        <v>17</v>
      </c>
      <c r="S28" s="775">
        <f t="shared" si="12"/>
        <v>100</v>
      </c>
      <c r="T28" s="774" t="s">
        <v>17</v>
      </c>
      <c r="U28" s="775">
        <f t="shared" si="13"/>
        <v>100</v>
      </c>
      <c r="V28" s="774" t="s">
        <v>17</v>
      </c>
      <c r="W28" s="775">
        <f t="shared" si="14"/>
        <v>100</v>
      </c>
      <c r="X28" s="1816"/>
      <c r="Y28" s="3216"/>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6"/>
      <c r="Q29" s="1813" t="str">
        <f t="shared" si="11"/>
        <v>有无电梯</v>
      </c>
      <c r="R29" s="774" t="s">
        <v>17</v>
      </c>
      <c r="S29" s="775">
        <f t="shared" si="12"/>
        <v>100</v>
      </c>
      <c r="T29" s="774" t="s">
        <v>17</v>
      </c>
      <c r="U29" s="775">
        <f t="shared" si="13"/>
        <v>100</v>
      </c>
      <c r="V29" s="774" t="s">
        <v>17</v>
      </c>
      <c r="W29" s="775">
        <f t="shared" si="14"/>
        <v>100</v>
      </c>
      <c r="X29" s="1816"/>
      <c r="Y29" s="3216"/>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6"/>
      <c r="Q30" s="1813" t="str">
        <f t="shared" si="11"/>
        <v>建筑面积</v>
      </c>
      <c r="R30" s="774" t="s">
        <v>17</v>
      </c>
      <c r="S30" s="775" t="e">
        <f t="shared" si="12"/>
        <v>#N/A</v>
      </c>
      <c r="T30" s="774" t="s">
        <v>17</v>
      </c>
      <c r="U30" s="775" t="e">
        <f t="shared" si="13"/>
        <v>#N/A</v>
      </c>
      <c r="V30" s="774" t="s">
        <v>17</v>
      </c>
      <c r="W30" s="775" t="e">
        <f t="shared" si="14"/>
        <v>#N/A</v>
      </c>
      <c r="X30" s="1816"/>
      <c r="Y30" s="3216"/>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6"/>
      <c r="Q31" s="1798"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6" t="s">
        <v>2570</v>
      </c>
      <c r="Q32" s="1813">
        <f t="shared" si="11"/>
        <v>111</v>
      </c>
      <c r="R32" s="774" t="s">
        <v>17</v>
      </c>
      <c r="S32" s="775">
        <f t="shared" si="12"/>
        <v>100</v>
      </c>
      <c r="T32" s="774" t="s">
        <v>17</v>
      </c>
      <c r="U32" s="775">
        <f t="shared" si="13"/>
        <v>100</v>
      </c>
      <c r="V32" s="774" t="s">
        <v>17</v>
      </c>
      <c r="W32" s="775">
        <f t="shared" si="14"/>
        <v>100</v>
      </c>
      <c r="X32" s="1816"/>
      <c r="Y32" s="3216" t="s">
        <v>2570</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6"/>
      <c r="Q33" s="1813">
        <f t="shared" si="11"/>
        <v>111</v>
      </c>
      <c r="R33" s="774" t="s">
        <v>17</v>
      </c>
      <c r="S33" s="775">
        <f t="shared" si="12"/>
        <v>100</v>
      </c>
      <c r="T33" s="774" t="s">
        <v>17</v>
      </c>
      <c r="U33" s="775">
        <f t="shared" si="13"/>
        <v>100</v>
      </c>
      <c r="V33" s="774" t="s">
        <v>17</v>
      </c>
      <c r="W33" s="775">
        <f t="shared" si="14"/>
        <v>100</v>
      </c>
      <c r="X33" s="1816"/>
      <c r="Y33" s="3216"/>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16"/>
      <c r="Q34" s="1813">
        <f t="shared" si="11"/>
        <v>111</v>
      </c>
      <c r="R34" s="774" t="s">
        <v>17</v>
      </c>
      <c r="S34" s="775">
        <f t="shared" si="12"/>
        <v>100</v>
      </c>
      <c r="T34" s="774" t="s">
        <v>17</v>
      </c>
      <c r="U34" s="775">
        <f t="shared" si="13"/>
        <v>100</v>
      </c>
      <c r="V34" s="774" t="s">
        <v>17</v>
      </c>
      <c r="W34" s="775">
        <f t="shared" si="14"/>
        <v>100</v>
      </c>
      <c r="X34" s="1816"/>
      <c r="Y34" s="3216"/>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19" sqref="D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2337</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192" t="s">
        <v>2651</v>
      </c>
      <c r="D4" s="3193"/>
      <c r="E4" s="3194" t="s">
        <v>2652</v>
      </c>
      <c r="F4" s="3195"/>
      <c r="G4" s="3192" t="s">
        <v>2653</v>
      </c>
      <c r="H4" s="3193"/>
      <c r="I4" s="3192" t="s">
        <v>2654</v>
      </c>
      <c r="J4" s="3193"/>
      <c r="K4" s="610" t="s">
        <v>2655</v>
      </c>
      <c r="L4" s="1133"/>
      <c r="M4" s="1134"/>
      <c r="N4" s="1134"/>
      <c r="O4" s="1134"/>
      <c r="P4" s="3196" t="s">
        <v>2656</v>
      </c>
      <c r="Q4" s="3197"/>
      <c r="R4" s="3179" t="s">
        <v>2652</v>
      </c>
      <c r="S4" s="3180"/>
      <c r="T4" s="3179" t="s">
        <v>2653</v>
      </c>
      <c r="U4" s="3180"/>
      <c r="V4" s="3204" t="s">
        <v>2654</v>
      </c>
      <c r="W4" s="3204"/>
      <c r="X4" s="1816"/>
      <c r="Y4" s="3179" t="s">
        <v>2656</v>
      </c>
      <c r="Z4" s="3180"/>
      <c r="AA4" s="3174" t="s">
        <v>2652</v>
      </c>
      <c r="AB4" s="3175" t="s">
        <v>2653</v>
      </c>
      <c r="AC4" s="3174" t="s">
        <v>2654</v>
      </c>
    </row>
    <row r="5" spans="1:30" ht="15">
      <c r="A5" s="404"/>
      <c r="B5" s="405"/>
      <c r="C5" s="3185" t="s">
        <v>2547</v>
      </c>
      <c r="D5" s="3186"/>
      <c r="E5" s="3183" t="s">
        <v>2548</v>
      </c>
      <c r="F5" s="3184"/>
      <c r="G5" s="3185" t="s">
        <v>2549</v>
      </c>
      <c r="H5" s="3186"/>
      <c r="I5" s="3185" t="s">
        <v>2550</v>
      </c>
      <c r="J5" s="3186"/>
      <c r="K5" s="610"/>
      <c r="L5" s="1133"/>
      <c r="M5" s="1134"/>
      <c r="N5" s="1134"/>
      <c r="O5" s="1134"/>
      <c r="P5" s="3198"/>
      <c r="Q5" s="3199"/>
      <c r="R5" s="3181"/>
      <c r="S5" s="3182"/>
      <c r="T5" s="3181"/>
      <c r="U5" s="3182"/>
      <c r="V5" s="3204"/>
      <c r="W5" s="3204"/>
      <c r="X5" s="1816"/>
      <c r="Y5" s="3181"/>
      <c r="Z5" s="3182"/>
      <c r="AA5" s="3175"/>
      <c r="AB5" s="3175"/>
      <c r="AC5" s="3175"/>
    </row>
    <row r="6" spans="1:30" ht="15.75" thickBot="1">
      <c r="A6" s="406"/>
      <c r="B6" s="407"/>
      <c r="C6" s="3187" t="s">
        <v>2551</v>
      </c>
      <c r="D6" s="3188"/>
      <c r="E6" s="3189" t="s">
        <v>2551</v>
      </c>
      <c r="F6" s="3190"/>
      <c r="G6" s="3187" t="s">
        <v>2551</v>
      </c>
      <c r="H6" s="3188"/>
      <c r="I6" s="3187" t="s">
        <v>2551</v>
      </c>
      <c r="J6" s="3188"/>
      <c r="K6" s="610" t="s">
        <v>2552</v>
      </c>
      <c r="L6" s="1133"/>
      <c r="M6" s="1134"/>
      <c r="N6" s="1134"/>
      <c r="O6" s="1134"/>
      <c r="P6" s="3200"/>
      <c r="Q6" s="3201"/>
      <c r="R6" s="3181"/>
      <c r="S6" s="3182"/>
      <c r="T6" s="3202"/>
      <c r="U6" s="3203"/>
      <c r="V6" s="3204"/>
      <c r="W6" s="3204"/>
      <c r="X6" s="1816"/>
      <c r="Y6" s="3202"/>
      <c r="Z6" s="3203"/>
      <c r="AA6" s="3176"/>
      <c r="AB6" s="3176"/>
      <c r="AC6" s="3176"/>
    </row>
    <row r="7" spans="1:30" s="117" customFormat="1" ht="15.75" thickBot="1">
      <c r="A7" s="408" t="s">
        <v>2553</v>
      </c>
      <c r="B7" s="409"/>
      <c r="C7" s="410">
        <f>'数据-取费表'!B2</f>
        <v>43175</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77" t="s">
        <v>2554</v>
      </c>
      <c r="Q7" s="3205"/>
      <c r="R7" s="770" t="s">
        <v>17</v>
      </c>
      <c r="S7" s="771">
        <f t="shared" ref="S7:S15" si="0">F7</f>
        <v>0</v>
      </c>
      <c r="T7" s="770" t="s">
        <v>17</v>
      </c>
      <c r="U7" s="771">
        <f t="shared" ref="U7:U15" si="1">H7</f>
        <v>0</v>
      </c>
      <c r="V7" s="770" t="s">
        <v>17</v>
      </c>
      <c r="W7" s="771">
        <f t="shared" ref="W7:W15" si="2">J7</f>
        <v>0</v>
      </c>
      <c r="X7" s="772"/>
      <c r="Y7" s="3177" t="s">
        <v>2554</v>
      </c>
      <c r="Z7" s="3178"/>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7" t="s">
        <v>2557</v>
      </c>
      <c r="Q8" s="3178"/>
      <c r="R8" s="770" t="s">
        <v>17</v>
      </c>
      <c r="S8" s="771">
        <f t="shared" si="0"/>
        <v>0</v>
      </c>
      <c r="T8" s="770" t="s">
        <v>17</v>
      </c>
      <c r="U8" s="771">
        <f t="shared" si="1"/>
        <v>0</v>
      </c>
      <c r="V8" s="770" t="s">
        <v>17</v>
      </c>
      <c r="W8" s="771">
        <f t="shared" si="2"/>
        <v>0</v>
      </c>
      <c r="X8" s="772"/>
      <c r="Y8" s="3177" t="s">
        <v>2557</v>
      </c>
      <c r="Z8" s="3178"/>
      <c r="AA8" s="773" t="e">
        <f t="shared" ref="AA8:AA45" si="3">D8/F8</f>
        <v>#DIV/0!</v>
      </c>
      <c r="AB8" s="773" t="e">
        <f t="shared" ref="AB8:AB45" si="4">D8/H8</f>
        <v>#DIV/0!</v>
      </c>
      <c r="AC8" s="773" t="e">
        <f t="shared" ref="AC8:AC45" si="5">D8/J8</f>
        <v>#DIV/0!</v>
      </c>
    </row>
    <row r="9" spans="1:30" s="117" customFormat="1">
      <c r="A9" s="415" t="s">
        <v>2558</v>
      </c>
      <c r="B9" s="71" t="s">
        <v>2559</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09" t="s">
        <v>2560</v>
      </c>
      <c r="Q9" s="1798" t="str">
        <f t="shared" ref="Q9:Q15" si="6">B9</f>
        <v>用途</v>
      </c>
      <c r="R9" s="770" t="s">
        <v>17</v>
      </c>
      <c r="S9" s="771">
        <f t="shared" si="0"/>
        <v>100</v>
      </c>
      <c r="T9" s="770" t="s">
        <v>17</v>
      </c>
      <c r="U9" s="771">
        <f t="shared" si="1"/>
        <v>100</v>
      </c>
      <c r="V9" s="770" t="s">
        <v>17</v>
      </c>
      <c r="W9" s="771">
        <f t="shared" si="2"/>
        <v>100</v>
      </c>
      <c r="X9" s="772"/>
      <c r="Y9" s="3020"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209"/>
      <c r="Q10" s="1798" t="str">
        <f t="shared" si="6"/>
        <v>土地使用年限（年）</v>
      </c>
      <c r="R10" s="770" t="s">
        <v>17</v>
      </c>
      <c r="S10" s="771">
        <f t="shared" si="0"/>
        <v>104</v>
      </c>
      <c r="T10" s="770" t="s">
        <v>17</v>
      </c>
      <c r="U10" s="771">
        <f t="shared" si="1"/>
        <v>104</v>
      </c>
      <c r="V10" s="770" t="s">
        <v>17</v>
      </c>
      <c r="W10" s="771">
        <f t="shared" si="2"/>
        <v>104</v>
      </c>
      <c r="X10" s="772"/>
      <c r="Y10" s="3020"/>
      <c r="Z10" s="55" t="str">
        <f t="shared" si="7"/>
        <v>土地使用年限（年）</v>
      </c>
      <c r="AA10" s="773">
        <f t="shared" si="3"/>
        <v>0.96153846153846156</v>
      </c>
      <c r="AB10" s="773">
        <f t="shared" si="4"/>
        <v>0.96153846153846156</v>
      </c>
      <c r="AC10" s="773">
        <f t="shared" si="5"/>
        <v>0.96153846153846156</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606"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9"/>
      <c r="Q12" s="1798"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2564</v>
      </c>
      <c r="B15" s="69" t="s">
        <v>2091</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1" t="s">
        <v>2565</v>
      </c>
      <c r="Q15" s="1813" t="str">
        <f t="shared" si="6"/>
        <v>居住社区成熟度</v>
      </c>
      <c r="R15" s="774" t="s">
        <v>17</v>
      </c>
      <c r="S15" s="775">
        <f t="shared" si="0"/>
        <v>100</v>
      </c>
      <c r="T15" s="774" t="s">
        <v>17</v>
      </c>
      <c r="U15" s="775">
        <f t="shared" si="1"/>
        <v>100</v>
      </c>
      <c r="V15" s="774" t="s">
        <v>17</v>
      </c>
      <c r="W15" s="775">
        <f t="shared" si="2"/>
        <v>100</v>
      </c>
      <c r="X15" s="1816"/>
      <c r="Y15" s="3211" t="s">
        <v>2565</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212"/>
      <c r="Q16" s="1813"/>
      <c r="R16" s="774"/>
      <c r="S16" s="775"/>
      <c r="T16" s="774"/>
      <c r="U16" s="775"/>
      <c r="V16" s="774"/>
      <c r="W16" s="775"/>
      <c r="X16" s="1816"/>
      <c r="Y16" s="3212"/>
      <c r="Z16" s="1817"/>
      <c r="AA16" s="1814">
        <v>1</v>
      </c>
      <c r="AB16" s="1814">
        <v>1</v>
      </c>
      <c r="AC16" s="1814">
        <v>1</v>
      </c>
    </row>
    <row r="17" spans="1:29" ht="71.25">
      <c r="A17" s="428"/>
      <c r="B17" s="451" t="s">
        <v>2658</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2"/>
      <c r="Q17" s="1813" t="str">
        <f>B17</f>
        <v>商业繁华度</v>
      </c>
      <c r="R17" s="774" t="s">
        <v>17</v>
      </c>
      <c r="S17" s="775">
        <f>F17</f>
        <v>100</v>
      </c>
      <c r="T17" s="774" t="s">
        <v>17</v>
      </c>
      <c r="U17" s="775">
        <f>H17</f>
        <v>100</v>
      </c>
      <c r="V17" s="774" t="s">
        <v>17</v>
      </c>
      <c r="W17" s="775">
        <f>J17</f>
        <v>100</v>
      </c>
      <c r="X17" s="1816"/>
      <c r="Y17" s="3212"/>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212"/>
      <c r="Q18" s="1813"/>
      <c r="R18" s="774"/>
      <c r="S18" s="775"/>
      <c r="T18" s="774"/>
      <c r="U18" s="775"/>
      <c r="V18" s="774"/>
      <c r="W18" s="775"/>
      <c r="X18" s="1816"/>
      <c r="Y18" s="3212"/>
      <c r="Z18" s="1817"/>
      <c r="AA18" s="1814">
        <v>1</v>
      </c>
      <c r="AB18" s="1814">
        <v>1</v>
      </c>
      <c r="AC18" s="1814">
        <v>1</v>
      </c>
    </row>
    <row r="19" spans="1:29" ht="71.25">
      <c r="A19" s="428"/>
      <c r="B19" s="451" t="s">
        <v>2692</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2"/>
      <c r="Q19" s="1813" t="str">
        <f>B19</f>
        <v>办公集聚程度</v>
      </c>
      <c r="R19" s="774" t="s">
        <v>17</v>
      </c>
      <c r="S19" s="775">
        <f>F19</f>
        <v>100</v>
      </c>
      <c r="T19" s="774" t="s">
        <v>17</v>
      </c>
      <c r="U19" s="775">
        <f>H19</f>
        <v>100</v>
      </c>
      <c r="V19" s="774" t="s">
        <v>17</v>
      </c>
      <c r="W19" s="775">
        <f>J19</f>
        <v>100</v>
      </c>
      <c r="X19" s="1816"/>
      <c r="Y19" s="3212"/>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212"/>
      <c r="Q20" s="1813"/>
      <c r="R20" s="774"/>
      <c r="S20" s="775"/>
      <c r="T20" s="774"/>
      <c r="U20" s="775"/>
      <c r="V20" s="774"/>
      <c r="W20" s="775"/>
      <c r="X20" s="1816"/>
      <c r="Y20" s="3212"/>
      <c r="Z20" s="1817"/>
      <c r="AA20" s="1814">
        <v>1</v>
      </c>
      <c r="AB20" s="1814">
        <v>1</v>
      </c>
      <c r="AC20" s="1814">
        <v>1</v>
      </c>
    </row>
    <row r="21" spans="1:29" ht="85.5">
      <c r="A21" s="428"/>
      <c r="B21" s="451" t="s">
        <v>2714</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2"/>
      <c r="Q21" s="1813" t="str">
        <f>B21</f>
        <v>交通便捷度</v>
      </c>
      <c r="R21" s="774" t="s">
        <v>17</v>
      </c>
      <c r="S21" s="775">
        <f>F21</f>
        <v>100</v>
      </c>
      <c r="T21" s="774" t="s">
        <v>17</v>
      </c>
      <c r="U21" s="775">
        <f>H21</f>
        <v>100</v>
      </c>
      <c r="V21" s="774" t="s">
        <v>17</v>
      </c>
      <c r="W21" s="775">
        <f>J21</f>
        <v>100</v>
      </c>
      <c r="X21" s="1816"/>
      <c r="Y21" s="3212"/>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212"/>
      <c r="Q22" s="1813"/>
      <c r="R22" s="774"/>
      <c r="S22" s="775"/>
      <c r="T22" s="774"/>
      <c r="U22" s="775"/>
      <c r="V22" s="774"/>
      <c r="W22" s="775"/>
      <c r="X22" s="1816"/>
      <c r="Y22" s="3212"/>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2"/>
      <c r="Q23" s="1813" t="str">
        <f t="shared" ref="Q23:Q37" si="8">B23</f>
        <v>区域土地利用方向</v>
      </c>
      <c r="R23" s="774" t="s">
        <v>17</v>
      </c>
      <c r="S23" s="775">
        <f>F23</f>
        <v>100</v>
      </c>
      <c r="T23" s="774" t="s">
        <v>17</v>
      </c>
      <c r="U23" s="775">
        <f>H23</f>
        <v>100</v>
      </c>
      <c r="V23" s="774" t="s">
        <v>17</v>
      </c>
      <c r="W23" s="775">
        <f>J23</f>
        <v>100</v>
      </c>
      <c r="X23" s="1816"/>
      <c r="Y23" s="3212"/>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212"/>
      <c r="Q24" s="1813"/>
      <c r="R24" s="774"/>
      <c r="S24" s="775"/>
      <c r="T24" s="774"/>
      <c r="U24" s="775"/>
      <c r="V24" s="774"/>
      <c r="W24" s="775"/>
      <c r="X24" s="1816"/>
      <c r="Y24" s="3212"/>
      <c r="Z24" s="1817"/>
      <c r="AA24" s="1814"/>
      <c r="AB24" s="1814"/>
      <c r="AC24" s="1814"/>
    </row>
    <row r="25" spans="1:29" ht="57">
      <c r="A25" s="404"/>
      <c r="B25" s="1387" t="s">
        <v>2754</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2"/>
      <c r="Q25" s="1813" t="str">
        <f t="shared" si="8"/>
        <v>自然及人文环境状况</v>
      </c>
      <c r="R25" s="774" t="s">
        <v>17</v>
      </c>
      <c r="S25" s="775">
        <f>F25</f>
        <v>100</v>
      </c>
      <c r="T25" s="774" t="s">
        <v>17</v>
      </c>
      <c r="U25" s="775">
        <f>H25</f>
        <v>100</v>
      </c>
      <c r="V25" s="774" t="s">
        <v>17</v>
      </c>
      <c r="W25" s="775">
        <f>J25</f>
        <v>100</v>
      </c>
      <c r="X25" s="1816"/>
      <c r="Y25" s="3212"/>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212"/>
      <c r="Q26" s="1813"/>
      <c r="R26" s="774"/>
      <c r="S26" s="775"/>
      <c r="T26" s="774"/>
      <c r="U26" s="775"/>
      <c r="V26" s="774"/>
      <c r="W26" s="775"/>
      <c r="X26" s="1816"/>
      <c r="Y26" s="3212"/>
      <c r="Z26" s="1817"/>
      <c r="AA26" s="1814">
        <v>1</v>
      </c>
      <c r="AB26" s="1814">
        <v>1</v>
      </c>
      <c r="AC26" s="1814">
        <v>1</v>
      </c>
    </row>
    <row r="27" spans="1:29" s="117" customFormat="1" ht="42.75">
      <c r="A27" s="649"/>
      <c r="B27" s="1387" t="s">
        <v>2659</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2"/>
      <c r="Q27" s="1798" t="str">
        <f t="shared" si="8"/>
        <v>公共配套设施</v>
      </c>
      <c r="R27" s="770" t="s">
        <v>17</v>
      </c>
      <c r="S27" s="771">
        <f>F27</f>
        <v>100</v>
      </c>
      <c r="T27" s="770" t="s">
        <v>17</v>
      </c>
      <c r="U27" s="771">
        <f>H27</f>
        <v>100</v>
      </c>
      <c r="V27" s="770" t="s">
        <v>17</v>
      </c>
      <c r="W27" s="771">
        <f>J27</f>
        <v>100</v>
      </c>
      <c r="X27" s="772"/>
      <c r="Y27" s="3212"/>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212"/>
      <c r="Q28" s="1798"/>
      <c r="R28" s="770"/>
      <c r="S28" s="771"/>
      <c r="T28" s="770"/>
      <c r="U28" s="771"/>
      <c r="V28" s="770"/>
      <c r="W28" s="771"/>
      <c r="X28" s="772"/>
      <c r="Y28" s="3212"/>
      <c r="Z28" s="55"/>
      <c r="AA28" s="1814">
        <v>1</v>
      </c>
      <c r="AB28" s="1814">
        <v>1</v>
      </c>
      <c r="AC28" s="1814">
        <v>1</v>
      </c>
    </row>
    <row r="29" spans="1:29" s="117" customFormat="1" ht="28.5">
      <c r="A29" s="649"/>
      <c r="B29" s="1387" t="s">
        <v>2660</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2"/>
      <c r="Q29" s="1798"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212"/>
      <c r="Q30" s="1798"/>
      <c r="R30" s="770"/>
      <c r="S30" s="771"/>
      <c r="T30" s="770"/>
      <c r="U30" s="771"/>
      <c r="V30" s="770"/>
      <c r="W30" s="771"/>
      <c r="X30" s="772"/>
      <c r="Y30" s="3212"/>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2"/>
      <c r="Z31" s="1817" t="str">
        <f t="shared" ref="Z31:Z45" si="13">Q31</f>
        <v>临街状况</v>
      </c>
      <c r="AA31" s="1814">
        <f t="shared" si="3"/>
        <v>1</v>
      </c>
      <c r="AB31" s="1814">
        <f t="shared" si="4"/>
        <v>1</v>
      </c>
      <c r="AC31" s="1814">
        <f t="shared" si="5"/>
        <v>1</v>
      </c>
    </row>
    <row r="32" spans="1:29" ht="27">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2"/>
      <c r="Q32" s="1813" t="str">
        <f t="shared" si="8"/>
        <v>毗邻道路的类型与等级</v>
      </c>
      <c r="R32" s="774" t="s">
        <v>17</v>
      </c>
      <c r="S32" s="775">
        <f t="shared" si="10"/>
        <v>100</v>
      </c>
      <c r="T32" s="774" t="s">
        <v>17</v>
      </c>
      <c r="U32" s="775">
        <f t="shared" si="11"/>
        <v>100</v>
      </c>
      <c r="V32" s="774" t="s">
        <v>17</v>
      </c>
      <c r="W32" s="775">
        <f t="shared" si="12"/>
        <v>100</v>
      </c>
      <c r="X32" s="1816"/>
      <c r="Y32" s="3212"/>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12"/>
      <c r="Q33" s="1813"/>
      <c r="R33" s="774"/>
      <c r="S33" s="775"/>
      <c r="T33" s="774"/>
      <c r="U33" s="775"/>
      <c r="V33" s="774"/>
      <c r="W33" s="775"/>
      <c r="X33" s="1816"/>
      <c r="Y33" s="3212"/>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2"/>
      <c r="Q34" s="1813" t="str">
        <f t="shared" si="8"/>
        <v>土地级别</v>
      </c>
      <c r="R34" s="774" t="s">
        <v>17</v>
      </c>
      <c r="S34" s="775">
        <f t="shared" si="10"/>
        <v>100</v>
      </c>
      <c r="T34" s="774" t="s">
        <v>17</v>
      </c>
      <c r="U34" s="775">
        <f t="shared" si="11"/>
        <v>100</v>
      </c>
      <c r="V34" s="774" t="s">
        <v>17</v>
      </c>
      <c r="W34" s="775">
        <f t="shared" si="12"/>
        <v>100</v>
      </c>
      <c r="X34" s="1816"/>
      <c r="Y34" s="321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2"/>
      <c r="Q35" s="1813">
        <f t="shared" si="8"/>
        <v>111</v>
      </c>
      <c r="R35" s="774" t="s">
        <v>17</v>
      </c>
      <c r="S35" s="775">
        <f t="shared" si="10"/>
        <v>100</v>
      </c>
      <c r="T35" s="774" t="s">
        <v>17</v>
      </c>
      <c r="U35" s="775">
        <f t="shared" si="11"/>
        <v>100</v>
      </c>
      <c r="V35" s="774" t="s">
        <v>17</v>
      </c>
      <c r="W35" s="775">
        <f t="shared" si="12"/>
        <v>100</v>
      </c>
      <c r="X35" s="1816"/>
      <c r="Y35" s="321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5" t="s">
        <v>2570</v>
      </c>
      <c r="Q36" s="1813">
        <f t="shared" si="8"/>
        <v>111</v>
      </c>
      <c r="R36" s="774" t="s">
        <v>17</v>
      </c>
      <c r="S36" s="775">
        <f t="shared" si="10"/>
        <v>100</v>
      </c>
      <c r="T36" s="774" t="s">
        <v>17</v>
      </c>
      <c r="U36" s="775">
        <f t="shared" si="11"/>
        <v>100</v>
      </c>
      <c r="V36" s="774" t="s">
        <v>17</v>
      </c>
      <c r="W36" s="775">
        <f t="shared" si="12"/>
        <v>100</v>
      </c>
      <c r="X36" s="1816"/>
      <c r="Y36" s="3216" t="s">
        <v>2570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6"/>
      <c r="Q37" s="1813">
        <f t="shared" si="8"/>
        <v>111</v>
      </c>
      <c r="R37" s="777" t="s">
        <v>17</v>
      </c>
      <c r="S37" s="778">
        <f t="shared" si="10"/>
        <v>100</v>
      </c>
      <c r="T37" s="777" t="s">
        <v>17</v>
      </c>
      <c r="U37" s="778">
        <f t="shared" si="11"/>
        <v>100</v>
      </c>
      <c r="V37" s="777" t="s">
        <v>17</v>
      </c>
      <c r="W37" s="778">
        <f t="shared" si="12"/>
        <v>100</v>
      </c>
      <c r="X37" s="779"/>
      <c r="Y37" s="3216"/>
      <c r="Z37" s="780">
        <f t="shared" si="13"/>
        <v>111</v>
      </c>
      <c r="AA37" s="1814">
        <f t="shared" si="3"/>
        <v>1</v>
      </c>
      <c r="AB37" s="1814">
        <f t="shared" si="4"/>
        <v>1</v>
      </c>
      <c r="AC37" s="1814">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6"/>
      <c r="Q38" s="1813" t="str">
        <f>B38</f>
        <v>宗地面积</v>
      </c>
      <c r="R38" s="774" t="s">
        <v>17</v>
      </c>
      <c r="S38" s="775" t="e">
        <f t="shared" si="10"/>
        <v>#N/A</v>
      </c>
      <c r="T38" s="774" t="s">
        <v>17</v>
      </c>
      <c r="U38" s="775" t="e">
        <f t="shared" si="11"/>
        <v>#N/A</v>
      </c>
      <c r="V38" s="774" t="s">
        <v>17</v>
      </c>
      <c r="W38" s="775" t="e">
        <f t="shared" si="12"/>
        <v>#N/A</v>
      </c>
      <c r="X38" s="1816"/>
      <c r="Y38" s="3216"/>
      <c r="Z38" s="1817" t="str">
        <f t="shared" si="13"/>
        <v>宗地面积</v>
      </c>
      <c r="AA38" s="1814" t="e">
        <f t="shared" si="3"/>
        <v>#N/A</v>
      </c>
      <c r="AB38" s="1814" t="e">
        <f t="shared" si="4"/>
        <v>#N/A</v>
      </c>
      <c r="AC38" s="1814" t="e">
        <f t="shared" si="5"/>
        <v>#N/A</v>
      </c>
    </row>
    <row r="39" spans="1:29" ht="15">
      <c r="A39" s="472"/>
      <c r="B39" s="422" t="s">
        <v>2757</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16"/>
      <c r="Q39" s="1813" t="str">
        <f t="shared" ref="Q39:Q45" si="14">B39</f>
        <v>宗地形状</v>
      </c>
      <c r="R39" s="774" t="s">
        <v>17</v>
      </c>
      <c r="S39" s="775">
        <f t="shared" si="10"/>
        <v>100</v>
      </c>
      <c r="T39" s="774" t="s">
        <v>17</v>
      </c>
      <c r="U39" s="775">
        <f t="shared" si="11"/>
        <v>100</v>
      </c>
      <c r="V39" s="774" t="s">
        <v>17</v>
      </c>
      <c r="W39" s="775">
        <f t="shared" si="12"/>
        <v>100</v>
      </c>
      <c r="X39" s="1816"/>
      <c r="Y39" s="3216"/>
      <c r="Z39" s="1817" t="str">
        <f t="shared" si="13"/>
        <v>宗地形状</v>
      </c>
      <c r="AA39" s="1814">
        <f t="shared" si="3"/>
        <v>1</v>
      </c>
      <c r="AB39" s="1814">
        <f t="shared" si="4"/>
        <v>1</v>
      </c>
      <c r="AC39" s="1814">
        <f t="shared" si="5"/>
        <v>1</v>
      </c>
    </row>
    <row r="40" spans="1:29" ht="15">
      <c r="A40" s="472"/>
      <c r="B40" s="422" t="s">
        <v>2758</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16"/>
      <c r="Q40" s="1813" t="str">
        <f t="shared" si="14"/>
        <v>临街宽度及深度</v>
      </c>
      <c r="R40" s="774" t="s">
        <v>17</v>
      </c>
      <c r="S40" s="775">
        <f t="shared" si="10"/>
        <v>100</v>
      </c>
      <c r="T40" s="774" t="s">
        <v>17</v>
      </c>
      <c r="U40" s="775">
        <f t="shared" si="11"/>
        <v>100</v>
      </c>
      <c r="V40" s="774" t="s">
        <v>17</v>
      </c>
      <c r="W40" s="775">
        <f t="shared" si="12"/>
        <v>100</v>
      </c>
      <c r="X40" s="1816"/>
      <c r="Y40" s="3216"/>
      <c r="Z40" s="1817" t="str">
        <f t="shared" si="13"/>
        <v>临街宽度及深度</v>
      </c>
      <c r="AA40" s="1814">
        <f t="shared" si="3"/>
        <v>1</v>
      </c>
      <c r="AB40" s="1814">
        <f t="shared" si="4"/>
        <v>1</v>
      </c>
      <c r="AC40" s="1814">
        <f t="shared" si="5"/>
        <v>1</v>
      </c>
    </row>
    <row r="41" spans="1:29" s="117" customFormat="1" ht="15">
      <c r="A41" s="473"/>
      <c r="B41" s="422" t="s">
        <v>2759</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16"/>
      <c r="Q41" s="1813"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2760</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16" t="s">
        <v>2570</v>
      </c>
      <c r="Q42" s="1813" t="str">
        <f t="shared" si="14"/>
        <v>工程地质条件</v>
      </c>
      <c r="R42" s="774" t="s">
        <v>17</v>
      </c>
      <c r="S42" s="775">
        <f t="shared" si="10"/>
        <v>100</v>
      </c>
      <c r="T42" s="774" t="s">
        <v>17</v>
      </c>
      <c r="U42" s="775">
        <f t="shared" si="11"/>
        <v>100</v>
      </c>
      <c r="V42" s="774" t="s">
        <v>17</v>
      </c>
      <c r="W42" s="775">
        <f t="shared" si="12"/>
        <v>100</v>
      </c>
      <c r="X42" s="1816"/>
      <c r="Y42" s="3216"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6"/>
      <c r="Q43" s="1813">
        <f t="shared" si="14"/>
        <v>111</v>
      </c>
      <c r="R43" s="774" t="s">
        <v>17</v>
      </c>
      <c r="S43" s="775">
        <f t="shared" si="10"/>
        <v>100</v>
      </c>
      <c r="T43" s="774" t="s">
        <v>17</v>
      </c>
      <c r="U43" s="775">
        <f t="shared" si="11"/>
        <v>100</v>
      </c>
      <c r="V43" s="774" t="s">
        <v>17</v>
      </c>
      <c r="W43" s="775">
        <f t="shared" si="12"/>
        <v>100</v>
      </c>
      <c r="X43" s="1816"/>
      <c r="Y43" s="321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6"/>
      <c r="Q44" s="1813">
        <f t="shared" si="14"/>
        <v>111</v>
      </c>
      <c r="R44" s="774" t="s">
        <v>17</v>
      </c>
      <c r="S44" s="775">
        <f t="shared" si="10"/>
        <v>100</v>
      </c>
      <c r="T44" s="774" t="s">
        <v>17</v>
      </c>
      <c r="U44" s="775">
        <f t="shared" si="11"/>
        <v>100</v>
      </c>
      <c r="V44" s="774" t="s">
        <v>17</v>
      </c>
      <c r="W44" s="775">
        <f t="shared" si="12"/>
        <v>100</v>
      </c>
      <c r="X44" s="1816"/>
      <c r="Y44" s="3216"/>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6"/>
      <c r="Q45" s="1813">
        <f t="shared" si="14"/>
        <v>111</v>
      </c>
      <c r="R45" s="777" t="s">
        <v>17</v>
      </c>
      <c r="S45" s="778">
        <f t="shared" si="10"/>
        <v>100</v>
      </c>
      <c r="T45" s="777" t="s">
        <v>17</v>
      </c>
      <c r="U45" s="778">
        <f t="shared" si="11"/>
        <v>100</v>
      </c>
      <c r="V45" s="777" t="s">
        <v>17</v>
      </c>
      <c r="W45" s="778">
        <f t="shared" si="12"/>
        <v>100</v>
      </c>
      <c r="X45" s="779"/>
      <c r="Y45" s="3216"/>
      <c r="Z45" s="780">
        <f t="shared" si="13"/>
        <v>111</v>
      </c>
      <c r="AA45" s="1814">
        <f t="shared" si="3"/>
        <v>1</v>
      </c>
      <c r="AB45" s="1814">
        <f t="shared" si="4"/>
        <v>1</v>
      </c>
      <c r="AC45" s="1814">
        <f t="shared" si="5"/>
        <v>1</v>
      </c>
    </row>
    <row r="46" spans="1:29" ht="15">
      <c r="A46" s="479" t="s">
        <v>2725</v>
      </c>
      <c r="B46" s="2710" t="s">
        <v>2761</v>
      </c>
      <c r="C46" s="682" t="s">
        <v>1</v>
      </c>
      <c r="D46" s="481"/>
      <c r="E46" s="482"/>
      <c r="F46" s="483"/>
      <c r="G46" s="484"/>
      <c r="H46" s="485"/>
      <c r="I46" s="482"/>
      <c r="J46" s="485"/>
      <c r="K46" s="783"/>
      <c r="L46" s="1146"/>
      <c r="M46" s="1147"/>
      <c r="N46" s="1134"/>
      <c r="O46" s="1147"/>
      <c r="P46" s="3209" t="str">
        <f>A46</f>
        <v>成交单价</v>
      </c>
      <c r="Q46" s="3209"/>
      <c r="R46" s="3204">
        <f>E46</f>
        <v>0</v>
      </c>
      <c r="S46" s="3204"/>
      <c r="T46" s="3204">
        <f>G46</f>
        <v>0</v>
      </c>
      <c r="U46" s="3204"/>
      <c r="V46" s="3204">
        <f>I46</f>
        <v>0</v>
      </c>
      <c r="W46" s="3204"/>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209" t="str">
        <f>A47</f>
        <v>比较价值（元/平方米）</v>
      </c>
      <c r="Q47" s="3209"/>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206" t="str">
        <f>A48</f>
        <v>估价对象XX用房的比较价值（楼面单价，元/平方米）</v>
      </c>
      <c r="Q48" s="3207"/>
      <c r="R48" s="3237" t="e">
        <f>ROUND(AVERAGE(R47:V47),0)</f>
        <v>#DIV/0!</v>
      </c>
      <c r="S48" s="3237"/>
      <c r="T48" s="3237"/>
      <c r="U48" s="3237"/>
      <c r="V48" s="3237"/>
      <c r="W48" s="323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1" t="s">
        <v>2765</v>
      </c>
      <c r="D55" s="2712" t="s">
        <v>2766</v>
      </c>
      <c r="E55" s="686" t="s">
        <v>2767</v>
      </c>
      <c r="F55" s="1110" t="s">
        <v>2768</v>
      </c>
      <c r="G55" s="3192" t="s">
        <v>2769</v>
      </c>
      <c r="H55" s="3238"/>
      <c r="I55" s="144" t="s">
        <v>2770</v>
      </c>
      <c r="J55" s="2713">
        <f>项目基本情况!F35</f>
        <v>0</v>
      </c>
      <c r="K55" s="2714" t="s">
        <v>2771</v>
      </c>
      <c r="L55" s="1109"/>
      <c r="M55" s="1147"/>
      <c r="N55" s="1147"/>
      <c r="O55" s="1147"/>
    </row>
    <row r="56" spans="1:15" s="692" customFormat="1">
      <c r="A56" s="688" t="s">
        <v>2772</v>
      </c>
      <c r="B56" s="689" t="e">
        <f>C48</f>
        <v>#DIV/0!</v>
      </c>
      <c r="C56" s="690">
        <v>1</v>
      </c>
      <c r="D56" s="1166">
        <v>1</v>
      </c>
      <c r="E56" s="690">
        <f>'数据-汇总表'!E8+'数据-汇总表'!E9</f>
        <v>49976.76</v>
      </c>
      <c r="F56" s="1106" t="e">
        <f t="shared" ref="F56:F65" si="15">ROUND(B56*E56/10000,0)</f>
        <v>#DIV/0!</v>
      </c>
      <c r="G56" s="3191"/>
      <c r="H56" s="3209"/>
      <c r="I56" s="1111">
        <v>1</v>
      </c>
      <c r="J56" s="1114">
        <v>1</v>
      </c>
      <c r="K56" s="1148"/>
      <c r="L56" s="944"/>
      <c r="M56" s="944"/>
      <c r="N56" s="944"/>
      <c r="O56" s="944"/>
    </row>
    <row r="57" spans="1:15" s="692" customFormat="1">
      <c r="A57" s="693" t="s">
        <v>2773</v>
      </c>
      <c r="B57" s="262" t="e">
        <f>ROUND($C$48*C57*D57,0)</f>
        <v>#DIV/0!</v>
      </c>
      <c r="C57" s="200">
        <f t="shared" ref="C57:C65" si="16">IF($C$55="北京市系数",I57,J57)</f>
        <v>0</v>
      </c>
      <c r="D57" s="1167">
        <v>0.25</v>
      </c>
      <c r="E57" s="694"/>
      <c r="F57" s="1106" t="e">
        <f t="shared" si="15"/>
        <v>#DIV/0!</v>
      </c>
      <c r="G57" s="3239"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#DIV/0!</v>
      </c>
      <c r="C58" s="200">
        <f t="shared" si="16"/>
        <v>0</v>
      </c>
      <c r="D58" s="1167">
        <v>0.25</v>
      </c>
      <c r="E58" s="694"/>
      <c r="F58" s="1106" t="e">
        <f t="shared" si="15"/>
        <v>#DIV/0!</v>
      </c>
      <c r="G58" s="3239"/>
      <c r="H58" s="1107">
        <f>项目基本情况!B37</f>
        <v>0</v>
      </c>
      <c r="I58" s="1111">
        <f>SUMIF(修正!A45:A56,H58,修正!C45:C56)</f>
        <v>0</v>
      </c>
      <c r="J58" s="1115"/>
      <c r="K58" s="1148"/>
      <c r="L58" s="944"/>
      <c r="M58" s="944"/>
      <c r="N58" s="944"/>
      <c r="O58" s="944"/>
    </row>
    <row r="59" spans="1:15" s="692" customFormat="1">
      <c r="A59" s="693" t="s">
        <v>2776</v>
      </c>
      <c r="B59" s="262" t="e">
        <f t="shared" si="17"/>
        <v>#DIV/0!</v>
      </c>
      <c r="C59" s="200">
        <f t="shared" si="16"/>
        <v>0</v>
      </c>
      <c r="D59" s="1167">
        <v>0.25</v>
      </c>
      <c r="E59" s="694"/>
      <c r="F59" s="1106" t="e">
        <f t="shared" si="15"/>
        <v>#DIV/0!</v>
      </c>
      <c r="G59" s="3239"/>
      <c r="H59" s="1107">
        <f>项目基本情况!B37</f>
        <v>0</v>
      </c>
      <c r="I59" s="1111">
        <f>SUMIF(修正!A45:A56,H59,修正!D45:D56)</f>
        <v>0</v>
      </c>
      <c r="J59" s="1115"/>
      <c r="K59" s="1147"/>
      <c r="L59" s="944"/>
      <c r="M59" s="944"/>
      <c r="N59" s="944"/>
      <c r="O59" s="944"/>
    </row>
    <row r="60" spans="1:15" s="692" customFormat="1">
      <c r="A60" s="693" t="s">
        <v>2777</v>
      </c>
      <c r="B60" s="262" t="e">
        <f t="shared" si="17"/>
        <v>#DIV/0!</v>
      </c>
      <c r="C60" s="200">
        <f t="shared" si="16"/>
        <v>0</v>
      </c>
      <c r="D60" s="1167">
        <v>0.25</v>
      </c>
      <c r="E60" s="694"/>
      <c r="F60" s="1106" t="e">
        <f t="shared" si="15"/>
        <v>#DIV/0!</v>
      </c>
      <c r="G60" s="3239"/>
      <c r="H60" s="1107">
        <f>项目基本情况!B37</f>
        <v>0</v>
      </c>
      <c r="I60" s="1111">
        <f>SUMIF(修正!A45:A56,H60,修正!E45:E56)</f>
        <v>0</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15"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0</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v>
      </c>
      <c r="D63" s="1167">
        <v>0.25</v>
      </c>
      <c r="E63" s="261">
        <f>'数据-汇总表'!E13</f>
        <v>37505.42</v>
      </c>
      <c r="F63" s="1106" t="e">
        <f t="shared" si="15"/>
        <v>#DIV/0!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#DIV/0!</v>
      </c>
      <c r="C64" s="200">
        <f t="shared" si="16"/>
        <v>0</v>
      </c>
      <c r="D64" s="1167">
        <v>0.25</v>
      </c>
      <c r="E64" s="261">
        <f>'数据-汇总表'!E14</f>
        <v>0</v>
      </c>
      <c r="F64" s="1106" t="e">
        <f t="shared" si="15"/>
        <v>#DIV/0!</v>
      </c>
      <c r="G64" s="2715"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#DIV/0!</v>
      </c>
      <c r="C65" s="200">
        <f t="shared" si="16"/>
        <v>0</v>
      </c>
      <c r="D65" s="1167">
        <v>0.25</v>
      </c>
      <c r="E65" s="261">
        <f>'数据-汇总表'!E15</f>
        <v>0</v>
      </c>
      <c r="F65" s="1106" t="e">
        <f t="shared" si="15"/>
        <v>#DIV/0!</v>
      </c>
      <c r="G65" s="2716"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87482.18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7" t="s">
        <v>2787</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8" t="s">
        <v>2788</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A8" sqref="A8"/>
    </sheetView>
  </sheetViews>
  <sheetFormatPr defaultRowHeight="12"/>
  <cols>
    <col min="1" max="1" width="48.125" style="2952" customWidth="1"/>
    <col min="2" max="2" width="6.25" style="2952" customWidth="1"/>
    <col min="3" max="5" width="13.875" style="2952" customWidth="1"/>
    <col min="6" max="6" width="10.375" style="2953" customWidth="1"/>
    <col min="7" max="7" width="7" style="2952" customWidth="1"/>
    <col min="8" max="8" width="7.875" style="2952" customWidth="1"/>
    <col min="9" max="9" width="9" style="2952" customWidth="1"/>
    <col min="10" max="11" width="10.625" style="2952" customWidth="1"/>
    <col min="12" max="12" width="14.375" style="2952" customWidth="1"/>
    <col min="13" max="13" width="6.25" style="2952" customWidth="1"/>
    <col min="14" max="14" width="47.625" style="2952" customWidth="1"/>
    <col min="15" max="257" width="9" style="2952"/>
    <col min="258" max="258" width="56.5" style="2952" customWidth="1"/>
    <col min="259" max="259" width="6.25" style="2952" customWidth="1"/>
    <col min="260" max="262" width="13.875" style="2952" customWidth="1"/>
    <col min="263" max="263" width="57" style="2952" customWidth="1"/>
    <col min="264" max="264" width="7.875" style="2952" customWidth="1"/>
    <col min="265" max="265" width="9" style="2952" customWidth="1"/>
    <col min="266" max="267" width="10.625" style="2952" customWidth="1"/>
    <col min="268" max="268" width="14.375" style="2952" customWidth="1"/>
    <col min="269" max="269" width="6.25" style="2952" customWidth="1"/>
    <col min="270" max="270" width="47.625" style="2952" customWidth="1"/>
    <col min="271" max="513" width="9" style="2952"/>
    <col min="514" max="514" width="56.5" style="2952" customWidth="1"/>
    <col min="515" max="515" width="6.25" style="2952" customWidth="1"/>
    <col min="516" max="518" width="13.875" style="2952" customWidth="1"/>
    <col min="519" max="519" width="57" style="2952" customWidth="1"/>
    <col min="520" max="520" width="7.875" style="2952" customWidth="1"/>
    <col min="521" max="521" width="9" style="2952" customWidth="1"/>
    <col min="522" max="523" width="10.625" style="2952" customWidth="1"/>
    <col min="524" max="524" width="14.375" style="2952" customWidth="1"/>
    <col min="525" max="525" width="6.25" style="2952" customWidth="1"/>
    <col min="526" max="526" width="47.625" style="2952" customWidth="1"/>
    <col min="527" max="769" width="9" style="2952"/>
    <col min="770" max="770" width="56.5" style="2952" customWidth="1"/>
    <col min="771" max="771" width="6.25" style="2952" customWidth="1"/>
    <col min="772" max="774" width="13.875" style="2952" customWidth="1"/>
    <col min="775" max="775" width="57" style="2952" customWidth="1"/>
    <col min="776" max="776" width="7.875" style="2952" customWidth="1"/>
    <col min="777" max="777" width="9" style="2952" customWidth="1"/>
    <col min="778" max="779" width="10.625" style="2952" customWidth="1"/>
    <col min="780" max="780" width="14.375" style="2952" customWidth="1"/>
    <col min="781" max="781" width="6.25" style="2952" customWidth="1"/>
    <col min="782" max="782" width="47.625" style="2952" customWidth="1"/>
    <col min="783" max="1025" width="9" style="2952"/>
    <col min="1026" max="1026" width="56.5" style="2952" customWidth="1"/>
    <col min="1027" max="1027" width="6.25" style="2952" customWidth="1"/>
    <col min="1028" max="1030" width="13.875" style="2952" customWidth="1"/>
    <col min="1031" max="1031" width="57" style="2952" customWidth="1"/>
    <col min="1032" max="1032" width="7.875" style="2952" customWidth="1"/>
    <col min="1033" max="1033" width="9" style="2952" customWidth="1"/>
    <col min="1034" max="1035" width="10.625" style="2952" customWidth="1"/>
    <col min="1036" max="1036" width="14.375" style="2952" customWidth="1"/>
    <col min="1037" max="1037" width="6.25" style="2952" customWidth="1"/>
    <col min="1038" max="1038" width="47.625" style="2952" customWidth="1"/>
    <col min="1039" max="1281" width="9" style="2952"/>
    <col min="1282" max="1282" width="56.5" style="2952" customWidth="1"/>
    <col min="1283" max="1283" width="6.25" style="2952" customWidth="1"/>
    <col min="1284" max="1286" width="13.875" style="2952" customWidth="1"/>
    <col min="1287" max="1287" width="57" style="2952" customWidth="1"/>
    <col min="1288" max="1288" width="7.875" style="2952" customWidth="1"/>
    <col min="1289" max="1289" width="9" style="2952" customWidth="1"/>
    <col min="1290" max="1291" width="10.625" style="2952" customWidth="1"/>
    <col min="1292" max="1292" width="14.375" style="2952" customWidth="1"/>
    <col min="1293" max="1293" width="6.25" style="2952" customWidth="1"/>
    <col min="1294" max="1294" width="47.625" style="2952" customWidth="1"/>
    <col min="1295" max="1537" width="9" style="2952"/>
    <col min="1538" max="1538" width="56.5" style="2952" customWidth="1"/>
    <col min="1539" max="1539" width="6.25" style="2952" customWidth="1"/>
    <col min="1540" max="1542" width="13.875" style="2952" customWidth="1"/>
    <col min="1543" max="1543" width="57" style="2952" customWidth="1"/>
    <col min="1544" max="1544" width="7.875" style="2952" customWidth="1"/>
    <col min="1545" max="1545" width="9" style="2952" customWidth="1"/>
    <col min="1546" max="1547" width="10.625" style="2952" customWidth="1"/>
    <col min="1548" max="1548" width="14.375" style="2952" customWidth="1"/>
    <col min="1549" max="1549" width="6.25" style="2952" customWidth="1"/>
    <col min="1550" max="1550" width="47.625" style="2952" customWidth="1"/>
    <col min="1551" max="1793" width="9" style="2952"/>
    <col min="1794" max="1794" width="56.5" style="2952" customWidth="1"/>
    <col min="1795" max="1795" width="6.25" style="2952" customWidth="1"/>
    <col min="1796" max="1798" width="13.875" style="2952" customWidth="1"/>
    <col min="1799" max="1799" width="57" style="2952" customWidth="1"/>
    <col min="1800" max="1800" width="7.875" style="2952" customWidth="1"/>
    <col min="1801" max="1801" width="9" style="2952" customWidth="1"/>
    <col min="1802" max="1803" width="10.625" style="2952" customWidth="1"/>
    <col min="1804" max="1804" width="14.375" style="2952" customWidth="1"/>
    <col min="1805" max="1805" width="6.25" style="2952" customWidth="1"/>
    <col min="1806" max="1806" width="47.625" style="2952" customWidth="1"/>
    <col min="1807" max="2049" width="9" style="2952"/>
    <col min="2050" max="2050" width="56.5" style="2952" customWidth="1"/>
    <col min="2051" max="2051" width="6.25" style="2952" customWidth="1"/>
    <col min="2052" max="2054" width="13.875" style="2952" customWidth="1"/>
    <col min="2055" max="2055" width="57" style="2952" customWidth="1"/>
    <col min="2056" max="2056" width="7.875" style="2952" customWidth="1"/>
    <col min="2057" max="2057" width="9" style="2952" customWidth="1"/>
    <col min="2058" max="2059" width="10.625" style="2952" customWidth="1"/>
    <col min="2060" max="2060" width="14.375" style="2952" customWidth="1"/>
    <col min="2061" max="2061" width="6.25" style="2952" customWidth="1"/>
    <col min="2062" max="2062" width="47.625" style="2952" customWidth="1"/>
    <col min="2063" max="2305" width="9" style="2952"/>
    <col min="2306" max="2306" width="56.5" style="2952" customWidth="1"/>
    <col min="2307" max="2307" width="6.25" style="2952" customWidth="1"/>
    <col min="2308" max="2310" width="13.875" style="2952" customWidth="1"/>
    <col min="2311" max="2311" width="57" style="2952" customWidth="1"/>
    <col min="2312" max="2312" width="7.875" style="2952" customWidth="1"/>
    <col min="2313" max="2313" width="9" style="2952" customWidth="1"/>
    <col min="2314" max="2315" width="10.625" style="2952" customWidth="1"/>
    <col min="2316" max="2316" width="14.375" style="2952" customWidth="1"/>
    <col min="2317" max="2317" width="6.25" style="2952" customWidth="1"/>
    <col min="2318" max="2318" width="47.625" style="2952" customWidth="1"/>
    <col min="2319" max="2561" width="9" style="2952"/>
    <col min="2562" max="2562" width="56.5" style="2952" customWidth="1"/>
    <col min="2563" max="2563" width="6.25" style="2952" customWidth="1"/>
    <col min="2564" max="2566" width="13.875" style="2952" customWidth="1"/>
    <col min="2567" max="2567" width="57" style="2952" customWidth="1"/>
    <col min="2568" max="2568" width="7.875" style="2952" customWidth="1"/>
    <col min="2569" max="2569" width="9" style="2952" customWidth="1"/>
    <col min="2570" max="2571" width="10.625" style="2952" customWidth="1"/>
    <col min="2572" max="2572" width="14.375" style="2952" customWidth="1"/>
    <col min="2573" max="2573" width="6.25" style="2952" customWidth="1"/>
    <col min="2574" max="2574" width="47.625" style="2952" customWidth="1"/>
    <col min="2575" max="2817" width="9" style="2952"/>
    <col min="2818" max="2818" width="56.5" style="2952" customWidth="1"/>
    <col min="2819" max="2819" width="6.25" style="2952" customWidth="1"/>
    <col min="2820" max="2822" width="13.875" style="2952" customWidth="1"/>
    <col min="2823" max="2823" width="57" style="2952" customWidth="1"/>
    <col min="2824" max="2824" width="7.875" style="2952" customWidth="1"/>
    <col min="2825" max="2825" width="9" style="2952" customWidth="1"/>
    <col min="2826" max="2827" width="10.625" style="2952" customWidth="1"/>
    <col min="2828" max="2828" width="14.375" style="2952" customWidth="1"/>
    <col min="2829" max="2829" width="6.25" style="2952" customWidth="1"/>
    <col min="2830" max="2830" width="47.625" style="2952" customWidth="1"/>
    <col min="2831" max="3073" width="9" style="2952"/>
    <col min="3074" max="3074" width="56.5" style="2952" customWidth="1"/>
    <col min="3075" max="3075" width="6.25" style="2952" customWidth="1"/>
    <col min="3076" max="3078" width="13.875" style="2952" customWidth="1"/>
    <col min="3079" max="3079" width="57" style="2952" customWidth="1"/>
    <col min="3080" max="3080" width="7.875" style="2952" customWidth="1"/>
    <col min="3081" max="3081" width="9" style="2952" customWidth="1"/>
    <col min="3082" max="3083" width="10.625" style="2952" customWidth="1"/>
    <col min="3084" max="3084" width="14.375" style="2952" customWidth="1"/>
    <col min="3085" max="3085" width="6.25" style="2952" customWidth="1"/>
    <col min="3086" max="3086" width="47.625" style="2952" customWidth="1"/>
    <col min="3087" max="3329" width="9" style="2952"/>
    <col min="3330" max="3330" width="56.5" style="2952" customWidth="1"/>
    <col min="3331" max="3331" width="6.25" style="2952" customWidth="1"/>
    <col min="3332" max="3334" width="13.875" style="2952" customWidth="1"/>
    <col min="3335" max="3335" width="57" style="2952" customWidth="1"/>
    <col min="3336" max="3336" width="7.875" style="2952" customWidth="1"/>
    <col min="3337" max="3337" width="9" style="2952" customWidth="1"/>
    <col min="3338" max="3339" width="10.625" style="2952" customWidth="1"/>
    <col min="3340" max="3340" width="14.375" style="2952" customWidth="1"/>
    <col min="3341" max="3341" width="6.25" style="2952" customWidth="1"/>
    <col min="3342" max="3342" width="47.625" style="2952" customWidth="1"/>
    <col min="3343" max="3585" width="9" style="2952"/>
    <col min="3586" max="3586" width="56.5" style="2952" customWidth="1"/>
    <col min="3587" max="3587" width="6.25" style="2952" customWidth="1"/>
    <col min="3588" max="3590" width="13.875" style="2952" customWidth="1"/>
    <col min="3591" max="3591" width="57" style="2952" customWidth="1"/>
    <col min="3592" max="3592" width="7.875" style="2952" customWidth="1"/>
    <col min="3593" max="3593" width="9" style="2952" customWidth="1"/>
    <col min="3594" max="3595" width="10.625" style="2952" customWidth="1"/>
    <col min="3596" max="3596" width="14.375" style="2952" customWidth="1"/>
    <col min="3597" max="3597" width="6.25" style="2952" customWidth="1"/>
    <col min="3598" max="3598" width="47.625" style="2952" customWidth="1"/>
    <col min="3599" max="3841" width="9" style="2952"/>
    <col min="3842" max="3842" width="56.5" style="2952" customWidth="1"/>
    <col min="3843" max="3843" width="6.25" style="2952" customWidth="1"/>
    <col min="3844" max="3846" width="13.875" style="2952" customWidth="1"/>
    <col min="3847" max="3847" width="57" style="2952" customWidth="1"/>
    <col min="3848" max="3848" width="7.875" style="2952" customWidth="1"/>
    <col min="3849" max="3849" width="9" style="2952" customWidth="1"/>
    <col min="3850" max="3851" width="10.625" style="2952" customWidth="1"/>
    <col min="3852" max="3852" width="14.375" style="2952" customWidth="1"/>
    <col min="3853" max="3853" width="6.25" style="2952" customWidth="1"/>
    <col min="3854" max="3854" width="47.625" style="2952" customWidth="1"/>
    <col min="3855" max="4097" width="9" style="2952"/>
    <col min="4098" max="4098" width="56.5" style="2952" customWidth="1"/>
    <col min="4099" max="4099" width="6.25" style="2952" customWidth="1"/>
    <col min="4100" max="4102" width="13.875" style="2952" customWidth="1"/>
    <col min="4103" max="4103" width="57" style="2952" customWidth="1"/>
    <col min="4104" max="4104" width="7.875" style="2952" customWidth="1"/>
    <col min="4105" max="4105" width="9" style="2952" customWidth="1"/>
    <col min="4106" max="4107" width="10.625" style="2952" customWidth="1"/>
    <col min="4108" max="4108" width="14.375" style="2952" customWidth="1"/>
    <col min="4109" max="4109" width="6.25" style="2952" customWidth="1"/>
    <col min="4110" max="4110" width="47.625" style="2952" customWidth="1"/>
    <col min="4111" max="4353" width="9" style="2952"/>
    <col min="4354" max="4354" width="56.5" style="2952" customWidth="1"/>
    <col min="4355" max="4355" width="6.25" style="2952" customWidth="1"/>
    <col min="4356" max="4358" width="13.875" style="2952" customWidth="1"/>
    <col min="4359" max="4359" width="57" style="2952" customWidth="1"/>
    <col min="4360" max="4360" width="7.875" style="2952" customWidth="1"/>
    <col min="4361" max="4361" width="9" style="2952" customWidth="1"/>
    <col min="4362" max="4363" width="10.625" style="2952" customWidth="1"/>
    <col min="4364" max="4364" width="14.375" style="2952" customWidth="1"/>
    <col min="4365" max="4365" width="6.25" style="2952" customWidth="1"/>
    <col min="4366" max="4366" width="47.625" style="2952" customWidth="1"/>
    <col min="4367" max="4609" width="9" style="2952"/>
    <col min="4610" max="4610" width="56.5" style="2952" customWidth="1"/>
    <col min="4611" max="4611" width="6.25" style="2952" customWidth="1"/>
    <col min="4612" max="4614" width="13.875" style="2952" customWidth="1"/>
    <col min="4615" max="4615" width="57" style="2952" customWidth="1"/>
    <col min="4616" max="4616" width="7.875" style="2952" customWidth="1"/>
    <col min="4617" max="4617" width="9" style="2952" customWidth="1"/>
    <col min="4618" max="4619" width="10.625" style="2952" customWidth="1"/>
    <col min="4620" max="4620" width="14.375" style="2952" customWidth="1"/>
    <col min="4621" max="4621" width="6.25" style="2952" customWidth="1"/>
    <col min="4622" max="4622" width="47.625" style="2952" customWidth="1"/>
    <col min="4623" max="4865" width="9" style="2952"/>
    <col min="4866" max="4866" width="56.5" style="2952" customWidth="1"/>
    <col min="4867" max="4867" width="6.25" style="2952" customWidth="1"/>
    <col min="4868" max="4870" width="13.875" style="2952" customWidth="1"/>
    <col min="4871" max="4871" width="57" style="2952" customWidth="1"/>
    <col min="4872" max="4872" width="7.875" style="2952" customWidth="1"/>
    <col min="4873" max="4873" width="9" style="2952" customWidth="1"/>
    <col min="4874" max="4875" width="10.625" style="2952" customWidth="1"/>
    <col min="4876" max="4876" width="14.375" style="2952" customWidth="1"/>
    <col min="4877" max="4877" width="6.25" style="2952" customWidth="1"/>
    <col min="4878" max="4878" width="47.625" style="2952" customWidth="1"/>
    <col min="4879" max="5121" width="9" style="2952"/>
    <col min="5122" max="5122" width="56.5" style="2952" customWidth="1"/>
    <col min="5123" max="5123" width="6.25" style="2952" customWidth="1"/>
    <col min="5124" max="5126" width="13.875" style="2952" customWidth="1"/>
    <col min="5127" max="5127" width="57" style="2952" customWidth="1"/>
    <col min="5128" max="5128" width="7.875" style="2952" customWidth="1"/>
    <col min="5129" max="5129" width="9" style="2952" customWidth="1"/>
    <col min="5130" max="5131" width="10.625" style="2952" customWidth="1"/>
    <col min="5132" max="5132" width="14.375" style="2952" customWidth="1"/>
    <col min="5133" max="5133" width="6.25" style="2952" customWidth="1"/>
    <col min="5134" max="5134" width="47.625" style="2952" customWidth="1"/>
    <col min="5135" max="5377" width="9" style="2952"/>
    <col min="5378" max="5378" width="56.5" style="2952" customWidth="1"/>
    <col min="5379" max="5379" width="6.25" style="2952" customWidth="1"/>
    <col min="5380" max="5382" width="13.875" style="2952" customWidth="1"/>
    <col min="5383" max="5383" width="57" style="2952" customWidth="1"/>
    <col min="5384" max="5384" width="7.875" style="2952" customWidth="1"/>
    <col min="5385" max="5385" width="9" style="2952" customWidth="1"/>
    <col min="5386" max="5387" width="10.625" style="2952" customWidth="1"/>
    <col min="5388" max="5388" width="14.375" style="2952" customWidth="1"/>
    <col min="5389" max="5389" width="6.25" style="2952" customWidth="1"/>
    <col min="5390" max="5390" width="47.625" style="2952" customWidth="1"/>
    <col min="5391" max="5633" width="9" style="2952"/>
    <col min="5634" max="5634" width="56.5" style="2952" customWidth="1"/>
    <col min="5635" max="5635" width="6.25" style="2952" customWidth="1"/>
    <col min="5636" max="5638" width="13.875" style="2952" customWidth="1"/>
    <col min="5639" max="5639" width="57" style="2952" customWidth="1"/>
    <col min="5640" max="5640" width="7.875" style="2952" customWidth="1"/>
    <col min="5641" max="5641" width="9" style="2952" customWidth="1"/>
    <col min="5642" max="5643" width="10.625" style="2952" customWidth="1"/>
    <col min="5644" max="5644" width="14.375" style="2952" customWidth="1"/>
    <col min="5645" max="5645" width="6.25" style="2952" customWidth="1"/>
    <col min="5646" max="5646" width="47.625" style="2952" customWidth="1"/>
    <col min="5647" max="5889" width="9" style="2952"/>
    <col min="5890" max="5890" width="56.5" style="2952" customWidth="1"/>
    <col min="5891" max="5891" width="6.25" style="2952" customWidth="1"/>
    <col min="5892" max="5894" width="13.875" style="2952" customWidth="1"/>
    <col min="5895" max="5895" width="57" style="2952" customWidth="1"/>
    <col min="5896" max="5896" width="7.875" style="2952" customWidth="1"/>
    <col min="5897" max="5897" width="9" style="2952" customWidth="1"/>
    <col min="5898" max="5899" width="10.625" style="2952" customWidth="1"/>
    <col min="5900" max="5900" width="14.375" style="2952" customWidth="1"/>
    <col min="5901" max="5901" width="6.25" style="2952" customWidth="1"/>
    <col min="5902" max="5902" width="47.625" style="2952" customWidth="1"/>
    <col min="5903" max="6145" width="9" style="2952"/>
    <col min="6146" max="6146" width="56.5" style="2952" customWidth="1"/>
    <col min="6147" max="6147" width="6.25" style="2952" customWidth="1"/>
    <col min="6148" max="6150" width="13.875" style="2952" customWidth="1"/>
    <col min="6151" max="6151" width="57" style="2952" customWidth="1"/>
    <col min="6152" max="6152" width="7.875" style="2952" customWidth="1"/>
    <col min="6153" max="6153" width="9" style="2952" customWidth="1"/>
    <col min="6154" max="6155" width="10.625" style="2952" customWidth="1"/>
    <col min="6156" max="6156" width="14.375" style="2952" customWidth="1"/>
    <col min="6157" max="6157" width="6.25" style="2952" customWidth="1"/>
    <col min="6158" max="6158" width="47.625" style="2952" customWidth="1"/>
    <col min="6159" max="6401" width="9" style="2952"/>
    <col min="6402" max="6402" width="56.5" style="2952" customWidth="1"/>
    <col min="6403" max="6403" width="6.25" style="2952" customWidth="1"/>
    <col min="6404" max="6406" width="13.875" style="2952" customWidth="1"/>
    <col min="6407" max="6407" width="57" style="2952" customWidth="1"/>
    <col min="6408" max="6408" width="7.875" style="2952" customWidth="1"/>
    <col min="6409" max="6409" width="9" style="2952" customWidth="1"/>
    <col min="6410" max="6411" width="10.625" style="2952" customWidth="1"/>
    <col min="6412" max="6412" width="14.375" style="2952" customWidth="1"/>
    <col min="6413" max="6413" width="6.25" style="2952" customWidth="1"/>
    <col min="6414" max="6414" width="47.625" style="2952" customWidth="1"/>
    <col min="6415" max="6657" width="9" style="2952"/>
    <col min="6658" max="6658" width="56.5" style="2952" customWidth="1"/>
    <col min="6659" max="6659" width="6.25" style="2952" customWidth="1"/>
    <col min="6660" max="6662" width="13.875" style="2952" customWidth="1"/>
    <col min="6663" max="6663" width="57" style="2952" customWidth="1"/>
    <col min="6664" max="6664" width="7.875" style="2952" customWidth="1"/>
    <col min="6665" max="6665" width="9" style="2952" customWidth="1"/>
    <col min="6666" max="6667" width="10.625" style="2952" customWidth="1"/>
    <col min="6668" max="6668" width="14.375" style="2952" customWidth="1"/>
    <col min="6669" max="6669" width="6.25" style="2952" customWidth="1"/>
    <col min="6670" max="6670" width="47.625" style="2952" customWidth="1"/>
    <col min="6671" max="6913" width="9" style="2952"/>
    <col min="6914" max="6914" width="56.5" style="2952" customWidth="1"/>
    <col min="6915" max="6915" width="6.25" style="2952" customWidth="1"/>
    <col min="6916" max="6918" width="13.875" style="2952" customWidth="1"/>
    <col min="6919" max="6919" width="57" style="2952" customWidth="1"/>
    <col min="6920" max="6920" width="7.875" style="2952" customWidth="1"/>
    <col min="6921" max="6921" width="9" style="2952" customWidth="1"/>
    <col min="6922" max="6923" width="10.625" style="2952" customWidth="1"/>
    <col min="6924" max="6924" width="14.375" style="2952" customWidth="1"/>
    <col min="6925" max="6925" width="6.25" style="2952" customWidth="1"/>
    <col min="6926" max="6926" width="47.625" style="2952" customWidth="1"/>
    <col min="6927" max="7169" width="9" style="2952"/>
    <col min="7170" max="7170" width="56.5" style="2952" customWidth="1"/>
    <col min="7171" max="7171" width="6.25" style="2952" customWidth="1"/>
    <col min="7172" max="7174" width="13.875" style="2952" customWidth="1"/>
    <col min="7175" max="7175" width="57" style="2952" customWidth="1"/>
    <col min="7176" max="7176" width="7.875" style="2952" customWidth="1"/>
    <col min="7177" max="7177" width="9" style="2952" customWidth="1"/>
    <col min="7178" max="7179" width="10.625" style="2952" customWidth="1"/>
    <col min="7180" max="7180" width="14.375" style="2952" customWidth="1"/>
    <col min="7181" max="7181" width="6.25" style="2952" customWidth="1"/>
    <col min="7182" max="7182" width="47.625" style="2952" customWidth="1"/>
    <col min="7183" max="7425" width="9" style="2952"/>
    <col min="7426" max="7426" width="56.5" style="2952" customWidth="1"/>
    <col min="7427" max="7427" width="6.25" style="2952" customWidth="1"/>
    <col min="7428" max="7430" width="13.875" style="2952" customWidth="1"/>
    <col min="7431" max="7431" width="57" style="2952" customWidth="1"/>
    <col min="7432" max="7432" width="7.875" style="2952" customWidth="1"/>
    <col min="7433" max="7433" width="9" style="2952" customWidth="1"/>
    <col min="7434" max="7435" width="10.625" style="2952" customWidth="1"/>
    <col min="7436" max="7436" width="14.375" style="2952" customWidth="1"/>
    <col min="7437" max="7437" width="6.25" style="2952" customWidth="1"/>
    <col min="7438" max="7438" width="47.625" style="2952" customWidth="1"/>
    <col min="7439" max="7681" width="9" style="2952"/>
    <col min="7682" max="7682" width="56.5" style="2952" customWidth="1"/>
    <col min="7683" max="7683" width="6.25" style="2952" customWidth="1"/>
    <col min="7684" max="7686" width="13.875" style="2952" customWidth="1"/>
    <col min="7687" max="7687" width="57" style="2952" customWidth="1"/>
    <col min="7688" max="7688" width="7.875" style="2952" customWidth="1"/>
    <col min="7689" max="7689" width="9" style="2952" customWidth="1"/>
    <col min="7690" max="7691" width="10.625" style="2952" customWidth="1"/>
    <col min="7692" max="7692" width="14.375" style="2952" customWidth="1"/>
    <col min="7693" max="7693" width="6.25" style="2952" customWidth="1"/>
    <col min="7694" max="7694" width="47.625" style="2952" customWidth="1"/>
    <col min="7695" max="7937" width="9" style="2952"/>
    <col min="7938" max="7938" width="56.5" style="2952" customWidth="1"/>
    <col min="7939" max="7939" width="6.25" style="2952" customWidth="1"/>
    <col min="7940" max="7942" width="13.875" style="2952" customWidth="1"/>
    <col min="7943" max="7943" width="57" style="2952" customWidth="1"/>
    <col min="7944" max="7944" width="7.875" style="2952" customWidth="1"/>
    <col min="7945" max="7945" width="9" style="2952" customWidth="1"/>
    <col min="7946" max="7947" width="10.625" style="2952" customWidth="1"/>
    <col min="7948" max="7948" width="14.375" style="2952" customWidth="1"/>
    <col min="7949" max="7949" width="6.25" style="2952" customWidth="1"/>
    <col min="7950" max="7950" width="47.625" style="2952" customWidth="1"/>
    <col min="7951" max="8193" width="9" style="2952"/>
    <col min="8194" max="8194" width="56.5" style="2952" customWidth="1"/>
    <col min="8195" max="8195" width="6.25" style="2952" customWidth="1"/>
    <col min="8196" max="8198" width="13.875" style="2952" customWidth="1"/>
    <col min="8199" max="8199" width="57" style="2952" customWidth="1"/>
    <col min="8200" max="8200" width="7.875" style="2952" customWidth="1"/>
    <col min="8201" max="8201" width="9" style="2952" customWidth="1"/>
    <col min="8202" max="8203" width="10.625" style="2952" customWidth="1"/>
    <col min="8204" max="8204" width="14.375" style="2952" customWidth="1"/>
    <col min="8205" max="8205" width="6.25" style="2952" customWidth="1"/>
    <col min="8206" max="8206" width="47.625" style="2952" customWidth="1"/>
    <col min="8207" max="8449" width="9" style="2952"/>
    <col min="8450" max="8450" width="56.5" style="2952" customWidth="1"/>
    <col min="8451" max="8451" width="6.25" style="2952" customWidth="1"/>
    <col min="8452" max="8454" width="13.875" style="2952" customWidth="1"/>
    <col min="8455" max="8455" width="57" style="2952" customWidth="1"/>
    <col min="8456" max="8456" width="7.875" style="2952" customWidth="1"/>
    <col min="8457" max="8457" width="9" style="2952" customWidth="1"/>
    <col min="8458" max="8459" width="10.625" style="2952" customWidth="1"/>
    <col min="8460" max="8460" width="14.375" style="2952" customWidth="1"/>
    <col min="8461" max="8461" width="6.25" style="2952" customWidth="1"/>
    <col min="8462" max="8462" width="47.625" style="2952" customWidth="1"/>
    <col min="8463" max="8705" width="9" style="2952"/>
    <col min="8706" max="8706" width="56.5" style="2952" customWidth="1"/>
    <col min="8707" max="8707" width="6.25" style="2952" customWidth="1"/>
    <col min="8708" max="8710" width="13.875" style="2952" customWidth="1"/>
    <col min="8711" max="8711" width="57" style="2952" customWidth="1"/>
    <col min="8712" max="8712" width="7.875" style="2952" customWidth="1"/>
    <col min="8713" max="8713" width="9" style="2952" customWidth="1"/>
    <col min="8714" max="8715" width="10.625" style="2952" customWidth="1"/>
    <col min="8716" max="8716" width="14.375" style="2952" customWidth="1"/>
    <col min="8717" max="8717" width="6.25" style="2952" customWidth="1"/>
    <col min="8718" max="8718" width="47.625" style="2952" customWidth="1"/>
    <col min="8719" max="8961" width="9" style="2952"/>
    <col min="8962" max="8962" width="56.5" style="2952" customWidth="1"/>
    <col min="8963" max="8963" width="6.25" style="2952" customWidth="1"/>
    <col min="8964" max="8966" width="13.875" style="2952" customWidth="1"/>
    <col min="8967" max="8967" width="57" style="2952" customWidth="1"/>
    <col min="8968" max="8968" width="7.875" style="2952" customWidth="1"/>
    <col min="8969" max="8969" width="9" style="2952" customWidth="1"/>
    <col min="8970" max="8971" width="10.625" style="2952" customWidth="1"/>
    <col min="8972" max="8972" width="14.375" style="2952" customWidth="1"/>
    <col min="8973" max="8973" width="6.25" style="2952" customWidth="1"/>
    <col min="8974" max="8974" width="47.625" style="2952" customWidth="1"/>
    <col min="8975" max="9217" width="9" style="2952"/>
    <col min="9218" max="9218" width="56.5" style="2952" customWidth="1"/>
    <col min="9219" max="9219" width="6.25" style="2952" customWidth="1"/>
    <col min="9220" max="9222" width="13.875" style="2952" customWidth="1"/>
    <col min="9223" max="9223" width="57" style="2952" customWidth="1"/>
    <col min="9224" max="9224" width="7.875" style="2952" customWidth="1"/>
    <col min="9225" max="9225" width="9" style="2952" customWidth="1"/>
    <col min="9226" max="9227" width="10.625" style="2952" customWidth="1"/>
    <col min="9228" max="9228" width="14.375" style="2952" customWidth="1"/>
    <col min="9229" max="9229" width="6.25" style="2952" customWidth="1"/>
    <col min="9230" max="9230" width="47.625" style="2952" customWidth="1"/>
    <col min="9231" max="9473" width="9" style="2952"/>
    <col min="9474" max="9474" width="56.5" style="2952" customWidth="1"/>
    <col min="9475" max="9475" width="6.25" style="2952" customWidth="1"/>
    <col min="9476" max="9478" width="13.875" style="2952" customWidth="1"/>
    <col min="9479" max="9479" width="57" style="2952" customWidth="1"/>
    <col min="9480" max="9480" width="7.875" style="2952" customWidth="1"/>
    <col min="9481" max="9481" width="9" style="2952" customWidth="1"/>
    <col min="9482" max="9483" width="10.625" style="2952" customWidth="1"/>
    <col min="9484" max="9484" width="14.375" style="2952" customWidth="1"/>
    <col min="9485" max="9485" width="6.25" style="2952" customWidth="1"/>
    <col min="9486" max="9486" width="47.625" style="2952" customWidth="1"/>
    <col min="9487" max="9729" width="9" style="2952"/>
    <col min="9730" max="9730" width="56.5" style="2952" customWidth="1"/>
    <col min="9731" max="9731" width="6.25" style="2952" customWidth="1"/>
    <col min="9732" max="9734" width="13.875" style="2952" customWidth="1"/>
    <col min="9735" max="9735" width="57" style="2952" customWidth="1"/>
    <col min="9736" max="9736" width="7.875" style="2952" customWidth="1"/>
    <col min="9737" max="9737" width="9" style="2952" customWidth="1"/>
    <col min="9738" max="9739" width="10.625" style="2952" customWidth="1"/>
    <col min="9740" max="9740" width="14.375" style="2952" customWidth="1"/>
    <col min="9741" max="9741" width="6.25" style="2952" customWidth="1"/>
    <col min="9742" max="9742" width="47.625" style="2952" customWidth="1"/>
    <col min="9743" max="9985" width="9" style="2952"/>
    <col min="9986" max="9986" width="56.5" style="2952" customWidth="1"/>
    <col min="9987" max="9987" width="6.25" style="2952" customWidth="1"/>
    <col min="9988" max="9990" width="13.875" style="2952" customWidth="1"/>
    <col min="9991" max="9991" width="57" style="2952" customWidth="1"/>
    <col min="9992" max="9992" width="7.875" style="2952" customWidth="1"/>
    <col min="9993" max="9993" width="9" style="2952" customWidth="1"/>
    <col min="9994" max="9995" width="10.625" style="2952" customWidth="1"/>
    <col min="9996" max="9996" width="14.375" style="2952" customWidth="1"/>
    <col min="9997" max="9997" width="6.25" style="2952" customWidth="1"/>
    <col min="9998" max="9998" width="47.625" style="2952" customWidth="1"/>
    <col min="9999" max="10241" width="9" style="2952"/>
    <col min="10242" max="10242" width="56.5" style="2952" customWidth="1"/>
    <col min="10243" max="10243" width="6.25" style="2952" customWidth="1"/>
    <col min="10244" max="10246" width="13.875" style="2952" customWidth="1"/>
    <col min="10247" max="10247" width="57" style="2952" customWidth="1"/>
    <col min="10248" max="10248" width="7.875" style="2952" customWidth="1"/>
    <col min="10249" max="10249" width="9" style="2952" customWidth="1"/>
    <col min="10250" max="10251" width="10.625" style="2952" customWidth="1"/>
    <col min="10252" max="10252" width="14.375" style="2952" customWidth="1"/>
    <col min="10253" max="10253" width="6.25" style="2952" customWidth="1"/>
    <col min="10254" max="10254" width="47.625" style="2952" customWidth="1"/>
    <col min="10255" max="10497" width="9" style="2952"/>
    <col min="10498" max="10498" width="56.5" style="2952" customWidth="1"/>
    <col min="10499" max="10499" width="6.25" style="2952" customWidth="1"/>
    <col min="10500" max="10502" width="13.875" style="2952" customWidth="1"/>
    <col min="10503" max="10503" width="57" style="2952" customWidth="1"/>
    <col min="10504" max="10504" width="7.875" style="2952" customWidth="1"/>
    <col min="10505" max="10505" width="9" style="2952" customWidth="1"/>
    <col min="10506" max="10507" width="10.625" style="2952" customWidth="1"/>
    <col min="10508" max="10508" width="14.375" style="2952" customWidth="1"/>
    <col min="10509" max="10509" width="6.25" style="2952" customWidth="1"/>
    <col min="10510" max="10510" width="47.625" style="2952" customWidth="1"/>
    <col min="10511" max="10753" width="9" style="2952"/>
    <col min="10754" max="10754" width="56.5" style="2952" customWidth="1"/>
    <col min="10755" max="10755" width="6.25" style="2952" customWidth="1"/>
    <col min="10756" max="10758" width="13.875" style="2952" customWidth="1"/>
    <col min="10759" max="10759" width="57" style="2952" customWidth="1"/>
    <col min="10760" max="10760" width="7.875" style="2952" customWidth="1"/>
    <col min="10761" max="10761" width="9" style="2952" customWidth="1"/>
    <col min="10762" max="10763" width="10.625" style="2952" customWidth="1"/>
    <col min="10764" max="10764" width="14.375" style="2952" customWidth="1"/>
    <col min="10765" max="10765" width="6.25" style="2952" customWidth="1"/>
    <col min="10766" max="10766" width="47.625" style="2952" customWidth="1"/>
    <col min="10767" max="11009" width="9" style="2952"/>
    <col min="11010" max="11010" width="56.5" style="2952" customWidth="1"/>
    <col min="11011" max="11011" width="6.25" style="2952" customWidth="1"/>
    <col min="11012" max="11014" width="13.875" style="2952" customWidth="1"/>
    <col min="11015" max="11015" width="57" style="2952" customWidth="1"/>
    <col min="11016" max="11016" width="7.875" style="2952" customWidth="1"/>
    <col min="11017" max="11017" width="9" style="2952" customWidth="1"/>
    <col min="11018" max="11019" width="10.625" style="2952" customWidth="1"/>
    <col min="11020" max="11020" width="14.375" style="2952" customWidth="1"/>
    <col min="11021" max="11021" width="6.25" style="2952" customWidth="1"/>
    <col min="11022" max="11022" width="47.625" style="2952" customWidth="1"/>
    <col min="11023" max="11265" width="9" style="2952"/>
    <col min="11266" max="11266" width="56.5" style="2952" customWidth="1"/>
    <col min="11267" max="11267" width="6.25" style="2952" customWidth="1"/>
    <col min="11268" max="11270" width="13.875" style="2952" customWidth="1"/>
    <col min="11271" max="11271" width="57" style="2952" customWidth="1"/>
    <col min="11272" max="11272" width="7.875" style="2952" customWidth="1"/>
    <col min="11273" max="11273" width="9" style="2952" customWidth="1"/>
    <col min="11274" max="11275" width="10.625" style="2952" customWidth="1"/>
    <col min="11276" max="11276" width="14.375" style="2952" customWidth="1"/>
    <col min="11277" max="11277" width="6.25" style="2952" customWidth="1"/>
    <col min="11278" max="11278" width="47.625" style="2952" customWidth="1"/>
    <col min="11279" max="11521" width="9" style="2952"/>
    <col min="11522" max="11522" width="56.5" style="2952" customWidth="1"/>
    <col min="11523" max="11523" width="6.25" style="2952" customWidth="1"/>
    <col min="11524" max="11526" width="13.875" style="2952" customWidth="1"/>
    <col min="11527" max="11527" width="57" style="2952" customWidth="1"/>
    <col min="11528" max="11528" width="7.875" style="2952" customWidth="1"/>
    <col min="11529" max="11529" width="9" style="2952" customWidth="1"/>
    <col min="11530" max="11531" width="10.625" style="2952" customWidth="1"/>
    <col min="11532" max="11532" width="14.375" style="2952" customWidth="1"/>
    <col min="11533" max="11533" width="6.25" style="2952" customWidth="1"/>
    <col min="11534" max="11534" width="47.625" style="2952" customWidth="1"/>
    <col min="11535" max="11777" width="9" style="2952"/>
    <col min="11778" max="11778" width="56.5" style="2952" customWidth="1"/>
    <col min="11779" max="11779" width="6.25" style="2952" customWidth="1"/>
    <col min="11780" max="11782" width="13.875" style="2952" customWidth="1"/>
    <col min="11783" max="11783" width="57" style="2952" customWidth="1"/>
    <col min="11784" max="11784" width="7.875" style="2952" customWidth="1"/>
    <col min="11785" max="11785" width="9" style="2952" customWidth="1"/>
    <col min="11786" max="11787" width="10.625" style="2952" customWidth="1"/>
    <col min="11788" max="11788" width="14.375" style="2952" customWidth="1"/>
    <col min="11789" max="11789" width="6.25" style="2952" customWidth="1"/>
    <col min="11790" max="11790" width="47.625" style="2952" customWidth="1"/>
    <col min="11791" max="12033" width="9" style="2952"/>
    <col min="12034" max="12034" width="56.5" style="2952" customWidth="1"/>
    <col min="12035" max="12035" width="6.25" style="2952" customWidth="1"/>
    <col min="12036" max="12038" width="13.875" style="2952" customWidth="1"/>
    <col min="12039" max="12039" width="57" style="2952" customWidth="1"/>
    <col min="12040" max="12040" width="7.875" style="2952" customWidth="1"/>
    <col min="12041" max="12041" width="9" style="2952" customWidth="1"/>
    <col min="12042" max="12043" width="10.625" style="2952" customWidth="1"/>
    <col min="12044" max="12044" width="14.375" style="2952" customWidth="1"/>
    <col min="12045" max="12045" width="6.25" style="2952" customWidth="1"/>
    <col min="12046" max="12046" width="47.625" style="2952" customWidth="1"/>
    <col min="12047" max="12289" width="9" style="2952"/>
    <col min="12290" max="12290" width="56.5" style="2952" customWidth="1"/>
    <col min="12291" max="12291" width="6.25" style="2952" customWidth="1"/>
    <col min="12292" max="12294" width="13.875" style="2952" customWidth="1"/>
    <col min="12295" max="12295" width="57" style="2952" customWidth="1"/>
    <col min="12296" max="12296" width="7.875" style="2952" customWidth="1"/>
    <col min="12297" max="12297" width="9" style="2952" customWidth="1"/>
    <col min="12298" max="12299" width="10.625" style="2952" customWidth="1"/>
    <col min="12300" max="12300" width="14.375" style="2952" customWidth="1"/>
    <col min="12301" max="12301" width="6.25" style="2952" customWidth="1"/>
    <col min="12302" max="12302" width="47.625" style="2952" customWidth="1"/>
    <col min="12303" max="12545" width="9" style="2952"/>
    <col min="12546" max="12546" width="56.5" style="2952" customWidth="1"/>
    <col min="12547" max="12547" width="6.25" style="2952" customWidth="1"/>
    <col min="12548" max="12550" width="13.875" style="2952" customWidth="1"/>
    <col min="12551" max="12551" width="57" style="2952" customWidth="1"/>
    <col min="12552" max="12552" width="7.875" style="2952" customWidth="1"/>
    <col min="12553" max="12553" width="9" style="2952" customWidth="1"/>
    <col min="12554" max="12555" width="10.625" style="2952" customWidth="1"/>
    <col min="12556" max="12556" width="14.375" style="2952" customWidth="1"/>
    <col min="12557" max="12557" width="6.25" style="2952" customWidth="1"/>
    <col min="12558" max="12558" width="47.625" style="2952" customWidth="1"/>
    <col min="12559" max="12801" width="9" style="2952"/>
    <col min="12802" max="12802" width="56.5" style="2952" customWidth="1"/>
    <col min="12803" max="12803" width="6.25" style="2952" customWidth="1"/>
    <col min="12804" max="12806" width="13.875" style="2952" customWidth="1"/>
    <col min="12807" max="12807" width="57" style="2952" customWidth="1"/>
    <col min="12808" max="12808" width="7.875" style="2952" customWidth="1"/>
    <col min="12809" max="12809" width="9" style="2952" customWidth="1"/>
    <col min="12810" max="12811" width="10.625" style="2952" customWidth="1"/>
    <col min="12812" max="12812" width="14.375" style="2952" customWidth="1"/>
    <col min="12813" max="12813" width="6.25" style="2952" customWidth="1"/>
    <col min="12814" max="12814" width="47.625" style="2952" customWidth="1"/>
    <col min="12815" max="13057" width="9" style="2952"/>
    <col min="13058" max="13058" width="56.5" style="2952" customWidth="1"/>
    <col min="13059" max="13059" width="6.25" style="2952" customWidth="1"/>
    <col min="13060" max="13062" width="13.875" style="2952" customWidth="1"/>
    <col min="13063" max="13063" width="57" style="2952" customWidth="1"/>
    <col min="13064" max="13064" width="7.875" style="2952" customWidth="1"/>
    <col min="13065" max="13065" width="9" style="2952" customWidth="1"/>
    <col min="13066" max="13067" width="10.625" style="2952" customWidth="1"/>
    <col min="13068" max="13068" width="14.375" style="2952" customWidth="1"/>
    <col min="13069" max="13069" width="6.25" style="2952" customWidth="1"/>
    <col min="13070" max="13070" width="47.625" style="2952" customWidth="1"/>
    <col min="13071" max="13313" width="9" style="2952"/>
    <col min="13314" max="13314" width="56.5" style="2952" customWidth="1"/>
    <col min="13315" max="13315" width="6.25" style="2952" customWidth="1"/>
    <col min="13316" max="13318" width="13.875" style="2952" customWidth="1"/>
    <col min="13319" max="13319" width="57" style="2952" customWidth="1"/>
    <col min="13320" max="13320" width="7.875" style="2952" customWidth="1"/>
    <col min="13321" max="13321" width="9" style="2952" customWidth="1"/>
    <col min="13322" max="13323" width="10.625" style="2952" customWidth="1"/>
    <col min="13324" max="13324" width="14.375" style="2952" customWidth="1"/>
    <col min="13325" max="13325" width="6.25" style="2952" customWidth="1"/>
    <col min="13326" max="13326" width="47.625" style="2952" customWidth="1"/>
    <col min="13327" max="13569" width="9" style="2952"/>
    <col min="13570" max="13570" width="56.5" style="2952" customWidth="1"/>
    <col min="13571" max="13571" width="6.25" style="2952" customWidth="1"/>
    <col min="13572" max="13574" width="13.875" style="2952" customWidth="1"/>
    <col min="13575" max="13575" width="57" style="2952" customWidth="1"/>
    <col min="13576" max="13576" width="7.875" style="2952" customWidth="1"/>
    <col min="13577" max="13577" width="9" style="2952" customWidth="1"/>
    <col min="13578" max="13579" width="10.625" style="2952" customWidth="1"/>
    <col min="13580" max="13580" width="14.375" style="2952" customWidth="1"/>
    <col min="13581" max="13581" width="6.25" style="2952" customWidth="1"/>
    <col min="13582" max="13582" width="47.625" style="2952" customWidth="1"/>
    <col min="13583" max="13825" width="9" style="2952"/>
    <col min="13826" max="13826" width="56.5" style="2952" customWidth="1"/>
    <col min="13827" max="13827" width="6.25" style="2952" customWidth="1"/>
    <col min="13828" max="13830" width="13.875" style="2952" customWidth="1"/>
    <col min="13831" max="13831" width="57" style="2952" customWidth="1"/>
    <col min="13832" max="13832" width="7.875" style="2952" customWidth="1"/>
    <col min="13833" max="13833" width="9" style="2952" customWidth="1"/>
    <col min="13834" max="13835" width="10.625" style="2952" customWidth="1"/>
    <col min="13836" max="13836" width="14.375" style="2952" customWidth="1"/>
    <col min="13837" max="13837" width="6.25" style="2952" customWidth="1"/>
    <col min="13838" max="13838" width="47.625" style="2952" customWidth="1"/>
    <col min="13839" max="14081" width="9" style="2952"/>
    <col min="14082" max="14082" width="56.5" style="2952" customWidth="1"/>
    <col min="14083" max="14083" width="6.25" style="2952" customWidth="1"/>
    <col min="14084" max="14086" width="13.875" style="2952" customWidth="1"/>
    <col min="14087" max="14087" width="57" style="2952" customWidth="1"/>
    <col min="14088" max="14088" width="7.875" style="2952" customWidth="1"/>
    <col min="14089" max="14089" width="9" style="2952" customWidth="1"/>
    <col min="14090" max="14091" width="10.625" style="2952" customWidth="1"/>
    <col min="14092" max="14092" width="14.375" style="2952" customWidth="1"/>
    <col min="14093" max="14093" width="6.25" style="2952" customWidth="1"/>
    <col min="14094" max="14094" width="47.625" style="2952" customWidth="1"/>
    <col min="14095" max="14337" width="9" style="2952"/>
    <col min="14338" max="14338" width="56.5" style="2952" customWidth="1"/>
    <col min="14339" max="14339" width="6.25" style="2952" customWidth="1"/>
    <col min="14340" max="14342" width="13.875" style="2952" customWidth="1"/>
    <col min="14343" max="14343" width="57" style="2952" customWidth="1"/>
    <col min="14344" max="14344" width="7.875" style="2952" customWidth="1"/>
    <col min="14345" max="14345" width="9" style="2952" customWidth="1"/>
    <col min="14346" max="14347" width="10.625" style="2952" customWidth="1"/>
    <col min="14348" max="14348" width="14.375" style="2952" customWidth="1"/>
    <col min="14349" max="14349" width="6.25" style="2952" customWidth="1"/>
    <col min="14350" max="14350" width="47.625" style="2952" customWidth="1"/>
    <col min="14351" max="14593" width="9" style="2952"/>
    <col min="14594" max="14594" width="56.5" style="2952" customWidth="1"/>
    <col min="14595" max="14595" width="6.25" style="2952" customWidth="1"/>
    <col min="14596" max="14598" width="13.875" style="2952" customWidth="1"/>
    <col min="14599" max="14599" width="57" style="2952" customWidth="1"/>
    <col min="14600" max="14600" width="7.875" style="2952" customWidth="1"/>
    <col min="14601" max="14601" width="9" style="2952" customWidth="1"/>
    <col min="14602" max="14603" width="10.625" style="2952" customWidth="1"/>
    <col min="14604" max="14604" width="14.375" style="2952" customWidth="1"/>
    <col min="14605" max="14605" width="6.25" style="2952" customWidth="1"/>
    <col min="14606" max="14606" width="47.625" style="2952" customWidth="1"/>
    <col min="14607" max="14849" width="9" style="2952"/>
    <col min="14850" max="14850" width="56.5" style="2952" customWidth="1"/>
    <col min="14851" max="14851" width="6.25" style="2952" customWidth="1"/>
    <col min="14852" max="14854" width="13.875" style="2952" customWidth="1"/>
    <col min="14855" max="14855" width="57" style="2952" customWidth="1"/>
    <col min="14856" max="14856" width="7.875" style="2952" customWidth="1"/>
    <col min="14857" max="14857" width="9" style="2952" customWidth="1"/>
    <col min="14858" max="14859" width="10.625" style="2952" customWidth="1"/>
    <col min="14860" max="14860" width="14.375" style="2952" customWidth="1"/>
    <col min="14861" max="14861" width="6.25" style="2952" customWidth="1"/>
    <col min="14862" max="14862" width="47.625" style="2952" customWidth="1"/>
    <col min="14863" max="15105" width="9" style="2952"/>
    <col min="15106" max="15106" width="56.5" style="2952" customWidth="1"/>
    <col min="15107" max="15107" width="6.25" style="2952" customWidth="1"/>
    <col min="15108" max="15110" width="13.875" style="2952" customWidth="1"/>
    <col min="15111" max="15111" width="57" style="2952" customWidth="1"/>
    <col min="15112" max="15112" width="7.875" style="2952" customWidth="1"/>
    <col min="15113" max="15113" width="9" style="2952" customWidth="1"/>
    <col min="15114" max="15115" width="10.625" style="2952" customWidth="1"/>
    <col min="15116" max="15116" width="14.375" style="2952" customWidth="1"/>
    <col min="15117" max="15117" width="6.25" style="2952" customWidth="1"/>
    <col min="15118" max="15118" width="47.625" style="2952" customWidth="1"/>
    <col min="15119" max="15361" width="9" style="2952"/>
    <col min="15362" max="15362" width="56.5" style="2952" customWidth="1"/>
    <col min="15363" max="15363" width="6.25" style="2952" customWidth="1"/>
    <col min="15364" max="15366" width="13.875" style="2952" customWidth="1"/>
    <col min="15367" max="15367" width="57" style="2952" customWidth="1"/>
    <col min="15368" max="15368" width="7.875" style="2952" customWidth="1"/>
    <col min="15369" max="15369" width="9" style="2952" customWidth="1"/>
    <col min="15370" max="15371" width="10.625" style="2952" customWidth="1"/>
    <col min="15372" max="15372" width="14.375" style="2952" customWidth="1"/>
    <col min="15373" max="15373" width="6.25" style="2952" customWidth="1"/>
    <col min="15374" max="15374" width="47.625" style="2952" customWidth="1"/>
    <col min="15375" max="15617" width="9" style="2952"/>
    <col min="15618" max="15618" width="56.5" style="2952" customWidth="1"/>
    <col min="15619" max="15619" width="6.25" style="2952" customWidth="1"/>
    <col min="15620" max="15622" width="13.875" style="2952" customWidth="1"/>
    <col min="15623" max="15623" width="57" style="2952" customWidth="1"/>
    <col min="15624" max="15624" width="7.875" style="2952" customWidth="1"/>
    <col min="15625" max="15625" width="9" style="2952" customWidth="1"/>
    <col min="15626" max="15627" width="10.625" style="2952" customWidth="1"/>
    <col min="15628" max="15628" width="14.375" style="2952" customWidth="1"/>
    <col min="15629" max="15629" width="6.25" style="2952" customWidth="1"/>
    <col min="15630" max="15630" width="47.625" style="2952" customWidth="1"/>
    <col min="15631" max="15873" width="9" style="2952"/>
    <col min="15874" max="15874" width="56.5" style="2952" customWidth="1"/>
    <col min="15875" max="15875" width="6.25" style="2952" customWidth="1"/>
    <col min="15876" max="15878" width="13.875" style="2952" customWidth="1"/>
    <col min="15879" max="15879" width="57" style="2952" customWidth="1"/>
    <col min="15880" max="15880" width="7.875" style="2952" customWidth="1"/>
    <col min="15881" max="15881" width="9" style="2952" customWidth="1"/>
    <col min="15882" max="15883" width="10.625" style="2952" customWidth="1"/>
    <col min="15884" max="15884" width="14.375" style="2952" customWidth="1"/>
    <col min="15885" max="15885" width="6.25" style="2952" customWidth="1"/>
    <col min="15886" max="15886" width="47.625" style="2952" customWidth="1"/>
    <col min="15887" max="16129" width="9" style="2952"/>
    <col min="16130" max="16130" width="56.5" style="2952" customWidth="1"/>
    <col min="16131" max="16131" width="6.25" style="2952" customWidth="1"/>
    <col min="16132" max="16134" width="13.875" style="2952" customWidth="1"/>
    <col min="16135" max="16135" width="57" style="2952" customWidth="1"/>
    <col min="16136" max="16136" width="7.875" style="2952" customWidth="1"/>
    <col min="16137" max="16137" width="9" style="2952" customWidth="1"/>
    <col min="16138" max="16139" width="10.625" style="2952" customWidth="1"/>
    <col min="16140" max="16140" width="14.375" style="2952" customWidth="1"/>
    <col min="16141" max="16141" width="6.25" style="2952" customWidth="1"/>
    <col min="16142" max="16142" width="47.625" style="2952" customWidth="1"/>
    <col min="16143" max="16384" width="9" style="2952"/>
  </cols>
  <sheetData>
    <row r="1" spans="1:14" s="2951" customFormat="1" ht="28.5">
      <c r="A1" s="2951" t="s">
        <v>3080</v>
      </c>
      <c r="B1" s="2951" t="s">
        <v>3081</v>
      </c>
      <c r="C1" s="2951" t="s">
        <v>3082</v>
      </c>
      <c r="D1" s="2951" t="s">
        <v>3083</v>
      </c>
      <c r="E1" s="2951" t="s">
        <v>3084</v>
      </c>
      <c r="F1" s="2951" t="s">
        <v>3085</v>
      </c>
      <c r="G1" s="2951" t="s">
        <v>3263</v>
      </c>
      <c r="H1" s="2951" t="s">
        <v>3086</v>
      </c>
      <c r="I1" s="2951" t="s">
        <v>3087</v>
      </c>
      <c r="J1" s="2951" t="s">
        <v>3088</v>
      </c>
      <c r="K1" s="2951" t="s">
        <v>3089</v>
      </c>
      <c r="L1" s="2951" t="s">
        <v>3090</v>
      </c>
      <c r="M1" s="2951" t="s">
        <v>3091</v>
      </c>
      <c r="N1" s="2951" t="s">
        <v>3092</v>
      </c>
    </row>
    <row r="2" spans="1:14" ht="24">
      <c r="A2" s="2952" t="s">
        <v>3093</v>
      </c>
      <c r="B2" s="2952" t="s">
        <v>3094</v>
      </c>
      <c r="C2" s="2952" t="s">
        <v>3095</v>
      </c>
      <c r="D2" s="2952">
        <v>20778.12</v>
      </c>
      <c r="E2" s="2952">
        <v>151056.9</v>
      </c>
      <c r="F2" s="2953" t="s">
        <v>3096</v>
      </c>
      <c r="G2" s="2952">
        <f>ROUND(E2/D2,2)</f>
        <v>7.27</v>
      </c>
      <c r="H2" s="2952" t="s">
        <v>3097</v>
      </c>
      <c r="I2" s="2952" t="s">
        <v>3098</v>
      </c>
      <c r="J2" s="2952">
        <v>92750</v>
      </c>
      <c r="K2" s="2952">
        <v>94002.71</v>
      </c>
      <c r="L2" s="2952">
        <v>6223</v>
      </c>
      <c r="M2" s="2952">
        <v>1.35</v>
      </c>
      <c r="N2" s="2952" t="s">
        <v>3099</v>
      </c>
    </row>
    <row r="3" spans="1:14" ht="24">
      <c r="A3" s="2952" t="s">
        <v>3100</v>
      </c>
      <c r="B3" s="2952" t="s">
        <v>3094</v>
      </c>
      <c r="C3" s="2952" t="s">
        <v>3095</v>
      </c>
      <c r="D3" s="2952">
        <v>64129.03</v>
      </c>
      <c r="E3" s="2952">
        <v>160322.6</v>
      </c>
      <c r="F3" s="2953" t="s">
        <v>3101</v>
      </c>
      <c r="G3" s="2952">
        <f t="shared" ref="G3:G51" si="0">ROUND(E3/D3,2)</f>
        <v>2.5</v>
      </c>
      <c r="H3" s="2952" t="s">
        <v>3097</v>
      </c>
      <c r="I3" s="2952" t="s">
        <v>3102</v>
      </c>
      <c r="J3" s="2952">
        <v>89781</v>
      </c>
      <c r="K3" s="2952">
        <v>176355</v>
      </c>
      <c r="L3" s="2952">
        <v>11000.01</v>
      </c>
      <c r="M3" s="2952">
        <v>96.43</v>
      </c>
      <c r="N3" s="2952" t="s">
        <v>3103</v>
      </c>
    </row>
    <row r="4" spans="1:14" ht="24">
      <c r="A4" s="2952" t="s">
        <v>3104</v>
      </c>
      <c r="B4" s="2952" t="s">
        <v>3094</v>
      </c>
      <c r="C4" s="2952" t="s">
        <v>3095</v>
      </c>
      <c r="D4" s="2952">
        <v>58968.77</v>
      </c>
      <c r="E4" s="2952">
        <v>294843.8</v>
      </c>
      <c r="F4" s="2953" t="s">
        <v>3105</v>
      </c>
      <c r="G4" s="2952">
        <f t="shared" si="0"/>
        <v>5</v>
      </c>
      <c r="H4" s="2952" t="s">
        <v>3097</v>
      </c>
      <c r="I4" s="2952" t="s">
        <v>3106</v>
      </c>
      <c r="J4" s="2952">
        <v>197454</v>
      </c>
      <c r="K4" s="2952">
        <v>284000</v>
      </c>
      <c r="L4" s="2952">
        <v>9632.2099999999991</v>
      </c>
      <c r="M4" s="2952">
        <v>43.83</v>
      </c>
      <c r="N4" s="2952" t="s">
        <v>3107</v>
      </c>
    </row>
    <row r="5" spans="1:14" ht="48">
      <c r="A5" s="2952" t="s">
        <v>3108</v>
      </c>
      <c r="B5" s="2952" t="s">
        <v>3094</v>
      </c>
      <c r="C5" s="2952" t="s">
        <v>3095</v>
      </c>
      <c r="D5" s="2952">
        <v>149322.4</v>
      </c>
      <c r="E5" s="2952">
        <v>222665.4</v>
      </c>
      <c r="F5" s="2953" t="s">
        <v>3109</v>
      </c>
      <c r="G5" s="2952">
        <f t="shared" si="0"/>
        <v>1.49</v>
      </c>
      <c r="H5" s="2952" t="s">
        <v>3097</v>
      </c>
      <c r="I5" s="2952" t="s">
        <v>3110</v>
      </c>
      <c r="J5" s="2952">
        <v>125130</v>
      </c>
      <c r="K5" s="2952">
        <v>184000</v>
      </c>
      <c r="L5" s="2952">
        <v>8263.52</v>
      </c>
      <c r="M5" s="2952">
        <v>47.05</v>
      </c>
      <c r="N5" s="2952" t="s">
        <v>3111</v>
      </c>
    </row>
    <row r="6" spans="1:14" ht="24">
      <c r="A6" s="2952" t="s">
        <v>3112</v>
      </c>
      <c r="B6" s="2952" t="s">
        <v>3094</v>
      </c>
      <c r="C6" s="2952" t="s">
        <v>3095</v>
      </c>
      <c r="D6" s="2952">
        <v>52351.6</v>
      </c>
      <c r="E6" s="2952">
        <v>183230.6</v>
      </c>
      <c r="F6" s="2953" t="s">
        <v>3113</v>
      </c>
      <c r="G6" s="2952">
        <f t="shared" si="0"/>
        <v>3.5</v>
      </c>
      <c r="H6" s="2952" t="s">
        <v>3097</v>
      </c>
      <c r="I6" s="2952" t="s">
        <v>3114</v>
      </c>
      <c r="J6" s="2952">
        <v>93448</v>
      </c>
      <c r="K6" s="2952">
        <v>148000</v>
      </c>
      <c r="L6" s="2952">
        <v>8077.25</v>
      </c>
      <c r="M6" s="2952">
        <v>58.38</v>
      </c>
      <c r="N6" s="2952" t="s">
        <v>3115</v>
      </c>
    </row>
    <row r="7" spans="1:14" ht="24">
      <c r="A7" s="2952" t="s">
        <v>3116</v>
      </c>
      <c r="B7" s="2952" t="s">
        <v>3094</v>
      </c>
      <c r="C7" s="2952" t="s">
        <v>3095</v>
      </c>
      <c r="D7" s="2952">
        <v>21956.76</v>
      </c>
      <c r="E7" s="2952">
        <v>65870.28</v>
      </c>
      <c r="F7" s="2953" t="s">
        <v>3117</v>
      </c>
      <c r="G7" s="2952">
        <f t="shared" si="0"/>
        <v>3</v>
      </c>
      <c r="H7" s="2952" t="s">
        <v>3097</v>
      </c>
      <c r="I7" s="2952" t="s">
        <v>3114</v>
      </c>
      <c r="J7" s="2952">
        <v>40840</v>
      </c>
      <c r="K7" s="2952">
        <v>72458</v>
      </c>
      <c r="L7" s="2952">
        <v>11000.11</v>
      </c>
      <c r="M7" s="2952">
        <v>77.42</v>
      </c>
      <c r="N7" s="2952" t="s">
        <v>3118</v>
      </c>
    </row>
    <row r="8" spans="1:14" ht="24">
      <c r="A8" s="2952" t="s">
        <v>3119</v>
      </c>
      <c r="B8" s="2952" t="s">
        <v>3094</v>
      </c>
      <c r="C8" s="2952" t="s">
        <v>3095</v>
      </c>
      <c r="D8" s="2952">
        <v>53306.46</v>
      </c>
      <c r="E8" s="2952">
        <v>149258.1</v>
      </c>
      <c r="F8" s="2953" t="s">
        <v>3120</v>
      </c>
      <c r="G8" s="2952">
        <f t="shared" si="0"/>
        <v>2.8</v>
      </c>
      <c r="H8" s="2952" t="s">
        <v>3097</v>
      </c>
      <c r="I8" s="2952" t="s">
        <v>3121</v>
      </c>
      <c r="J8" s="2952">
        <v>131400</v>
      </c>
      <c r="K8" s="2952">
        <v>164184</v>
      </c>
      <c r="L8" s="2952">
        <v>11000.01</v>
      </c>
      <c r="M8" s="2952">
        <v>24.95</v>
      </c>
      <c r="N8" s="2952" t="s">
        <v>3103</v>
      </c>
    </row>
    <row r="9" spans="1:14" ht="24">
      <c r="A9" s="2952" t="s">
        <v>3122</v>
      </c>
      <c r="B9" s="2952" t="s">
        <v>3094</v>
      </c>
      <c r="C9" s="2952" t="s">
        <v>3095</v>
      </c>
      <c r="D9" s="2952">
        <v>91820.36</v>
      </c>
      <c r="E9" s="2952">
        <v>229550.9</v>
      </c>
      <c r="F9" s="2953" t="s">
        <v>3123</v>
      </c>
      <c r="G9" s="2952">
        <f t="shared" si="0"/>
        <v>2.5</v>
      </c>
      <c r="H9" s="2952" t="s">
        <v>3097</v>
      </c>
      <c r="I9" s="2952" t="s">
        <v>3124</v>
      </c>
      <c r="J9" s="2952">
        <v>128549</v>
      </c>
      <c r="K9" s="2952">
        <v>188000</v>
      </c>
      <c r="L9" s="2952">
        <v>8189.89</v>
      </c>
      <c r="M9" s="2952">
        <v>46.25</v>
      </c>
      <c r="N9" s="2952" t="s">
        <v>3103</v>
      </c>
    </row>
    <row r="10" spans="1:14" ht="24">
      <c r="A10" s="2952" t="s">
        <v>3125</v>
      </c>
      <c r="B10" s="2952" t="s">
        <v>3094</v>
      </c>
      <c r="C10" s="2952" t="s">
        <v>3095</v>
      </c>
      <c r="D10" s="2952">
        <v>42050.07</v>
      </c>
      <c r="E10" s="2952">
        <v>147175.29999999999</v>
      </c>
      <c r="F10" s="2953" t="s">
        <v>3126</v>
      </c>
      <c r="G10" s="2952">
        <f t="shared" si="0"/>
        <v>3.5</v>
      </c>
      <c r="H10" s="2952" t="s">
        <v>3097</v>
      </c>
      <c r="I10" s="2952" t="s">
        <v>3127</v>
      </c>
      <c r="J10" s="2952">
        <v>51512</v>
      </c>
      <c r="K10" s="2952">
        <v>60500</v>
      </c>
      <c r="L10" s="2952">
        <v>4110.7299999999996</v>
      </c>
      <c r="M10" s="2952">
        <v>17.45</v>
      </c>
      <c r="N10" s="2952" t="s">
        <v>3128</v>
      </c>
    </row>
    <row r="11" spans="1:14" ht="24">
      <c r="A11" s="2952" t="s">
        <v>3129</v>
      </c>
      <c r="B11" s="2952" t="s">
        <v>3094</v>
      </c>
      <c r="C11" s="2952" t="s">
        <v>3095</v>
      </c>
      <c r="D11" s="2952">
        <v>20379.18</v>
      </c>
      <c r="E11" s="2952">
        <v>50947.95</v>
      </c>
      <c r="F11" s="2953" t="s">
        <v>3130</v>
      </c>
      <c r="G11" s="2952">
        <f t="shared" si="0"/>
        <v>2.5</v>
      </c>
      <c r="H11" s="2952" t="s">
        <v>3097</v>
      </c>
      <c r="I11" s="2952" t="s">
        <v>3131</v>
      </c>
      <c r="J11" s="2952">
        <v>30569</v>
      </c>
      <c r="K11" s="2952">
        <v>38000</v>
      </c>
      <c r="L11" s="2952">
        <v>7458.59</v>
      </c>
      <c r="M11" s="2952">
        <v>24.31</v>
      </c>
      <c r="N11" s="2952" t="s">
        <v>3107</v>
      </c>
    </row>
    <row r="12" spans="1:14" ht="24">
      <c r="A12" s="2952" t="s">
        <v>3132</v>
      </c>
      <c r="B12" s="2952" t="s">
        <v>3094</v>
      </c>
      <c r="C12" s="2952" t="s">
        <v>3095</v>
      </c>
      <c r="D12" s="2952">
        <v>45432.28</v>
      </c>
      <c r="E12" s="2952">
        <v>127210.4</v>
      </c>
      <c r="F12" s="2953" t="s">
        <v>3133</v>
      </c>
      <c r="G12" s="2952">
        <f t="shared" si="0"/>
        <v>2.8</v>
      </c>
      <c r="H12" s="2952" t="s">
        <v>3097</v>
      </c>
      <c r="I12" s="2952" t="s">
        <v>3131</v>
      </c>
      <c r="J12" s="2952">
        <v>76327</v>
      </c>
      <c r="K12" s="2952">
        <v>94000</v>
      </c>
      <c r="L12" s="2952">
        <v>7389.32</v>
      </c>
      <c r="M12" s="2952">
        <v>23.15</v>
      </c>
      <c r="N12" s="2952" t="s">
        <v>3134</v>
      </c>
    </row>
    <row r="13" spans="1:14" ht="24">
      <c r="A13" s="2952" t="s">
        <v>3135</v>
      </c>
      <c r="B13" s="2952" t="s">
        <v>3094</v>
      </c>
      <c r="C13" s="2952" t="s">
        <v>3095</v>
      </c>
      <c r="D13" s="2952">
        <v>64944.44</v>
      </c>
      <c r="E13" s="2952">
        <v>162361.1</v>
      </c>
      <c r="F13" s="2953" t="s">
        <v>3130</v>
      </c>
      <c r="G13" s="2952">
        <f t="shared" si="0"/>
        <v>2.5</v>
      </c>
      <c r="H13" s="2952" t="s">
        <v>3097</v>
      </c>
      <c r="I13" s="2952" t="s">
        <v>3136</v>
      </c>
      <c r="J13" s="2952">
        <v>121434</v>
      </c>
      <c r="K13" s="2952">
        <v>158899</v>
      </c>
      <c r="L13" s="2952">
        <v>9786.77</v>
      </c>
      <c r="M13" s="2952">
        <v>30.85</v>
      </c>
      <c r="N13" s="2952" t="s">
        <v>3137</v>
      </c>
    </row>
    <row r="14" spans="1:14" ht="24">
      <c r="A14" s="2952" t="s">
        <v>3138</v>
      </c>
      <c r="B14" s="2952" t="s">
        <v>3094</v>
      </c>
      <c r="C14" s="2952" t="s">
        <v>3139</v>
      </c>
      <c r="D14" s="2952">
        <v>5390.83</v>
      </c>
      <c r="E14" s="2952">
        <v>6469</v>
      </c>
      <c r="F14" s="2953" t="s">
        <v>3140</v>
      </c>
      <c r="G14" s="2952">
        <f t="shared" si="0"/>
        <v>1.2</v>
      </c>
      <c r="H14" s="2952" t="s">
        <v>3097</v>
      </c>
      <c r="I14" s="2952" t="s">
        <v>3141</v>
      </c>
      <c r="J14" s="2952">
        <v>4852</v>
      </c>
      <c r="K14" s="2952">
        <v>7116</v>
      </c>
      <c r="L14" s="2952">
        <v>11000.14</v>
      </c>
      <c r="M14" s="2952">
        <v>46.66</v>
      </c>
      <c r="N14" s="2952" t="s">
        <v>3142</v>
      </c>
    </row>
    <row r="15" spans="1:14" ht="24">
      <c r="A15" s="2952" t="s">
        <v>3143</v>
      </c>
      <c r="B15" s="2952" t="s">
        <v>3094</v>
      </c>
      <c r="C15" s="2952" t="s">
        <v>3095</v>
      </c>
      <c r="D15" s="2952">
        <v>50691.85</v>
      </c>
      <c r="E15" s="2952">
        <v>141937.20000000001</v>
      </c>
      <c r="F15" s="2953" t="s">
        <v>3144</v>
      </c>
      <c r="G15" s="2952">
        <f t="shared" si="0"/>
        <v>2.8</v>
      </c>
      <c r="H15" s="2952" t="s">
        <v>3097</v>
      </c>
      <c r="I15" s="2952" t="s">
        <v>3145</v>
      </c>
      <c r="J15" s="2952">
        <v>106453</v>
      </c>
      <c r="K15" s="2952">
        <v>156131</v>
      </c>
      <c r="L15" s="2952">
        <v>11000.01</v>
      </c>
      <c r="M15" s="2952">
        <v>46.67</v>
      </c>
      <c r="N15" s="2952" t="s">
        <v>3146</v>
      </c>
    </row>
    <row r="16" spans="1:14" ht="24">
      <c r="A16" s="2952" t="s">
        <v>3147</v>
      </c>
      <c r="B16" s="2952" t="s">
        <v>3094</v>
      </c>
      <c r="C16" s="2952" t="s">
        <v>3095</v>
      </c>
      <c r="D16" s="2952">
        <v>60140.84</v>
      </c>
      <c r="E16" s="2952">
        <v>168394.3</v>
      </c>
      <c r="F16" s="2953" t="s">
        <v>3144</v>
      </c>
      <c r="G16" s="2952">
        <f t="shared" si="0"/>
        <v>2.8</v>
      </c>
      <c r="H16" s="2952" t="s">
        <v>3097</v>
      </c>
      <c r="I16" s="2952" t="s">
        <v>3145</v>
      </c>
      <c r="J16" s="2952">
        <v>126296</v>
      </c>
      <c r="K16" s="2952">
        <v>150000</v>
      </c>
      <c r="L16" s="2952">
        <v>8907.65</v>
      </c>
      <c r="M16" s="2952">
        <v>18.77</v>
      </c>
      <c r="N16" s="2952" t="s">
        <v>3146</v>
      </c>
    </row>
    <row r="17" spans="1:14" ht="24">
      <c r="A17" s="2952" t="s">
        <v>3148</v>
      </c>
      <c r="B17" s="2952" t="s">
        <v>3094</v>
      </c>
      <c r="C17" s="2952" t="s">
        <v>3095</v>
      </c>
      <c r="D17" s="2952">
        <v>38420.89</v>
      </c>
      <c r="E17" s="2952">
        <v>76841.78</v>
      </c>
      <c r="F17" s="2953" t="s">
        <v>3149</v>
      </c>
      <c r="G17" s="2952">
        <f t="shared" si="0"/>
        <v>2</v>
      </c>
      <c r="H17" s="2952" t="s">
        <v>3097</v>
      </c>
      <c r="I17" s="2952" t="s">
        <v>3150</v>
      </c>
      <c r="J17" s="2952">
        <v>36885</v>
      </c>
      <c r="K17" s="2952">
        <v>77003.14</v>
      </c>
      <c r="L17" s="2952">
        <v>10021</v>
      </c>
      <c r="M17" s="2952">
        <v>108.77</v>
      </c>
      <c r="N17" s="2952" t="s">
        <v>3151</v>
      </c>
    </row>
    <row r="18" spans="1:14" ht="24">
      <c r="A18" s="2952" t="s">
        <v>3152</v>
      </c>
      <c r="B18" s="2952" t="s">
        <v>3094</v>
      </c>
      <c r="C18" s="2952" t="s">
        <v>3095</v>
      </c>
      <c r="D18" s="2952">
        <v>58785.66</v>
      </c>
      <c r="E18" s="2952">
        <v>146964.20000000001</v>
      </c>
      <c r="F18" s="2953" t="s">
        <v>3153</v>
      </c>
      <c r="G18" s="2952">
        <f t="shared" si="0"/>
        <v>2.5</v>
      </c>
      <c r="H18" s="2952" t="s">
        <v>3097</v>
      </c>
      <c r="I18" s="2952" t="s">
        <v>3150</v>
      </c>
      <c r="J18" s="2952">
        <v>70543</v>
      </c>
      <c r="K18" s="2952">
        <v>142996.20000000001</v>
      </c>
      <c r="L18" s="2952">
        <v>9730</v>
      </c>
      <c r="M18" s="2952">
        <v>102.71</v>
      </c>
      <c r="N18" s="2952" t="s">
        <v>3154</v>
      </c>
    </row>
    <row r="19" spans="1:14" ht="24">
      <c r="A19" s="2952" t="s">
        <v>3155</v>
      </c>
      <c r="B19" s="2952" t="s">
        <v>3094</v>
      </c>
      <c r="C19" s="2952" t="s">
        <v>3095</v>
      </c>
      <c r="D19" s="2952">
        <v>18533.32</v>
      </c>
      <c r="E19" s="2952">
        <v>55599.96</v>
      </c>
      <c r="F19" s="2953" t="s">
        <v>3156</v>
      </c>
      <c r="G19" s="2952">
        <f t="shared" si="0"/>
        <v>3</v>
      </c>
      <c r="H19" s="2952" t="s">
        <v>3097</v>
      </c>
      <c r="I19" s="2952" t="s">
        <v>3157</v>
      </c>
      <c r="J19" s="2952">
        <v>38920</v>
      </c>
      <c r="K19" s="2952">
        <v>61160</v>
      </c>
      <c r="L19" s="2952">
        <v>11000.01</v>
      </c>
      <c r="M19" s="2952">
        <v>57.14</v>
      </c>
      <c r="N19" s="2952" t="s">
        <v>3158</v>
      </c>
    </row>
    <row r="20" spans="1:14" ht="24">
      <c r="A20" s="2952" t="s">
        <v>3159</v>
      </c>
      <c r="B20" s="2952" t="s">
        <v>3094</v>
      </c>
      <c r="C20" s="2952" t="s">
        <v>3095</v>
      </c>
      <c r="D20" s="2952">
        <v>7013.22</v>
      </c>
      <c r="E20" s="2952">
        <v>19637.02</v>
      </c>
      <c r="F20" s="2953" t="s">
        <v>3144</v>
      </c>
      <c r="G20" s="2952">
        <f t="shared" si="0"/>
        <v>2.8</v>
      </c>
      <c r="H20" s="2952" t="s">
        <v>3097</v>
      </c>
      <c r="I20" s="2952" t="s">
        <v>3160</v>
      </c>
      <c r="J20" s="2952">
        <v>4780</v>
      </c>
      <c r="K20" s="2952">
        <v>5000</v>
      </c>
      <c r="L20" s="2952">
        <v>2546.21</v>
      </c>
      <c r="M20" s="2952">
        <v>4.5999999999999996</v>
      </c>
      <c r="N20" s="2952" t="s">
        <v>3161</v>
      </c>
    </row>
    <row r="21" spans="1:14" ht="24">
      <c r="A21" s="2952" t="s">
        <v>3162</v>
      </c>
      <c r="B21" s="2952" t="s">
        <v>3094</v>
      </c>
      <c r="C21" s="2952" t="s">
        <v>3095</v>
      </c>
      <c r="D21" s="2952">
        <v>63103.37</v>
      </c>
      <c r="E21" s="2952">
        <v>179942</v>
      </c>
      <c r="F21" s="2953" t="s">
        <v>3163</v>
      </c>
      <c r="G21" s="2952">
        <f t="shared" si="0"/>
        <v>2.85</v>
      </c>
      <c r="H21" s="2952" t="s">
        <v>3097</v>
      </c>
      <c r="I21" s="2952" t="s">
        <v>3164</v>
      </c>
      <c r="J21" s="2952">
        <v>53983</v>
      </c>
      <c r="K21" s="2952">
        <v>139983</v>
      </c>
      <c r="L21" s="2952">
        <v>7779.34</v>
      </c>
      <c r="M21" s="2952">
        <v>159.31</v>
      </c>
      <c r="N21" s="2952" t="s">
        <v>3165</v>
      </c>
    </row>
    <row r="22" spans="1:14" ht="24">
      <c r="A22" s="2952" t="s">
        <v>3166</v>
      </c>
      <c r="B22" s="2952" t="s">
        <v>3094</v>
      </c>
      <c r="C22" s="2952" t="s">
        <v>3095</v>
      </c>
      <c r="D22" s="2952">
        <v>54377.41</v>
      </c>
      <c r="E22" s="2952">
        <v>152256.79999999999</v>
      </c>
      <c r="F22" s="2953" t="s">
        <v>3120</v>
      </c>
      <c r="G22" s="2952">
        <f t="shared" si="0"/>
        <v>2.8</v>
      </c>
      <c r="H22" s="2952" t="s">
        <v>3097</v>
      </c>
      <c r="I22" s="2952" t="s">
        <v>3167</v>
      </c>
      <c r="J22" s="2952">
        <v>68516</v>
      </c>
      <c r="K22" s="2952">
        <v>167482</v>
      </c>
      <c r="L22" s="2952">
        <v>10999.96</v>
      </c>
      <c r="M22" s="2952">
        <v>144.44</v>
      </c>
      <c r="N22" s="2952" t="s">
        <v>3168</v>
      </c>
    </row>
    <row r="23" spans="1:14" ht="24">
      <c r="A23" s="2952" t="s">
        <v>3169</v>
      </c>
      <c r="B23" s="2952" t="s">
        <v>3094</v>
      </c>
      <c r="C23" s="2952" t="s">
        <v>3095</v>
      </c>
      <c r="D23" s="2952">
        <v>62514.85</v>
      </c>
      <c r="E23" s="2952">
        <v>156051.29999999999</v>
      </c>
      <c r="F23" s="2953" t="s">
        <v>3101</v>
      </c>
      <c r="G23" s="2952">
        <f t="shared" si="0"/>
        <v>2.5</v>
      </c>
      <c r="H23" s="2952" t="s">
        <v>3097</v>
      </c>
      <c r="I23" s="2952" t="s">
        <v>3170</v>
      </c>
      <c r="J23" s="2952">
        <v>56264</v>
      </c>
      <c r="K23" s="2952">
        <v>171656</v>
      </c>
      <c r="L23" s="2952">
        <v>10999.96</v>
      </c>
      <c r="M23" s="2952">
        <v>205.09</v>
      </c>
      <c r="N23" s="2952" t="s">
        <v>3171</v>
      </c>
    </row>
    <row r="24" spans="1:14" ht="24">
      <c r="A24" s="2952" t="s">
        <v>3172</v>
      </c>
      <c r="B24" s="2952" t="s">
        <v>3094</v>
      </c>
      <c r="C24" s="2952" t="s">
        <v>3095</v>
      </c>
      <c r="D24" s="2952">
        <v>16382.57</v>
      </c>
      <c r="E24" s="2952">
        <v>49147.71</v>
      </c>
      <c r="F24" s="2953" t="s">
        <v>3173</v>
      </c>
      <c r="G24" s="2952">
        <f t="shared" si="0"/>
        <v>3</v>
      </c>
      <c r="H24" s="2952" t="s">
        <v>3097</v>
      </c>
      <c r="I24" s="2952" t="s">
        <v>3174</v>
      </c>
      <c r="J24" s="2952">
        <v>40301</v>
      </c>
      <c r="K24" s="2952">
        <v>54063</v>
      </c>
      <c r="L24" s="2952">
        <v>11000.11</v>
      </c>
      <c r="M24" s="2952">
        <v>34.15</v>
      </c>
      <c r="N24" s="2952" t="s">
        <v>3151</v>
      </c>
    </row>
    <row r="25" spans="1:14" ht="24">
      <c r="A25" s="2952" t="s">
        <v>3175</v>
      </c>
      <c r="B25" s="2952" t="s">
        <v>3094</v>
      </c>
      <c r="C25" s="2952" t="s">
        <v>3095</v>
      </c>
      <c r="D25" s="2952">
        <v>30725.46</v>
      </c>
      <c r="E25" s="2952">
        <v>107539.1</v>
      </c>
      <c r="F25" s="2953" t="s">
        <v>3176</v>
      </c>
      <c r="G25" s="2952">
        <f t="shared" si="0"/>
        <v>3.5</v>
      </c>
      <c r="H25" s="2952" t="s">
        <v>3097</v>
      </c>
      <c r="I25" s="2952" t="s">
        <v>3174</v>
      </c>
      <c r="J25" s="2952">
        <v>88182</v>
      </c>
      <c r="K25" s="2952">
        <v>118300</v>
      </c>
      <c r="L25" s="2952">
        <v>11000.64</v>
      </c>
      <c r="M25" s="2952">
        <v>34.15</v>
      </c>
      <c r="N25" s="2952" t="s">
        <v>3151</v>
      </c>
    </row>
    <row r="26" spans="1:14" ht="24">
      <c r="A26" s="2952" t="s">
        <v>3177</v>
      </c>
      <c r="B26" s="2952" t="s">
        <v>3094</v>
      </c>
      <c r="C26" s="2952" t="s">
        <v>3095</v>
      </c>
      <c r="D26" s="2952">
        <v>17164.72</v>
      </c>
      <c r="E26" s="2952">
        <v>68658.880000000005</v>
      </c>
      <c r="F26" s="2953" t="s">
        <v>3178</v>
      </c>
      <c r="G26" s="2952">
        <f t="shared" si="0"/>
        <v>4</v>
      </c>
      <c r="H26" s="2952" t="s">
        <v>3097</v>
      </c>
      <c r="I26" s="2952" t="s">
        <v>3179</v>
      </c>
      <c r="J26" s="2952">
        <v>54241</v>
      </c>
      <c r="K26" s="2952">
        <v>75525</v>
      </c>
      <c r="L26" s="2952">
        <v>11000.03</v>
      </c>
      <c r="M26" s="2952">
        <v>39.24</v>
      </c>
      <c r="N26" s="2952" t="s">
        <v>3180</v>
      </c>
    </row>
    <row r="27" spans="1:14" ht="24">
      <c r="A27" s="2952" t="s">
        <v>3181</v>
      </c>
      <c r="B27" s="2952" t="s">
        <v>3094</v>
      </c>
      <c r="C27" s="2952" t="s">
        <v>3095</v>
      </c>
      <c r="D27" s="2952">
        <v>48894.11</v>
      </c>
      <c r="E27" s="2952">
        <v>146682.29999999999</v>
      </c>
      <c r="F27" s="2953" t="s">
        <v>3182</v>
      </c>
      <c r="G27" s="2952">
        <f t="shared" si="0"/>
        <v>3</v>
      </c>
      <c r="H27" s="2952" t="s">
        <v>3097</v>
      </c>
      <c r="I27" s="2952" t="s">
        <v>3183</v>
      </c>
      <c r="J27" s="2952">
        <v>117346</v>
      </c>
      <c r="K27" s="2952">
        <v>161351</v>
      </c>
      <c r="L27" s="2952">
        <v>11000.03</v>
      </c>
      <c r="M27" s="2952">
        <v>37.5</v>
      </c>
      <c r="N27" s="2952" t="s">
        <v>3184</v>
      </c>
    </row>
    <row r="28" spans="1:14" ht="24">
      <c r="A28" s="2952" t="s">
        <v>3185</v>
      </c>
      <c r="B28" s="2952" t="s">
        <v>3094</v>
      </c>
      <c r="C28" s="2952" t="s">
        <v>3095</v>
      </c>
      <c r="D28" s="2952">
        <v>57813.77</v>
      </c>
      <c r="E28" s="2952">
        <v>173441.3</v>
      </c>
      <c r="F28" s="2953" t="s">
        <v>3182</v>
      </c>
      <c r="G28" s="2952">
        <f t="shared" si="0"/>
        <v>3</v>
      </c>
      <c r="H28" s="2952" t="s">
        <v>3097</v>
      </c>
      <c r="I28" s="2952" t="s">
        <v>3183</v>
      </c>
      <c r="J28" s="2952">
        <v>138753</v>
      </c>
      <c r="K28" s="2952">
        <v>190786</v>
      </c>
      <c r="L28" s="2952">
        <v>11000.03</v>
      </c>
      <c r="M28" s="2952">
        <v>37.5</v>
      </c>
      <c r="N28" s="2952" t="s">
        <v>3186</v>
      </c>
    </row>
    <row r="29" spans="1:14" ht="24">
      <c r="A29" s="2952" t="s">
        <v>3187</v>
      </c>
      <c r="B29" s="2952" t="s">
        <v>3094</v>
      </c>
      <c r="C29" s="2952" t="s">
        <v>3095</v>
      </c>
      <c r="D29" s="2952">
        <v>97807.13</v>
      </c>
      <c r="E29" s="2952">
        <v>244517.8</v>
      </c>
      <c r="F29" s="2953" t="s">
        <v>3101</v>
      </c>
      <c r="G29" s="2952">
        <f t="shared" si="0"/>
        <v>2.5</v>
      </c>
      <c r="H29" s="2952" t="s">
        <v>3097</v>
      </c>
      <c r="I29" s="2952" t="s">
        <v>3188</v>
      </c>
      <c r="J29" s="2952">
        <v>41373</v>
      </c>
      <c r="K29" s="2952">
        <v>139200</v>
      </c>
      <c r="L29" s="2952">
        <v>5692.84</v>
      </c>
      <c r="M29" s="2952">
        <v>236.45</v>
      </c>
      <c r="N29" s="2952" t="s">
        <v>3189</v>
      </c>
    </row>
    <row r="30" spans="1:14" ht="24">
      <c r="A30" s="2952" t="s">
        <v>3190</v>
      </c>
      <c r="B30" s="2952" t="s">
        <v>3094</v>
      </c>
      <c r="C30" s="2952" t="s">
        <v>3095</v>
      </c>
      <c r="D30" s="2952">
        <v>39844.46</v>
      </c>
      <c r="E30" s="2952">
        <v>139455.6</v>
      </c>
      <c r="F30" s="2953" t="s">
        <v>3191</v>
      </c>
      <c r="G30" s="2952">
        <f t="shared" si="0"/>
        <v>3.5</v>
      </c>
      <c r="H30" s="2952" t="s">
        <v>3097</v>
      </c>
      <c r="I30" s="2952" t="s">
        <v>3192</v>
      </c>
      <c r="J30" s="2952">
        <v>50798</v>
      </c>
      <c r="K30" s="2952">
        <v>188500</v>
      </c>
      <c r="L30" s="2952">
        <v>13516.85</v>
      </c>
      <c r="M30" s="2952">
        <v>271.08</v>
      </c>
      <c r="N30" s="2952" t="s">
        <v>3180</v>
      </c>
    </row>
    <row r="31" spans="1:14" ht="36">
      <c r="A31" s="2952" t="s">
        <v>3193</v>
      </c>
      <c r="B31" s="2952" t="s">
        <v>3094</v>
      </c>
      <c r="C31" s="2952" t="s">
        <v>3095</v>
      </c>
      <c r="D31" s="2952">
        <v>43523.33</v>
      </c>
      <c r="E31" s="2952">
        <v>108808.3</v>
      </c>
      <c r="F31" s="2953" t="s">
        <v>3194</v>
      </c>
      <c r="G31" s="2952">
        <f t="shared" si="0"/>
        <v>2.5</v>
      </c>
      <c r="H31" s="2952" t="s">
        <v>3097</v>
      </c>
      <c r="I31" s="2952" t="s">
        <v>3195</v>
      </c>
      <c r="J31" s="2952">
        <v>55275</v>
      </c>
      <c r="K31" s="2952">
        <v>120000</v>
      </c>
      <c r="L31" s="2952">
        <v>11028.56</v>
      </c>
      <c r="M31" s="2952">
        <v>117.1</v>
      </c>
      <c r="N31" s="2952" t="s">
        <v>3196</v>
      </c>
    </row>
    <row r="32" spans="1:14" ht="24">
      <c r="A32" s="2952" t="s">
        <v>3197</v>
      </c>
      <c r="B32" s="2952" t="s">
        <v>3094</v>
      </c>
      <c r="C32" s="2952" t="s">
        <v>3095</v>
      </c>
      <c r="D32" s="2952">
        <v>58854.94</v>
      </c>
      <c r="E32" s="2952">
        <v>194221.3</v>
      </c>
      <c r="F32" s="2953" t="s">
        <v>3198</v>
      </c>
      <c r="G32" s="2952">
        <f t="shared" si="0"/>
        <v>3.3</v>
      </c>
      <c r="H32" s="2952" t="s">
        <v>3097</v>
      </c>
      <c r="I32" s="2952" t="s">
        <v>3199</v>
      </c>
      <c r="J32" s="2952">
        <v>90166</v>
      </c>
      <c r="K32" s="2952">
        <v>194200</v>
      </c>
      <c r="L32" s="2952">
        <v>9998.89</v>
      </c>
      <c r="M32" s="2952">
        <v>115.38</v>
      </c>
      <c r="N32" s="2952" t="s">
        <v>3200</v>
      </c>
    </row>
    <row r="33" spans="1:14" ht="24">
      <c r="A33" s="2952" t="s">
        <v>3201</v>
      </c>
      <c r="B33" s="2952" t="s">
        <v>3094</v>
      </c>
      <c r="C33" s="2952" t="s">
        <v>3095</v>
      </c>
      <c r="D33" s="2952">
        <v>53795.09</v>
      </c>
      <c r="E33" s="2952">
        <v>134487.70000000001</v>
      </c>
      <c r="F33" s="2953" t="s">
        <v>3202</v>
      </c>
      <c r="G33" s="2952">
        <f t="shared" si="0"/>
        <v>2.5</v>
      </c>
      <c r="H33" s="2952" t="s">
        <v>3097</v>
      </c>
      <c r="I33" s="2952" t="s">
        <v>3203</v>
      </c>
      <c r="J33" s="2952">
        <v>64178</v>
      </c>
      <c r="K33" s="2952">
        <v>147900</v>
      </c>
      <c r="L33" s="2952">
        <v>10997.29</v>
      </c>
      <c r="M33" s="2952">
        <v>130.44999999999999</v>
      </c>
      <c r="N33" s="2952" t="s">
        <v>3134</v>
      </c>
    </row>
    <row r="34" spans="1:14" ht="24">
      <c r="A34" s="2952" t="s">
        <v>3204</v>
      </c>
      <c r="B34" s="2952" t="s">
        <v>3094</v>
      </c>
      <c r="C34" s="2952" t="s">
        <v>3139</v>
      </c>
      <c r="D34" s="2952">
        <v>3698.58</v>
      </c>
      <c r="E34" s="2952">
        <v>9616.31</v>
      </c>
      <c r="F34" s="2953" t="s">
        <v>3205</v>
      </c>
      <c r="G34" s="2952">
        <f t="shared" si="0"/>
        <v>2.6</v>
      </c>
      <c r="H34" s="2952" t="s">
        <v>3097</v>
      </c>
      <c r="I34" s="2952" t="s">
        <v>3206</v>
      </c>
      <c r="J34" s="2952">
        <v>5500</v>
      </c>
      <c r="K34" s="2952">
        <v>10578</v>
      </c>
      <c r="L34" s="2952">
        <v>11000.05</v>
      </c>
      <c r="M34" s="2952">
        <v>92.33</v>
      </c>
      <c r="N34" s="2952" t="s">
        <v>3207</v>
      </c>
    </row>
    <row r="35" spans="1:14" ht="24">
      <c r="A35" s="2952" t="s">
        <v>3208</v>
      </c>
      <c r="B35" s="2952" t="s">
        <v>3094</v>
      </c>
      <c r="C35" s="2952" t="s">
        <v>3095</v>
      </c>
      <c r="D35" s="2952">
        <v>51836.480000000003</v>
      </c>
      <c r="E35" s="2952">
        <v>181427.7</v>
      </c>
      <c r="F35" s="2953" t="s">
        <v>3209</v>
      </c>
      <c r="G35" s="2952">
        <f t="shared" si="0"/>
        <v>3.5</v>
      </c>
      <c r="H35" s="2952" t="s">
        <v>3097</v>
      </c>
      <c r="I35" s="2952" t="s">
        <v>3210</v>
      </c>
      <c r="J35" s="2952">
        <v>79828</v>
      </c>
      <c r="K35" s="2952">
        <v>108857</v>
      </c>
      <c r="L35" s="2952">
        <v>6000.02</v>
      </c>
      <c r="M35" s="2952">
        <v>36.36</v>
      </c>
      <c r="N35" s="2952" t="s">
        <v>3211</v>
      </c>
    </row>
    <row r="36" spans="1:14" ht="24">
      <c r="A36" s="2952" t="s">
        <v>3212</v>
      </c>
      <c r="B36" s="2952" t="s">
        <v>3094</v>
      </c>
      <c r="C36" s="2952" t="s">
        <v>3095</v>
      </c>
      <c r="D36" s="2952">
        <v>21323.24</v>
      </c>
      <c r="E36" s="2952">
        <v>74631.34</v>
      </c>
      <c r="F36" s="2953" t="s">
        <v>3191</v>
      </c>
      <c r="G36" s="2952">
        <f t="shared" si="0"/>
        <v>3.5</v>
      </c>
      <c r="H36" s="2952" t="s">
        <v>3097</v>
      </c>
      <c r="I36" s="2952" t="s">
        <v>3213</v>
      </c>
      <c r="J36" s="2952">
        <v>11053</v>
      </c>
      <c r="K36" s="2952">
        <v>30153</v>
      </c>
      <c r="L36" s="2952">
        <v>4040.26</v>
      </c>
      <c r="M36" s="2952">
        <v>172.8</v>
      </c>
      <c r="N36" s="2952" t="s">
        <v>3214</v>
      </c>
    </row>
    <row r="37" spans="1:14" ht="24">
      <c r="A37" s="2952" t="s">
        <v>3215</v>
      </c>
      <c r="B37" s="2952" t="s">
        <v>3094</v>
      </c>
      <c r="C37" s="2952" t="s">
        <v>3095</v>
      </c>
      <c r="D37" s="2952">
        <v>35195.870000000003</v>
      </c>
      <c r="E37" s="2952">
        <v>105587.6</v>
      </c>
      <c r="F37" s="2953" t="s">
        <v>3216</v>
      </c>
      <c r="G37" s="2952">
        <f t="shared" si="0"/>
        <v>3</v>
      </c>
      <c r="H37" s="2952" t="s">
        <v>3097</v>
      </c>
      <c r="I37" s="2952" t="s">
        <v>3217</v>
      </c>
      <c r="J37" s="2952">
        <v>26397</v>
      </c>
      <c r="K37" s="2952">
        <v>57000</v>
      </c>
      <c r="L37" s="2952">
        <v>5398.35</v>
      </c>
      <c r="M37" s="2952">
        <v>115.93</v>
      </c>
      <c r="N37" s="2952" t="s">
        <v>3218</v>
      </c>
    </row>
    <row r="38" spans="1:14" ht="24">
      <c r="A38" s="2952" t="s">
        <v>3219</v>
      </c>
      <c r="B38" s="2952" t="s">
        <v>3094</v>
      </c>
      <c r="C38" s="2952" t="s">
        <v>3095</v>
      </c>
      <c r="D38" s="2952">
        <v>64263.73</v>
      </c>
      <c r="E38" s="2952">
        <v>192791.2</v>
      </c>
      <c r="F38" s="2953" t="s">
        <v>3220</v>
      </c>
      <c r="G38" s="2952">
        <f t="shared" si="0"/>
        <v>3</v>
      </c>
      <c r="H38" s="2952" t="s">
        <v>3097</v>
      </c>
      <c r="I38" s="2952" t="s">
        <v>3217</v>
      </c>
      <c r="J38" s="2952">
        <v>73261</v>
      </c>
      <c r="K38" s="2952">
        <v>166861</v>
      </c>
      <c r="L38" s="2952">
        <v>8655.01</v>
      </c>
      <c r="M38" s="2952">
        <v>127.76</v>
      </c>
      <c r="N38" s="2952" t="s">
        <v>3165</v>
      </c>
    </row>
    <row r="39" spans="1:14" ht="24">
      <c r="A39" s="2952" t="s">
        <v>3221</v>
      </c>
      <c r="B39" s="2952" t="s">
        <v>3094</v>
      </c>
      <c r="C39" s="2952" t="s">
        <v>3095</v>
      </c>
      <c r="D39" s="2952">
        <v>48054.67</v>
      </c>
      <c r="E39" s="2952">
        <v>168191.3</v>
      </c>
      <c r="F39" s="2953" t="s">
        <v>3222</v>
      </c>
      <c r="G39" s="2952">
        <f t="shared" si="0"/>
        <v>3.5</v>
      </c>
      <c r="H39" s="2952" t="s">
        <v>3097</v>
      </c>
      <c r="I39" s="2952" t="s">
        <v>3223</v>
      </c>
      <c r="J39" s="2952">
        <v>32624</v>
      </c>
      <c r="K39" s="2952">
        <v>116624</v>
      </c>
      <c r="L39" s="2952">
        <v>6934.01</v>
      </c>
      <c r="M39" s="2952">
        <v>257.48</v>
      </c>
      <c r="N39" s="2952" t="s">
        <v>3165</v>
      </c>
    </row>
    <row r="40" spans="1:14" ht="24">
      <c r="A40" s="2952" t="s">
        <v>3224</v>
      </c>
      <c r="B40" s="2952" t="s">
        <v>3094</v>
      </c>
      <c r="C40" s="2952" t="s">
        <v>3095</v>
      </c>
      <c r="D40" s="2952">
        <v>18175.400000000001</v>
      </c>
      <c r="E40" s="2952">
        <v>54526.2</v>
      </c>
      <c r="F40" s="2953" t="s">
        <v>3216</v>
      </c>
      <c r="G40" s="2952">
        <f t="shared" si="0"/>
        <v>3</v>
      </c>
      <c r="H40" s="2952" t="s">
        <v>3097</v>
      </c>
      <c r="I40" s="2952" t="s">
        <v>3225</v>
      </c>
      <c r="J40" s="2952">
        <v>17483</v>
      </c>
      <c r="K40" s="2952">
        <v>34483</v>
      </c>
      <c r="L40" s="2952">
        <v>6324.11</v>
      </c>
      <c r="M40" s="2952">
        <v>97.24</v>
      </c>
      <c r="N40" s="2952" t="s">
        <v>3226</v>
      </c>
    </row>
    <row r="41" spans="1:14" ht="24">
      <c r="A41" s="2952" t="s">
        <v>3227</v>
      </c>
      <c r="B41" s="2952" t="s">
        <v>3094</v>
      </c>
      <c r="C41" s="2952" t="s">
        <v>3095</v>
      </c>
      <c r="D41" s="2952">
        <v>19192.75</v>
      </c>
      <c r="E41" s="2952">
        <v>57578.25</v>
      </c>
      <c r="F41" s="2953" t="s">
        <v>3216</v>
      </c>
      <c r="G41" s="2952">
        <f t="shared" si="0"/>
        <v>3</v>
      </c>
      <c r="H41" s="2952" t="s">
        <v>3097</v>
      </c>
      <c r="I41" s="2952" t="s">
        <v>3228</v>
      </c>
      <c r="J41" s="2952">
        <v>9812</v>
      </c>
      <c r="K41" s="2952">
        <v>21412</v>
      </c>
      <c r="L41" s="2952">
        <v>3718.76</v>
      </c>
      <c r="M41" s="2952">
        <v>118.22</v>
      </c>
      <c r="N41" s="2952" t="s">
        <v>3229</v>
      </c>
    </row>
    <row r="42" spans="1:14" ht="24">
      <c r="A42" s="2952" t="s">
        <v>3230</v>
      </c>
      <c r="B42" s="2952" t="s">
        <v>3094</v>
      </c>
      <c r="C42" s="2952" t="s">
        <v>3095</v>
      </c>
      <c r="D42" s="2952">
        <v>16544.66</v>
      </c>
      <c r="E42" s="2952">
        <v>59560.78</v>
      </c>
      <c r="F42" s="2953" t="s">
        <v>3231</v>
      </c>
      <c r="G42" s="2952">
        <f t="shared" si="0"/>
        <v>3.6</v>
      </c>
      <c r="H42" s="2952" t="s">
        <v>3097</v>
      </c>
      <c r="I42" s="2952" t="s">
        <v>3232</v>
      </c>
      <c r="J42" s="2952">
        <v>22737</v>
      </c>
      <c r="K42" s="2952">
        <v>35937</v>
      </c>
      <c r="L42" s="2952">
        <v>6033.67</v>
      </c>
      <c r="M42" s="2952">
        <v>58.06</v>
      </c>
      <c r="N42" s="2952" t="s">
        <v>3233</v>
      </c>
    </row>
    <row r="43" spans="1:14" ht="96">
      <c r="A43" s="2952" t="s">
        <v>3234</v>
      </c>
      <c r="B43" s="2952" t="s">
        <v>3094</v>
      </c>
      <c r="C43" s="2952" t="s">
        <v>3095</v>
      </c>
      <c r="D43" s="2952">
        <v>40242.47</v>
      </c>
      <c r="E43" s="2952">
        <v>106642.5</v>
      </c>
      <c r="F43" s="2953" t="s">
        <v>3235</v>
      </c>
      <c r="G43" s="2952">
        <f t="shared" si="0"/>
        <v>2.65</v>
      </c>
      <c r="H43" s="2952" t="s">
        <v>3097</v>
      </c>
      <c r="I43" s="2952" t="s">
        <v>3236</v>
      </c>
      <c r="J43" s="2952">
        <v>44790</v>
      </c>
      <c r="K43" s="2952">
        <v>85290</v>
      </c>
      <c r="L43" s="2952">
        <v>7997.75</v>
      </c>
      <c r="M43" s="2952">
        <v>90.42</v>
      </c>
      <c r="N43" s="2952" t="s">
        <v>3237</v>
      </c>
    </row>
    <row r="44" spans="1:14" ht="24">
      <c r="A44" s="2952" t="s">
        <v>3238</v>
      </c>
      <c r="B44" s="2952" t="s">
        <v>3094</v>
      </c>
      <c r="C44" s="2952" t="s">
        <v>3095</v>
      </c>
      <c r="D44" s="2952">
        <v>4685.8999999999996</v>
      </c>
      <c r="E44" s="2952">
        <v>16400.650000000001</v>
      </c>
      <c r="F44" s="2953" t="s">
        <v>3209</v>
      </c>
      <c r="G44" s="2952">
        <f t="shared" si="0"/>
        <v>3.5</v>
      </c>
      <c r="H44" s="2952" t="s">
        <v>3097</v>
      </c>
      <c r="I44" s="2952" t="s">
        <v>3239</v>
      </c>
      <c r="J44" s="2952">
        <v>3772.15</v>
      </c>
      <c r="K44" s="2952">
        <v>12052.14</v>
      </c>
      <c r="L44" s="2952">
        <v>7348.57</v>
      </c>
      <c r="M44" s="2952">
        <v>219.5</v>
      </c>
      <c r="N44" s="2952" t="s">
        <v>3240</v>
      </c>
    </row>
    <row r="45" spans="1:14" ht="24">
      <c r="A45" s="2952" t="s">
        <v>3241</v>
      </c>
      <c r="B45" s="2952" t="s">
        <v>3094</v>
      </c>
      <c r="C45" s="2952" t="s">
        <v>3095</v>
      </c>
      <c r="D45" s="2952">
        <v>68731.91</v>
      </c>
      <c r="E45" s="2952">
        <v>171829.8</v>
      </c>
      <c r="F45" s="2953" t="s">
        <v>3202</v>
      </c>
      <c r="G45" s="2952">
        <f t="shared" si="0"/>
        <v>2.5</v>
      </c>
      <c r="H45" s="2952" t="s">
        <v>3097</v>
      </c>
      <c r="I45" s="2952" t="s">
        <v>3242</v>
      </c>
      <c r="J45" s="2952">
        <v>65295</v>
      </c>
      <c r="K45" s="2952">
        <v>175188</v>
      </c>
      <c r="L45" s="2952">
        <v>10195.44</v>
      </c>
      <c r="M45" s="2952">
        <v>168.3</v>
      </c>
      <c r="N45" s="2952" t="s">
        <v>3243</v>
      </c>
    </row>
    <row r="46" spans="1:14" ht="24">
      <c r="A46" s="2952" t="s">
        <v>3244</v>
      </c>
      <c r="B46" s="2952" t="s">
        <v>3094</v>
      </c>
      <c r="C46" s="2952" t="s">
        <v>3095</v>
      </c>
      <c r="D46" s="2952">
        <v>54648.06</v>
      </c>
      <c r="E46" s="2952">
        <v>163944.20000000001</v>
      </c>
      <c r="F46" s="2953" t="s">
        <v>3245</v>
      </c>
      <c r="G46" s="2952">
        <f t="shared" si="0"/>
        <v>3</v>
      </c>
      <c r="H46" s="2952" t="s">
        <v>3097</v>
      </c>
      <c r="I46" s="2952" t="s">
        <v>3246</v>
      </c>
      <c r="J46" s="2952">
        <v>57086</v>
      </c>
      <c r="K46" s="2952">
        <v>181696</v>
      </c>
      <c r="L46" s="2952">
        <v>11082.79</v>
      </c>
      <c r="M46" s="2952">
        <v>218.28</v>
      </c>
      <c r="N46" s="2952" t="s">
        <v>3247</v>
      </c>
    </row>
    <row r="47" spans="1:14" ht="24">
      <c r="A47" s="2952" t="s">
        <v>3248</v>
      </c>
      <c r="B47" s="2952" t="s">
        <v>3094</v>
      </c>
      <c r="C47" s="2952" t="s">
        <v>3095</v>
      </c>
      <c r="D47" s="2952">
        <v>10913.8</v>
      </c>
      <c r="E47" s="2952">
        <v>38198.300000000003</v>
      </c>
      <c r="F47" s="2953" t="s">
        <v>3249</v>
      </c>
      <c r="G47" s="2952">
        <f t="shared" si="0"/>
        <v>3.5</v>
      </c>
      <c r="H47" s="2952" t="s">
        <v>3097</v>
      </c>
      <c r="I47" s="2952" t="s">
        <v>3250</v>
      </c>
      <c r="J47" s="2952">
        <v>13801</v>
      </c>
      <c r="K47" s="2952">
        <v>32650</v>
      </c>
      <c r="L47" s="2952">
        <v>8547.5</v>
      </c>
      <c r="M47" s="2952">
        <v>136.58000000000001</v>
      </c>
      <c r="N47" s="2952" t="s">
        <v>3251</v>
      </c>
    </row>
    <row r="48" spans="1:14" ht="24">
      <c r="A48" s="2952" t="s">
        <v>3252</v>
      </c>
      <c r="B48" s="2952" t="s">
        <v>3094</v>
      </c>
      <c r="C48" s="2952" t="s">
        <v>3095</v>
      </c>
      <c r="D48" s="2952">
        <v>92318.7</v>
      </c>
      <c r="E48" s="2952">
        <v>304651.7</v>
      </c>
      <c r="F48" s="2953" t="s">
        <v>3253</v>
      </c>
      <c r="G48" s="2952">
        <f t="shared" si="0"/>
        <v>3.3</v>
      </c>
      <c r="H48" s="2952" t="s">
        <v>3097</v>
      </c>
      <c r="I48" s="2952" t="s">
        <v>3254</v>
      </c>
      <c r="J48" s="2952">
        <v>115768</v>
      </c>
      <c r="K48" s="2952">
        <v>343000</v>
      </c>
      <c r="L48" s="2952">
        <v>11258.76</v>
      </c>
      <c r="M48" s="2952">
        <v>196.28</v>
      </c>
      <c r="N48" s="2952" t="s">
        <v>3255</v>
      </c>
    </row>
    <row r="49" spans="1:14" ht="24">
      <c r="A49" s="2952" t="s">
        <v>3256</v>
      </c>
      <c r="B49" s="2952" t="s">
        <v>3094</v>
      </c>
      <c r="C49" s="2952" t="s">
        <v>3095</v>
      </c>
      <c r="D49" s="2952">
        <v>27230.31</v>
      </c>
      <c r="E49" s="2952">
        <v>68075.78</v>
      </c>
      <c r="F49" s="2953" t="s">
        <v>3101</v>
      </c>
      <c r="G49" s="2952">
        <f t="shared" si="0"/>
        <v>2.5</v>
      </c>
      <c r="H49" s="2952" t="s">
        <v>3097</v>
      </c>
      <c r="I49" s="2952" t="s">
        <v>3254</v>
      </c>
      <c r="J49" s="2952">
        <v>25869</v>
      </c>
      <c r="K49" s="2952">
        <v>73400</v>
      </c>
      <c r="L49" s="2952">
        <v>10782.1</v>
      </c>
      <c r="M49" s="2952">
        <v>183.74</v>
      </c>
      <c r="N49" s="2952" t="s">
        <v>3189</v>
      </c>
    </row>
    <row r="50" spans="1:14" ht="24">
      <c r="A50" s="2952" t="s">
        <v>3257</v>
      </c>
      <c r="B50" s="2952" t="s">
        <v>3094</v>
      </c>
      <c r="C50" s="2952" t="s">
        <v>3095</v>
      </c>
      <c r="D50" s="2952">
        <v>27414.7</v>
      </c>
      <c r="E50" s="2952">
        <v>82244.100000000006</v>
      </c>
      <c r="F50" s="2953" t="s">
        <v>3216</v>
      </c>
      <c r="G50" s="2952">
        <f t="shared" si="0"/>
        <v>3</v>
      </c>
      <c r="H50" s="2952" t="s">
        <v>3097</v>
      </c>
      <c r="I50" s="2952" t="s">
        <v>3258</v>
      </c>
      <c r="J50" s="2952">
        <v>16449</v>
      </c>
      <c r="K50" s="2952">
        <v>16449</v>
      </c>
      <c r="L50" s="2952">
        <v>2000.01</v>
      </c>
      <c r="M50" s="2952">
        <v>0</v>
      </c>
      <c r="N50" s="2952" t="s">
        <v>3259</v>
      </c>
    </row>
    <row r="51" spans="1:14" ht="24">
      <c r="A51" s="2952" t="s">
        <v>3260</v>
      </c>
      <c r="B51" s="2952" t="s">
        <v>3094</v>
      </c>
      <c r="C51" s="2952" t="s">
        <v>3095</v>
      </c>
      <c r="D51" s="2952">
        <v>112008.4</v>
      </c>
      <c r="E51" s="2952">
        <v>336025.1</v>
      </c>
      <c r="F51" s="2953" t="s">
        <v>3216</v>
      </c>
      <c r="G51" s="2952">
        <f t="shared" si="0"/>
        <v>3</v>
      </c>
      <c r="H51" s="2952" t="s">
        <v>3097</v>
      </c>
      <c r="I51" s="2952" t="s">
        <v>3261</v>
      </c>
      <c r="J51" s="2952">
        <v>56157</v>
      </c>
      <c r="K51" s="2952">
        <v>78957</v>
      </c>
      <c r="L51" s="2952">
        <v>2349.73</v>
      </c>
      <c r="M51" s="2952">
        <v>40.6</v>
      </c>
      <c r="N51" s="2952" t="s">
        <v>3262</v>
      </c>
    </row>
  </sheetData>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2337</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2" t="s">
        <v>2651</v>
      </c>
      <c r="D4" s="3193"/>
      <c r="E4" s="3194" t="s">
        <v>2652</v>
      </c>
      <c r="F4" s="3195"/>
      <c r="G4" s="3192" t="s">
        <v>2653</v>
      </c>
      <c r="H4" s="3193"/>
      <c r="I4" s="3192" t="s">
        <v>2654</v>
      </c>
      <c r="J4" s="3193"/>
      <c r="K4" s="610" t="s">
        <v>2655</v>
      </c>
      <c r="L4" s="1133"/>
      <c r="M4" s="1134"/>
      <c r="N4" s="1134"/>
      <c r="O4" s="1134"/>
      <c r="P4" s="3196" t="s">
        <v>2656</v>
      </c>
      <c r="Q4" s="3197"/>
      <c r="R4" s="3179" t="s">
        <v>2652</v>
      </c>
      <c r="S4" s="3180"/>
      <c r="T4" s="3179" t="s">
        <v>2653</v>
      </c>
      <c r="U4" s="3180"/>
      <c r="V4" s="3204" t="s">
        <v>2654</v>
      </c>
      <c r="W4" s="3204"/>
      <c r="X4" s="1816"/>
      <c r="Y4" s="3179" t="s">
        <v>2656</v>
      </c>
      <c r="Z4" s="3180"/>
      <c r="AA4" s="3174" t="s">
        <v>2652</v>
      </c>
      <c r="AB4" s="3175" t="s">
        <v>2653</v>
      </c>
      <c r="AC4" s="3174" t="s">
        <v>2654</v>
      </c>
    </row>
    <row r="5" spans="1:29" ht="15">
      <c r="A5" s="404"/>
      <c r="B5" s="405"/>
      <c r="C5" s="3185" t="s">
        <v>2547</v>
      </c>
      <c r="D5" s="3186"/>
      <c r="E5" s="3183" t="s">
        <v>2548</v>
      </c>
      <c r="F5" s="3184"/>
      <c r="G5" s="3185" t="s">
        <v>2549</v>
      </c>
      <c r="H5" s="3186"/>
      <c r="I5" s="3185" t="s">
        <v>2550</v>
      </c>
      <c r="J5" s="3186"/>
      <c r="K5" s="610"/>
      <c r="L5" s="1133"/>
      <c r="M5" s="1134"/>
      <c r="N5" s="1134"/>
      <c r="O5" s="1134"/>
      <c r="P5" s="3198"/>
      <c r="Q5" s="3199"/>
      <c r="R5" s="3181"/>
      <c r="S5" s="3182"/>
      <c r="T5" s="3181"/>
      <c r="U5" s="3182"/>
      <c r="V5" s="3204"/>
      <c r="W5" s="3204"/>
      <c r="X5" s="1816"/>
      <c r="Y5" s="3181"/>
      <c r="Z5" s="3182"/>
      <c r="AA5" s="3175"/>
      <c r="AB5" s="3175"/>
      <c r="AC5" s="3175"/>
    </row>
    <row r="6" spans="1:29" ht="15.75" thickBot="1">
      <c r="A6" s="406"/>
      <c r="B6" s="407"/>
      <c r="C6" s="3240" t="s">
        <v>2802</v>
      </c>
      <c r="D6" s="3241"/>
      <c r="E6" s="3242" t="s">
        <v>2802</v>
      </c>
      <c r="F6" s="3243"/>
      <c r="G6" s="3240" t="s">
        <v>2802</v>
      </c>
      <c r="H6" s="3241"/>
      <c r="I6" s="3240" t="s">
        <v>2802</v>
      </c>
      <c r="J6" s="3241"/>
      <c r="K6" s="610" t="s">
        <v>2552</v>
      </c>
      <c r="L6" s="1133"/>
      <c r="M6" s="1134"/>
      <c r="N6" s="1134"/>
      <c r="O6" s="1134"/>
      <c r="P6" s="3200"/>
      <c r="Q6" s="3201"/>
      <c r="R6" s="3181"/>
      <c r="S6" s="3182"/>
      <c r="T6" s="3202"/>
      <c r="U6" s="3203"/>
      <c r="V6" s="3204"/>
      <c r="W6" s="3204"/>
      <c r="X6" s="1816"/>
      <c r="Y6" s="3202"/>
      <c r="Z6" s="3203"/>
      <c r="AA6" s="3176"/>
      <c r="AB6" s="3176"/>
      <c r="AC6" s="3176"/>
    </row>
    <row r="7" spans="1:29" s="117" customFormat="1" ht="15.75" thickBot="1">
      <c r="A7" s="408" t="s">
        <v>2553</v>
      </c>
      <c r="B7" s="409"/>
      <c r="C7" s="410">
        <f>'数据-取费表'!B2</f>
        <v>43175</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77" t="s">
        <v>2554</v>
      </c>
      <c r="Q7" s="3205"/>
      <c r="R7" s="770" t="s">
        <v>17</v>
      </c>
      <c r="S7" s="771">
        <f t="shared" ref="S7:S15" si="0">F7</f>
        <v>0</v>
      </c>
      <c r="T7" s="770" t="s">
        <v>17</v>
      </c>
      <c r="U7" s="771">
        <f t="shared" ref="U7:U15" si="1">H7</f>
        <v>0</v>
      </c>
      <c r="V7" s="770" t="s">
        <v>17</v>
      </c>
      <c r="W7" s="771">
        <f t="shared" ref="W7:W15" si="2">J7</f>
        <v>0</v>
      </c>
      <c r="X7" s="772"/>
      <c r="Y7" s="3177" t="s">
        <v>2554</v>
      </c>
      <c r="Z7" s="3178"/>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7" t="s">
        <v>2557</v>
      </c>
      <c r="Q8" s="3178"/>
      <c r="R8" s="770" t="s">
        <v>17</v>
      </c>
      <c r="S8" s="771">
        <f t="shared" si="0"/>
        <v>0</v>
      </c>
      <c r="T8" s="770" t="s">
        <v>17</v>
      </c>
      <c r="U8" s="771">
        <f t="shared" si="1"/>
        <v>0</v>
      </c>
      <c r="V8" s="770" t="s">
        <v>17</v>
      </c>
      <c r="W8" s="771">
        <f t="shared" si="2"/>
        <v>0</v>
      </c>
      <c r="X8" s="772"/>
      <c r="Y8" s="3177" t="s">
        <v>2557</v>
      </c>
      <c r="Z8" s="3178"/>
      <c r="AA8" s="773" t="e">
        <f t="shared" ref="AA8:AA40" si="3">D8/F8</f>
        <v>#DIV/0!</v>
      </c>
      <c r="AB8" s="773" t="e">
        <f t="shared" ref="AB8:AB40" si="4">D8/H8</f>
        <v>#DIV/0!</v>
      </c>
      <c r="AC8" s="773" t="e">
        <f t="shared" ref="AC8:AC40" si="5">D8/J8</f>
        <v>#DIV/0!</v>
      </c>
    </row>
    <row r="9" spans="1:29" s="117" customFormat="1">
      <c r="A9" s="415" t="s">
        <v>2558</v>
      </c>
      <c r="B9" s="71" t="s">
        <v>2559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09" t="s">
        <v>2560</v>
      </c>
      <c r="Q9" s="1798" t="str">
        <f t="shared" ref="Q9:Q15" si="6">B9</f>
        <v>用途</v>
      </c>
      <c r="R9" s="770" t="s">
        <v>17</v>
      </c>
      <c r="S9" s="771">
        <f t="shared" si="0"/>
        <v>100</v>
      </c>
      <c r="T9" s="770" t="s">
        <v>17</v>
      </c>
      <c r="U9" s="771">
        <f t="shared" si="1"/>
        <v>100</v>
      </c>
      <c r="V9" s="770" t="s">
        <v>17</v>
      </c>
      <c r="W9" s="771">
        <f t="shared" si="2"/>
        <v>100</v>
      </c>
      <c r="X9" s="772"/>
      <c r="Y9" s="3020"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209"/>
      <c r="Q10" s="1798" t="str">
        <f t="shared" si="6"/>
        <v>土地使用年限（年）</v>
      </c>
      <c r="R10" s="770" t="s">
        <v>17</v>
      </c>
      <c r="S10" s="771">
        <f t="shared" si="0"/>
        <v>104</v>
      </c>
      <c r="T10" s="770" t="s">
        <v>17</v>
      </c>
      <c r="U10" s="771">
        <f t="shared" si="1"/>
        <v>104</v>
      </c>
      <c r="V10" s="770" t="s">
        <v>17</v>
      </c>
      <c r="W10" s="771">
        <f t="shared" si="2"/>
        <v>104</v>
      </c>
      <c r="X10" s="772"/>
      <c r="Y10" s="3020"/>
      <c r="Z10" s="55" t="str">
        <f t="shared" si="7"/>
        <v>土地使用年限（年）</v>
      </c>
      <c r="AA10" s="773">
        <f t="shared" si="3"/>
        <v>0.96153846153846156</v>
      </c>
      <c r="AB10" s="773">
        <f t="shared" si="4"/>
        <v>0.96153846153846156</v>
      </c>
      <c r="AC10" s="773">
        <f t="shared" si="5"/>
        <v>0.96153846153846156</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2564</v>
      </c>
      <c r="B15" s="629" t="s">
        <v>2803</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1" t="s">
        <v>2565</v>
      </c>
      <c r="Q15" s="1813" t="str">
        <f t="shared" si="6"/>
        <v>产业集聚程度</v>
      </c>
      <c r="R15" s="774" t="s">
        <v>17</v>
      </c>
      <c r="S15" s="775">
        <f t="shared" si="0"/>
        <v>100</v>
      </c>
      <c r="T15" s="774" t="s">
        <v>17</v>
      </c>
      <c r="U15" s="775">
        <f t="shared" si="1"/>
        <v>100</v>
      </c>
      <c r="V15" s="774" t="s">
        <v>17</v>
      </c>
      <c r="W15" s="775">
        <f t="shared" si="2"/>
        <v>100</v>
      </c>
      <c r="X15" s="1816"/>
      <c r="Y15" s="3211" t="s">
        <v>2565</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12"/>
      <c r="Q16" s="1813"/>
      <c r="R16" s="774"/>
      <c r="S16" s="775"/>
      <c r="T16" s="774"/>
      <c r="U16" s="775"/>
      <c r="V16" s="774"/>
      <c r="W16" s="775"/>
      <c r="X16" s="1816"/>
      <c r="Y16" s="3212"/>
      <c r="Z16" s="1817"/>
      <c r="AA16" s="1814">
        <v>1</v>
      </c>
      <c r="AB16" s="1814">
        <v>1</v>
      </c>
      <c r="AC16" s="1814">
        <v>1</v>
      </c>
    </row>
    <row r="17" spans="1:29" ht="85.5">
      <c r="A17" s="428"/>
      <c r="B17" s="631" t="s">
        <v>2714</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2"/>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12"/>
      <c r="Q18" s="1813"/>
      <c r="R18" s="774"/>
      <c r="S18" s="775"/>
      <c r="T18" s="774"/>
      <c r="U18" s="775"/>
      <c r="V18" s="774"/>
      <c r="W18" s="775"/>
      <c r="X18" s="1816"/>
      <c r="Y18" s="3212"/>
      <c r="Z18" s="1817"/>
      <c r="AA18" s="1814">
        <v>1</v>
      </c>
      <c r="AB18" s="1814">
        <v>1</v>
      </c>
      <c r="AC18" s="1814">
        <v>1</v>
      </c>
    </row>
    <row r="19" spans="1:29" ht="15">
      <c r="A19" s="428"/>
      <c r="B19" s="631" t="s">
        <v>2753</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2"/>
      <c r="Q19" s="1813" t="str">
        <f t="shared" ref="Q19:Q33" si="8">B19</f>
        <v>区域土地利用方向</v>
      </c>
      <c r="R19" s="774" t="s">
        <v>17</v>
      </c>
      <c r="S19" s="775">
        <f>F19</f>
        <v>100</v>
      </c>
      <c r="T19" s="774" t="s">
        <v>17</v>
      </c>
      <c r="U19" s="775">
        <f>H19</f>
        <v>100</v>
      </c>
      <c r="V19" s="774" t="s">
        <v>17</v>
      </c>
      <c r="W19" s="775">
        <f>J19</f>
        <v>100</v>
      </c>
      <c r="X19" s="1816"/>
      <c r="Y19" s="3212"/>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12"/>
      <c r="Q20" s="1813"/>
      <c r="R20" s="774"/>
      <c r="S20" s="775"/>
      <c r="T20" s="774"/>
      <c r="U20" s="775"/>
      <c r="V20" s="774"/>
      <c r="W20" s="775"/>
      <c r="X20" s="1816"/>
      <c r="Y20" s="3212"/>
      <c r="Z20" s="1817"/>
      <c r="AA20" s="1814"/>
      <c r="AB20" s="1814"/>
      <c r="AC20" s="1814"/>
    </row>
    <row r="21" spans="1:29" ht="71.25">
      <c r="A21" s="404"/>
      <c r="B21" s="631" t="s">
        <v>2804</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2"/>
      <c r="Q21" s="1813" t="str">
        <f t="shared" si="8"/>
        <v>环境状况</v>
      </c>
      <c r="R21" s="774" t="s">
        <v>17</v>
      </c>
      <c r="S21" s="775">
        <f>F21</f>
        <v>100</v>
      </c>
      <c r="T21" s="774" t="s">
        <v>17</v>
      </c>
      <c r="U21" s="775">
        <f>H21</f>
        <v>100</v>
      </c>
      <c r="V21" s="774" t="s">
        <v>17</v>
      </c>
      <c r="W21" s="775">
        <f>J21</f>
        <v>100</v>
      </c>
      <c r="X21" s="1816"/>
      <c r="Y21" s="3212"/>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12"/>
      <c r="Q22" s="1813"/>
      <c r="R22" s="774"/>
      <c r="S22" s="775"/>
      <c r="T22" s="774"/>
      <c r="U22" s="775"/>
      <c r="V22" s="774"/>
      <c r="W22" s="775"/>
      <c r="X22" s="1816"/>
      <c r="Y22" s="3212"/>
      <c r="Z22" s="1817"/>
      <c r="AA22" s="1814">
        <v>1</v>
      </c>
      <c r="AB22" s="1814">
        <v>1</v>
      </c>
      <c r="AC22" s="1814">
        <v>1</v>
      </c>
    </row>
    <row r="23" spans="1:29" s="117" customFormat="1" ht="42.75">
      <c r="A23" s="649"/>
      <c r="B23" s="633" t="s">
        <v>2659</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2"/>
      <c r="Q23" s="1798" t="str">
        <f t="shared" si="8"/>
        <v>公共配套设施</v>
      </c>
      <c r="R23" s="770" t="s">
        <v>17</v>
      </c>
      <c r="S23" s="771">
        <f>F23</f>
        <v>100</v>
      </c>
      <c r="T23" s="770" t="s">
        <v>17</v>
      </c>
      <c r="U23" s="771">
        <f>H23</f>
        <v>100</v>
      </c>
      <c r="V23" s="770" t="s">
        <v>17</v>
      </c>
      <c r="W23" s="771">
        <f>J23</f>
        <v>100</v>
      </c>
      <c r="X23" s="772"/>
      <c r="Y23" s="3212"/>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212"/>
      <c r="Q24" s="1798"/>
      <c r="R24" s="770"/>
      <c r="S24" s="771"/>
      <c r="T24" s="770"/>
      <c r="U24" s="771"/>
      <c r="V24" s="770"/>
      <c r="W24" s="771"/>
      <c r="X24" s="772"/>
      <c r="Y24" s="3212"/>
      <c r="Z24" s="55"/>
      <c r="AA24" s="773">
        <v>1</v>
      </c>
      <c r="AB24" s="773">
        <v>1</v>
      </c>
      <c r="AC24" s="773">
        <v>1</v>
      </c>
    </row>
    <row r="25" spans="1:29" s="117" customFormat="1" ht="28.5">
      <c r="A25" s="649"/>
      <c r="B25" s="633" t="s">
        <v>2660</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2"/>
      <c r="Q25" s="1798"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212"/>
      <c r="Q26" s="1798"/>
      <c r="R26" s="770"/>
      <c r="S26" s="771"/>
      <c r="T26" s="770"/>
      <c r="U26" s="771"/>
      <c r="V26" s="770"/>
      <c r="W26" s="771"/>
      <c r="X26" s="772"/>
      <c r="Y26" s="3212"/>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2"/>
      <c r="Z27" s="1817" t="str">
        <f t="shared" ref="Z27:Z40" si="13">Q27</f>
        <v>临街状况</v>
      </c>
      <c r="AA27" s="1814">
        <f t="shared" si="3"/>
        <v>1</v>
      </c>
      <c r="AB27" s="1814">
        <f t="shared" si="4"/>
        <v>1</v>
      </c>
      <c r="AC27" s="1814">
        <f t="shared" si="5"/>
        <v>1</v>
      </c>
    </row>
    <row r="28" spans="1:29" ht="27">
      <c r="A28" s="428"/>
      <c r="B28" s="633" t="s">
        <v>2696</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2"/>
      <c r="Q28" s="1813" t="str">
        <f t="shared" si="8"/>
        <v>毗邻道路的类型与等级</v>
      </c>
      <c r="R28" s="774" t="s">
        <v>17</v>
      </c>
      <c r="S28" s="775">
        <f t="shared" si="10"/>
        <v>100</v>
      </c>
      <c r="T28" s="774" t="s">
        <v>17</v>
      </c>
      <c r="U28" s="775">
        <f t="shared" si="11"/>
        <v>100</v>
      </c>
      <c r="V28" s="774" t="s">
        <v>17</v>
      </c>
      <c r="W28" s="775">
        <f t="shared" si="12"/>
        <v>100</v>
      </c>
      <c r="X28" s="1816"/>
      <c r="Y28" s="3212"/>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12"/>
      <c r="Q29" s="1813"/>
      <c r="R29" s="774"/>
      <c r="S29" s="775"/>
      <c r="T29" s="774"/>
      <c r="U29" s="775"/>
      <c r="V29" s="774"/>
      <c r="W29" s="775"/>
      <c r="X29" s="1816"/>
      <c r="Y29" s="3212"/>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2"/>
      <c r="Q30" s="1813" t="str">
        <f t="shared" si="8"/>
        <v>土地级别</v>
      </c>
      <c r="R30" s="774" t="s">
        <v>17</v>
      </c>
      <c r="S30" s="775">
        <f t="shared" si="10"/>
        <v>100</v>
      </c>
      <c r="T30" s="774" t="s">
        <v>17</v>
      </c>
      <c r="U30" s="775">
        <f t="shared" si="11"/>
        <v>100</v>
      </c>
      <c r="V30" s="774" t="s">
        <v>17</v>
      </c>
      <c r="W30" s="775">
        <f t="shared" si="12"/>
        <v>100</v>
      </c>
      <c r="X30" s="1816"/>
      <c r="Y30" s="3212"/>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2"/>
      <c r="Q31" s="1813">
        <f t="shared" si="8"/>
        <v>111</v>
      </c>
      <c r="R31" s="774" t="s">
        <v>17</v>
      </c>
      <c r="S31" s="775">
        <f t="shared" si="10"/>
        <v>100</v>
      </c>
      <c r="T31" s="774" t="s">
        <v>17</v>
      </c>
      <c r="U31" s="775">
        <f t="shared" si="11"/>
        <v>100</v>
      </c>
      <c r="V31" s="774" t="s">
        <v>17</v>
      </c>
      <c r="W31" s="775">
        <f t="shared" si="12"/>
        <v>100</v>
      </c>
      <c r="X31" s="1816"/>
      <c r="Y31" s="3212"/>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5" t="s">
        <v>2570</v>
      </c>
      <c r="Q32" s="1813">
        <f t="shared" si="8"/>
        <v>111</v>
      </c>
      <c r="R32" s="774" t="s">
        <v>17</v>
      </c>
      <c r="S32" s="775">
        <f t="shared" si="10"/>
        <v>100</v>
      </c>
      <c r="T32" s="774" t="s">
        <v>17</v>
      </c>
      <c r="U32" s="775">
        <f t="shared" si="11"/>
        <v>100</v>
      </c>
      <c r="V32" s="774" t="s">
        <v>17</v>
      </c>
      <c r="W32" s="775">
        <f t="shared" si="12"/>
        <v>100</v>
      </c>
      <c r="X32" s="1816"/>
      <c r="Y32" s="3216" t="s">
        <v>2570</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6"/>
      <c r="Q33" s="1813">
        <f t="shared" si="8"/>
        <v>111</v>
      </c>
      <c r="R33" s="777" t="s">
        <v>17</v>
      </c>
      <c r="S33" s="778">
        <f t="shared" si="10"/>
        <v>100</v>
      </c>
      <c r="T33" s="777" t="s">
        <v>17</v>
      </c>
      <c r="U33" s="778">
        <f t="shared" si="11"/>
        <v>100</v>
      </c>
      <c r="V33" s="777" t="s">
        <v>17</v>
      </c>
      <c r="W33" s="778">
        <f t="shared" si="12"/>
        <v>100</v>
      </c>
      <c r="X33" s="779"/>
      <c r="Y33" s="3216"/>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6"/>
      <c r="Q34" s="1813" t="str">
        <f>B34</f>
        <v>宗地面积</v>
      </c>
      <c r="R34" s="774" t="s">
        <v>17</v>
      </c>
      <c r="S34" s="775" t="e">
        <f t="shared" si="10"/>
        <v>#N/A</v>
      </c>
      <c r="T34" s="774" t="s">
        <v>17</v>
      </c>
      <c r="U34" s="775" t="e">
        <f t="shared" si="11"/>
        <v>#N/A</v>
      </c>
      <c r="V34" s="774" t="s">
        <v>17</v>
      </c>
      <c r="W34" s="775" t="e">
        <f t="shared" si="12"/>
        <v>#N/A</v>
      </c>
      <c r="X34" s="1816"/>
      <c r="Y34" s="3216"/>
      <c r="Z34" s="1817" t="str">
        <f t="shared" si="13"/>
        <v>宗地面积</v>
      </c>
      <c r="AA34" s="1814" t="e">
        <f t="shared" si="3"/>
        <v>#N/A</v>
      </c>
      <c r="AB34" s="1814" t="e">
        <f t="shared" si="4"/>
        <v>#N/A</v>
      </c>
      <c r="AC34" s="1814" t="e">
        <f t="shared" si="5"/>
        <v>#N/A</v>
      </c>
    </row>
    <row r="35" spans="1:29" ht="15">
      <c r="A35" s="472"/>
      <c r="B35" s="422" t="s">
        <v>2757</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16"/>
      <c r="Q35" s="1813" t="str">
        <f t="shared" ref="Q35:Q40" si="14">B35</f>
        <v>宗地形状</v>
      </c>
      <c r="R35" s="774" t="s">
        <v>17</v>
      </c>
      <c r="S35" s="775">
        <f t="shared" si="10"/>
        <v>100</v>
      </c>
      <c r="T35" s="774" t="s">
        <v>17</v>
      </c>
      <c r="U35" s="775">
        <f t="shared" si="11"/>
        <v>100</v>
      </c>
      <c r="V35" s="774" t="s">
        <v>17</v>
      </c>
      <c r="W35" s="775">
        <f t="shared" si="12"/>
        <v>100</v>
      </c>
      <c r="X35" s="1816"/>
      <c r="Y35" s="3216"/>
      <c r="Z35" s="1817" t="str">
        <f t="shared" si="13"/>
        <v>宗地形状</v>
      </c>
      <c r="AA35" s="1814">
        <f t="shared" si="3"/>
        <v>1</v>
      </c>
      <c r="AB35" s="1814">
        <f t="shared" si="4"/>
        <v>1</v>
      </c>
      <c r="AC35" s="1814">
        <f t="shared" si="5"/>
        <v>1</v>
      </c>
    </row>
    <row r="36" spans="1:29" s="117" customFormat="1" ht="15">
      <c r="A36" s="473"/>
      <c r="B36" s="422" t="s">
        <v>2759</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16"/>
      <c r="Q36" s="1813"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2760</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16" t="s">
        <v>2570</v>
      </c>
      <c r="Q37" s="1813" t="str">
        <f t="shared" si="14"/>
        <v>工程地质条件</v>
      </c>
      <c r="R37" s="774" t="s">
        <v>17</v>
      </c>
      <c r="S37" s="775">
        <f t="shared" si="10"/>
        <v>100</v>
      </c>
      <c r="T37" s="774" t="s">
        <v>17</v>
      </c>
      <c r="U37" s="775">
        <f t="shared" si="11"/>
        <v>100</v>
      </c>
      <c r="V37" s="774" t="s">
        <v>17</v>
      </c>
      <c r="W37" s="775">
        <f t="shared" si="12"/>
        <v>100</v>
      </c>
      <c r="X37" s="1816"/>
      <c r="Y37" s="3216"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6"/>
      <c r="Q38" s="1813">
        <f t="shared" si="14"/>
        <v>111</v>
      </c>
      <c r="R38" s="774" t="s">
        <v>17</v>
      </c>
      <c r="S38" s="775">
        <f t="shared" si="10"/>
        <v>100</v>
      </c>
      <c r="T38" s="774" t="s">
        <v>17</v>
      </c>
      <c r="U38" s="775">
        <f t="shared" si="11"/>
        <v>100</v>
      </c>
      <c r="V38" s="774" t="s">
        <v>17</v>
      </c>
      <c r="W38" s="775">
        <f t="shared" si="12"/>
        <v>100</v>
      </c>
      <c r="X38" s="1816"/>
      <c r="Y38" s="321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6"/>
      <c r="Q39" s="1813">
        <f t="shared" si="14"/>
        <v>111</v>
      </c>
      <c r="R39" s="774" t="s">
        <v>17</v>
      </c>
      <c r="S39" s="775">
        <f t="shared" si="10"/>
        <v>100</v>
      </c>
      <c r="T39" s="774" t="s">
        <v>17</v>
      </c>
      <c r="U39" s="775">
        <f t="shared" si="11"/>
        <v>100</v>
      </c>
      <c r="V39" s="774" t="s">
        <v>17</v>
      </c>
      <c r="W39" s="775">
        <f t="shared" si="12"/>
        <v>100</v>
      </c>
      <c r="X39" s="1816"/>
      <c r="Y39" s="3216"/>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6"/>
      <c r="Q40" s="1813">
        <f t="shared" si="14"/>
        <v>111</v>
      </c>
      <c r="R40" s="777" t="s">
        <v>17</v>
      </c>
      <c r="S40" s="778">
        <f t="shared" si="10"/>
        <v>100</v>
      </c>
      <c r="T40" s="777" t="s">
        <v>17</v>
      </c>
      <c r="U40" s="778">
        <f t="shared" si="11"/>
        <v>100</v>
      </c>
      <c r="V40" s="777" t="s">
        <v>17</v>
      </c>
      <c r="W40" s="778">
        <f t="shared" si="12"/>
        <v>100</v>
      </c>
      <c r="X40" s="779"/>
      <c r="Y40" s="3216"/>
      <c r="Z40" s="780">
        <f t="shared" si="13"/>
        <v>111</v>
      </c>
      <c r="AA40" s="1814">
        <f t="shared" si="3"/>
        <v>1</v>
      </c>
      <c r="AB40" s="1814">
        <f t="shared" si="4"/>
        <v>1</v>
      </c>
      <c r="AC40" s="1814">
        <f t="shared" si="5"/>
        <v>1</v>
      </c>
    </row>
    <row r="41" spans="1:29" ht="15">
      <c r="A41" s="479" t="s">
        <v>2725</v>
      </c>
      <c r="B41" s="2710" t="s">
        <v>2805</v>
      </c>
      <c r="C41" s="682" t="s">
        <v>1</v>
      </c>
      <c r="D41" s="481"/>
      <c r="E41" s="482"/>
      <c r="F41" s="483"/>
      <c r="G41" s="484"/>
      <c r="H41" s="485"/>
      <c r="I41" s="482"/>
      <c r="J41" s="485"/>
      <c r="K41" s="783"/>
      <c r="L41" s="1146"/>
      <c r="M41" s="1134"/>
      <c r="N41" s="1134"/>
      <c r="O41" s="1147"/>
      <c r="P41" s="3209" t="str">
        <f>A41</f>
        <v>成交单价</v>
      </c>
      <c r="Q41" s="3209"/>
      <c r="R41" s="3204">
        <f>E41</f>
        <v>0</v>
      </c>
      <c r="S41" s="3204"/>
      <c r="T41" s="3204">
        <f>G41</f>
        <v>0</v>
      </c>
      <c r="U41" s="3204"/>
      <c r="V41" s="3204">
        <f>I41</f>
        <v>0</v>
      </c>
      <c r="W41" s="3204"/>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209" t="str">
        <f>A42</f>
        <v>比较价值（元/平方米）</v>
      </c>
      <c r="Q42" s="3209"/>
      <c r="R42" s="3236" t="e">
        <f>ROUND(PRODUCT(R41,AA7:AA40),0)</f>
        <v>#DIV/0!</v>
      </c>
      <c r="S42" s="3236"/>
      <c r="T42" s="3236" t="e">
        <f>ROUND(PRODUCT(T41,AB7:AB40),0)</f>
        <v>#DIV/0!</v>
      </c>
      <c r="U42" s="3236"/>
      <c r="V42" s="3236" t="e">
        <f>ROUND(PRODUCT(V41,AC7:AC40),0)</f>
        <v>#DIV/0!</v>
      </c>
      <c r="W42" s="3236"/>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206" t="str">
        <f>A43</f>
        <v>估价对象XX用房的比较价值（楼面单价，元/平方米）</v>
      </c>
      <c r="Q43" s="3207"/>
      <c r="R43" s="3237" t="e">
        <f>ROUND(AVERAGE(R42:V42),0)</f>
        <v>#DIV/0!</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1" t="s">
        <v>2765</v>
      </c>
      <c r="D50" s="2712" t="s">
        <v>2766</v>
      </c>
      <c r="E50" s="686" t="s">
        <v>2767</v>
      </c>
      <c r="F50" s="687" t="s">
        <v>2768</v>
      </c>
      <c r="G50" s="3192" t="s">
        <v>2769</v>
      </c>
      <c r="H50" s="3238"/>
      <c r="I50" s="1817" t="s">
        <v>2806</v>
      </c>
      <c r="J50" s="1817">
        <f>项目基本情况!F35</f>
        <v>0</v>
      </c>
      <c r="K50" s="2714" t="s">
        <v>2771</v>
      </c>
      <c r="L50" s="1109"/>
      <c r="M50" s="1147"/>
      <c r="N50" s="1147"/>
      <c r="O50" s="1147"/>
    </row>
    <row r="51" spans="1:17" s="692" customFormat="1">
      <c r="A51" s="688" t="s">
        <v>2772</v>
      </c>
      <c r="B51" s="689" t="e">
        <f>C43</f>
        <v>#DIV/0!</v>
      </c>
      <c r="C51" s="690">
        <v>1</v>
      </c>
      <c r="D51" s="1166">
        <v>1</v>
      </c>
      <c r="E51" s="690">
        <f>'数据-汇总表'!E8+'数据-汇总表'!E9</f>
        <v>49976.76</v>
      </c>
      <c r="F51" s="691" t="e">
        <f t="shared" ref="F51:F60" si="15">ROUND(B51*E51/10000,0)</f>
        <v>#DIV/0!</v>
      </c>
      <c r="G51" s="3191"/>
      <c r="H51" s="3209"/>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39"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39"/>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39"/>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39"/>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5"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37505.42</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15"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6"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29092.1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7" t="s">
        <v>2787</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2" t="s">
        <v>2807</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2809</v>
      </c>
      <c r="B1" s="241"/>
      <c r="C1" s="245" t="s">
        <v>2810</v>
      </c>
      <c r="D1" s="388">
        <f>SUM(D29:D30,D33:D39)</f>
        <v>0</v>
      </c>
      <c r="E1" s="2723"/>
      <c r="F1" s="2723"/>
      <c r="G1" s="2723"/>
      <c r="H1" s="2723"/>
      <c r="I1" s="2723"/>
      <c r="J1" s="2723"/>
      <c r="K1" s="1373"/>
      <c r="L1" s="2724" t="s">
        <v>2811</v>
      </c>
      <c r="M1" s="1083">
        <f>SUMPRODUCT((区片价!B5:B9=I2)*(区片价!C3:F3=E2)*(区片价!C5:F9))</f>
        <v>0</v>
      </c>
      <c r="N1" s="1086">
        <f>SUMPRODUCT((因素修正幅度!B5:B9=I2)*(因素修正幅度!C3:F3=E2)*(因素修正幅度!C5:F9))</f>
        <v>0</v>
      </c>
      <c r="O1" s="2725"/>
      <c r="P1" s="2725"/>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75">
      <c r="A2" s="245" t="s">
        <v>2817</v>
      </c>
      <c r="B2" s="248" t="e">
        <f>C26</f>
        <v>#DIV/0!</v>
      </c>
      <c r="C2" s="2727" t="s">
        <v>2818</v>
      </c>
      <c r="D2" s="2728" t="s">
        <v>2819</v>
      </c>
      <c r="E2" s="2729"/>
      <c r="F2" s="2728" t="s">
        <v>2820</v>
      </c>
      <c r="G2" s="2730">
        <f>IF(E2="商业",项目基本情况!B37,IF(E2="办公",项目基本情况!C37,IF(E2="住宅",项目基本情况!D37,项目基本情况!E37)))</f>
        <v>0</v>
      </c>
      <c r="H2" s="2728" t="s">
        <v>2821</v>
      </c>
      <c r="I2" s="2730">
        <f>IF(E2="商业",项目基本情况!B38,IF(E2="办公",项目基本情况!C38,IF(E2="住宅",项目基本情况!D38,项目基本情况!E38)))</f>
        <v>0</v>
      </c>
      <c r="J2" s="2731"/>
      <c r="K2" s="1373"/>
      <c r="L2" s="2732" t="s">
        <v>2822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2823</v>
      </c>
      <c r="B3" s="248" t="e">
        <f>ROUND(B2*10000/D1,0)</f>
        <v>#DIV/0!</v>
      </c>
      <c r="C3" s="2727" t="s">
        <v>2824</v>
      </c>
      <c r="D3" s="2728" t="s">
        <v>2825</v>
      </c>
      <c r="E3" s="2733"/>
      <c r="F3" s="2734" t="s">
        <v>2826</v>
      </c>
      <c r="G3" s="916">
        <f>IF(F3="宗地容积率",'数据-汇总表'!I4,IF(F3="估价对象容积率",'数据-汇总表'!I6,'数据-汇总表'!I7))</f>
        <v>2.35</v>
      </c>
      <c r="H3" s="198" t="s">
        <v>2827</v>
      </c>
      <c r="I3" s="947"/>
      <c r="J3" s="2731" t="s">
        <v>2828</v>
      </c>
      <c r="K3" s="1373"/>
      <c r="L3" s="2732"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8"/>
      <c r="B4" s="3259"/>
      <c r="C4" s="3259"/>
      <c r="D4" s="3260"/>
      <c r="E4" s="3260"/>
      <c r="F4" s="3260"/>
      <c r="G4" s="3260"/>
      <c r="H4" s="3260"/>
      <c r="I4" s="3260"/>
      <c r="J4" s="3261"/>
      <c r="K4" s="1373"/>
      <c r="L4" s="2732"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2831</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2833</v>
      </c>
      <c r="B6" s="2746" t="s">
        <v>2834</v>
      </c>
      <c r="C6" s="918">
        <f>SUMIF(L1:L12,G2,M1:M12)</f>
        <v>0</v>
      </c>
      <c r="D6" s="2747" t="s">
        <v>2835</v>
      </c>
      <c r="E6" s="2748"/>
      <c r="F6" s="2748"/>
      <c r="G6" s="2749"/>
      <c r="H6" s="2749"/>
      <c r="I6" s="2749"/>
      <c r="J6" s="2750"/>
      <c r="K6" s="1845"/>
      <c r="L6" s="2732"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44" t="str">
        <f>IF(E2="商业",IF(C8="不临58条商业街","",2),"")</f>
        <v/>
      </c>
      <c r="B7" s="2751" t="s">
        <v>2837</v>
      </c>
      <c r="C7" s="919" t="e">
        <f>IF(C8="不临58条商业街",1,ROUND(1+(1.6*E8+1.2*E9+0.8*E10+0.4*E11)*C9,4))</f>
        <v>#DIV/0!</v>
      </c>
      <c r="D7" s="2752" t="s">
        <v>2838</v>
      </c>
      <c r="E7" s="948"/>
      <c r="F7" s="2753"/>
      <c r="G7" s="2754"/>
      <c r="H7" s="2754"/>
      <c r="I7" s="2754"/>
      <c r="J7" s="2755"/>
      <c r="K7" s="1845"/>
      <c r="L7" s="2732"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2840</v>
      </c>
      <c r="X7" s="1607">
        <f>G2</f>
        <v>0</v>
      </c>
      <c r="Y7" s="1607" t="s">
        <v>2841</v>
      </c>
      <c r="Z7" s="1608">
        <f>G3</f>
        <v>2.35</v>
      </c>
      <c r="AA7" s="1609"/>
      <c r="AB7" s="1609"/>
      <c r="AC7" s="1610"/>
      <c r="AD7" s="1611"/>
      <c r="AE7" s="1611"/>
      <c r="AF7" s="1611"/>
      <c r="AG7" s="1611"/>
      <c r="AH7" s="1611"/>
      <c r="AI7" s="1611"/>
      <c r="AJ7" s="1612"/>
    </row>
    <row r="8" spans="1:36" ht="15">
      <c r="A8" s="3245"/>
      <c r="B8" s="198" t="s">
        <v>2842</v>
      </c>
      <c r="C8" s="2756"/>
      <c r="D8" s="920" t="s">
        <v>139</v>
      </c>
      <c r="E8" s="921" t="e">
        <f>ROUND(C11/E7,4)</f>
        <v>#DIV/0!</v>
      </c>
      <c r="F8" s="2757" t="s">
        <v>2843</v>
      </c>
      <c r="G8" s="2758"/>
      <c r="H8" s="2758"/>
      <c r="I8" s="2758"/>
      <c r="J8" s="2759"/>
      <c r="K8" s="1373"/>
      <c r="L8" s="2732"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5" t="s">
        <v>2845</v>
      </c>
      <c r="X8" s="3256"/>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45"/>
      <c r="B9" s="198" t="s">
        <v>2858</v>
      </c>
      <c r="C9" s="922">
        <f>SUMIF(修正!C59:C119,C8,修正!E59:E119)</f>
        <v>0</v>
      </c>
      <c r="D9" s="200" t="s">
        <v>140</v>
      </c>
      <c r="E9" s="200" t="e">
        <f>ROUND(C11/E7,4)</f>
        <v>#DIV/0!</v>
      </c>
      <c r="F9" s="2757" t="s">
        <v>2859</v>
      </c>
      <c r="G9" s="2758"/>
      <c r="H9" s="2758"/>
      <c r="I9" s="2758"/>
      <c r="J9" s="2759"/>
      <c r="K9" s="1373"/>
      <c r="L9" s="2732"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7"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5"/>
      <c r="B10" s="198" t="s">
        <v>2863</v>
      </c>
      <c r="C10" s="200">
        <f>SUMIF(修正!C59:C119,C8,修正!F59:F119)</f>
        <v>0</v>
      </c>
      <c r="D10" s="200" t="s">
        <v>141</v>
      </c>
      <c r="E10" s="200" t="e">
        <f>ROUND(C11/E7,4)</f>
        <v>#DIV/0!</v>
      </c>
      <c r="F10" s="2757" t="s">
        <v>2864</v>
      </c>
      <c r="G10" s="2758"/>
      <c r="H10" s="2758"/>
      <c r="I10" s="2758"/>
      <c r="J10" s="2759"/>
      <c r="K10" s="1373"/>
      <c r="L10" s="2732"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5"/>
      <c r="B11" s="2760" t="s">
        <v>2866</v>
      </c>
      <c r="C11" s="923">
        <f>C10/4</f>
        <v>0</v>
      </c>
      <c r="D11" s="923" t="s">
        <v>142</v>
      </c>
      <c r="E11" s="923" t="e">
        <f>ROUND(C11/E7,4)</f>
        <v>#DIV/0!</v>
      </c>
      <c r="F11" s="2761" t="s">
        <v>2867</v>
      </c>
      <c r="G11" s="2762"/>
      <c r="H11" s="2762"/>
      <c r="I11" s="2762"/>
      <c r="J11" s="2763"/>
      <c r="K11" s="1373"/>
      <c r="L11" s="2732"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7" t="s">
        <v>2869</v>
      </c>
      <c r="X11" s="1617" t="s">
        <v>2870</v>
      </c>
      <c r="Y11" s="1618">
        <f>$G$3</f>
        <v>2.35</v>
      </c>
      <c r="Z11" s="1618">
        <f t="shared" ref="Z11:AJ11" si="3">$G$3</f>
        <v>2.35</v>
      </c>
      <c r="AA11" s="1618">
        <f t="shared" si="3"/>
        <v>2.35</v>
      </c>
      <c r="AB11" s="1618">
        <f t="shared" si="3"/>
        <v>2.35</v>
      </c>
      <c r="AC11" s="1618">
        <f t="shared" si="3"/>
        <v>2.35</v>
      </c>
      <c r="AD11" s="1618">
        <f t="shared" si="3"/>
        <v>2.35</v>
      </c>
      <c r="AE11" s="1618">
        <f t="shared" si="3"/>
        <v>2.35</v>
      </c>
      <c r="AF11" s="1618">
        <f t="shared" si="3"/>
        <v>2.35</v>
      </c>
      <c r="AG11" s="1618">
        <f t="shared" si="3"/>
        <v>2.35</v>
      </c>
      <c r="AH11" s="1618">
        <f t="shared" si="3"/>
        <v>2.35</v>
      </c>
      <c r="AI11" s="1618">
        <f t="shared" si="3"/>
        <v>2.35</v>
      </c>
      <c r="AJ11" s="1618">
        <f t="shared" si="3"/>
        <v>2.35</v>
      </c>
    </row>
    <row r="12" spans="1:36" ht="25.5" thickBot="1">
      <c r="A12" s="3244" t="s">
        <v>2871</v>
      </c>
      <c r="B12" s="2764" t="s">
        <v>2872</v>
      </c>
      <c r="C12" s="919">
        <f>ROUND(C15*D15*E15*F15*G15*H15*I15*J15,4)</f>
        <v>1</v>
      </c>
      <c r="D12" s="2765" t="s">
        <v>2873</v>
      </c>
      <c r="E12" s="2766"/>
      <c r="F12" s="2766"/>
      <c r="G12" s="2767"/>
      <c r="H12" s="2767"/>
      <c r="I12" s="2767"/>
      <c r="J12" s="2768"/>
      <c r="K12" s="1373"/>
      <c r="L12" s="2769"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7"/>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2"/>
      <c r="B13" s="2770" t="s">
        <v>2876</v>
      </c>
      <c r="C13" s="2771" t="s">
        <v>2877</v>
      </c>
      <c r="D13" s="1811" t="s">
        <v>2878</v>
      </c>
      <c r="E13" s="1811" t="s">
        <v>2879</v>
      </c>
      <c r="F13" s="30" t="s">
        <v>2880</v>
      </c>
      <c r="G13" s="2772" t="s">
        <v>2881</v>
      </c>
      <c r="H13" s="2772" t="s">
        <v>2881</v>
      </c>
      <c r="I13" s="2772" t="s">
        <v>2881</v>
      </c>
      <c r="J13" s="2773" t="s">
        <v>2881</v>
      </c>
      <c r="K13" s="1373"/>
      <c r="L13" s="1373"/>
      <c r="M13" s="1373"/>
      <c r="N13" s="1373"/>
      <c r="O13" s="1373"/>
      <c r="P13" s="1373"/>
      <c r="Q13" s="1373"/>
      <c r="R13" s="1605">
        <v>12</v>
      </c>
      <c r="S13" s="1606"/>
      <c r="T13" s="1605" t="e">
        <f t="shared" si="0"/>
        <v>#DIV/0!</v>
      </c>
      <c r="U13" s="1606"/>
      <c r="V13" s="1605" t="e">
        <f t="shared" si="1"/>
        <v>#DIV/0!</v>
      </c>
      <c r="W13" s="3257"/>
      <c r="X13" s="1619"/>
      <c r="Y13" s="1616">
        <f>(-0.163*(Y12^2)-0.59*Y12+7617)*(10^(-4))/Y11</f>
        <v>0.3241276595744681</v>
      </c>
      <c r="Z13" s="1616">
        <f t="shared" ref="Z13:AJ13" si="5">(-0.163*(Z12^2)-0.59*Z12+7617)*(10^(-4))/Z11</f>
        <v>0.3241276595744681</v>
      </c>
      <c r="AA13" s="1616">
        <f t="shared" si="5"/>
        <v>0.3241276595744681</v>
      </c>
      <c r="AB13" s="1616">
        <f t="shared" si="5"/>
        <v>0.3241276595744681</v>
      </c>
      <c r="AC13" s="1616">
        <f t="shared" si="5"/>
        <v>0.3241276595744681</v>
      </c>
      <c r="AD13" s="1616">
        <f t="shared" si="5"/>
        <v>0.3241276595744681</v>
      </c>
      <c r="AE13" s="1616">
        <f t="shared" si="5"/>
        <v>0.3241276595744681</v>
      </c>
      <c r="AF13" s="1616">
        <f t="shared" si="5"/>
        <v>0.3241276595744681</v>
      </c>
      <c r="AG13" s="1616">
        <f t="shared" si="5"/>
        <v>0.3241276595744681</v>
      </c>
      <c r="AH13" s="1616">
        <f t="shared" si="5"/>
        <v>0.3241276595744681</v>
      </c>
      <c r="AI13" s="1616">
        <f t="shared" si="5"/>
        <v>0.3241276595744681</v>
      </c>
      <c r="AJ13" s="1616">
        <f t="shared" si="5"/>
        <v>0.3241276595744681</v>
      </c>
    </row>
    <row r="14" spans="1:36" ht="15">
      <c r="A14" s="3262"/>
      <c r="B14" s="2774"/>
      <c r="C14" s="2775"/>
      <c r="D14" s="2776"/>
      <c r="E14" s="2776"/>
      <c r="F14" s="2777"/>
      <c r="G14" s="2778" t="s">
        <v>2882</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3"/>
      <c r="B15" s="2782" t="s">
        <v>2883</v>
      </c>
      <c r="C15" s="229">
        <f>IF(C14="有",1.1,1)</f>
        <v>1</v>
      </c>
      <c r="D15" s="229">
        <f>IF(D14="有",1.1,1)</f>
        <v>1</v>
      </c>
      <c r="E15" s="229">
        <f>IF(E14="有",1.1,1)</f>
        <v>1</v>
      </c>
      <c r="F15" s="229">
        <f>IF(F14="500米范围内",1.2,IF(F14="500-1000米",1.1,1))</f>
        <v>1</v>
      </c>
      <c r="G15" s="949">
        <v>1</v>
      </c>
      <c r="H15" s="949">
        <v>1</v>
      </c>
      <c r="I15" s="949">
        <v>1</v>
      </c>
      <c r="J15" s="950">
        <v>1</v>
      </c>
      <c r="K15" s="1373"/>
      <c r="L15" s="2783" t="s">
        <v>2819</v>
      </c>
      <c r="M15" s="920" t="s">
        <v>2884</v>
      </c>
      <c r="N15" s="920" t="s">
        <v>2885</v>
      </c>
      <c r="O15" s="920" t="s">
        <v>2886</v>
      </c>
      <c r="P15" s="2784" t="s">
        <v>2887</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4" t="s">
        <v>2888</v>
      </c>
      <c r="B16" s="2751" t="s">
        <v>2889</v>
      </c>
      <c r="C16" s="1804" t="e">
        <f>ROUND(SUM(G17:J17)/C17,0)</f>
        <v>#DIV/0!</v>
      </c>
      <c r="D16" s="2785" t="s">
        <v>2890</v>
      </c>
      <c r="E16" s="2786"/>
      <c r="F16" s="2787"/>
      <c r="G16" s="2788"/>
      <c r="H16" s="2788"/>
      <c r="I16" s="2788"/>
      <c r="J16" s="2789"/>
      <c r="K16" s="1373"/>
      <c r="L16" s="2790" t="s">
        <v>2891</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5"/>
      <c r="B17" s="2791" t="s">
        <v>2892</v>
      </c>
      <c r="C17" s="924">
        <f>SUMPRODUCT((修正!A2:A5=E2)*(修正!B1:M1=G2)*(修正!B2:M5))</f>
        <v>0</v>
      </c>
      <c r="D17" s="2792" t="s">
        <v>2893</v>
      </c>
      <c r="E17" s="923" t="str">
        <f>IF(OR(G2="八级",G2="九级",G2="十级",G2="十一级",G2="十二级"),"五通一平","七通一平")</f>
        <v>七通一平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2896</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2897</v>
      </c>
      <c r="C19" s="927" t="e">
        <f>ROUND(IF(H19="按公示增长率计算",SUMPRODUCT((地价!A3:A21=YEAR(G19)&amp;"-"&amp;ROUNDUP(MONTH(G19)/3,0))*(地价!X2:AB2=E2)*(地价!X3:AB21)),IF(H19="地价指数",M20/M19,(1+I19)^O19)),4)</f>
        <v>#DIV/0!</v>
      </c>
      <c r="D19" s="2803" t="s">
        <v>2898</v>
      </c>
      <c r="E19" s="928">
        <v>41640</v>
      </c>
      <c r="F19" s="2803" t="s">
        <v>2899</v>
      </c>
      <c r="G19" s="929">
        <f>'数据-取费表'!B2</f>
        <v>43175</v>
      </c>
      <c r="H19" s="2804" t="s">
        <v>2900</v>
      </c>
      <c r="I19" s="930" t="str">
        <f>IF(H19="季度增幅（自定义）",SUMIF(N21:N24,E2,O21:O24),"")</f>
        <v/>
      </c>
      <c r="J19" s="2801"/>
      <c r="K19" s="1380"/>
      <c r="L19" s="2805" t="s">
        <v>2901</v>
      </c>
      <c r="M19" s="1737">
        <f>ROUND(SUMIF(地价!B2:F2,E2,地价!B21:F21),0)</f>
        <v>0</v>
      </c>
      <c r="N19" s="2806" t="s">
        <v>2902</v>
      </c>
      <c r="O19" s="931">
        <f>ROUNDDOWN(DATEDIF(E19,G19,"M")/3,0)</f>
        <v>16</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2903</v>
      </c>
      <c r="C20" s="932" t="e">
        <f>ROUND(POWER(1+G20,J20-I20)*(POWER(1+G20,I20)-1)/(POWER(1+G20,J20)-1),4)</f>
        <v>#DIV/0!</v>
      </c>
      <c r="D20" s="2812" t="s">
        <v>2904</v>
      </c>
      <c r="E20" s="1771">
        <f ca="1">存贷款利率!D4/100</f>
        <v>4.3499999999999997E-2</v>
      </c>
      <c r="F20" s="2812" t="s">
        <v>2895</v>
      </c>
      <c r="G20" s="937">
        <f>SUMIF(M15:P15,E2,M17:P17)</f>
        <v>0</v>
      </c>
      <c r="H20" s="2812" t="s">
        <v>2905</v>
      </c>
      <c r="I20" s="938" t="e">
        <f>SUMIF('数据-取费表'!C6:C15,E2,'数据-取费表'!F6:F15)/COUNTIF('数据-取费表'!C6:C15,E2)</f>
        <v>#DIV/0!</v>
      </c>
      <c r="J20" s="939">
        <f>IF(E2="住宅",70,IF(E2="商业",40,50))</f>
        <v>50</v>
      </c>
      <c r="K20" s="1380"/>
      <c r="L20" s="2813" t="s">
        <v>2906</v>
      </c>
      <c r="M20" s="1738">
        <f>ROUND(SUMPRODUCT((地价!A4:A21=YEAR(G19)&amp;"-"&amp;ROUNDUP(MONTH(G19)/3,0))*(地价!B2:F2=E2)*(地价!B4:F21)),0)</f>
        <v>0</v>
      </c>
      <c r="N20" s="2814" t="s">
        <v>2907</v>
      </c>
      <c r="O20" s="2815" t="s">
        <v>2908</v>
      </c>
      <c r="P20" s="2816" t="s">
        <v>2909</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2910</v>
      </c>
      <c r="C21" s="940">
        <f>IF(B21="容积率修正",IF(G3&lt;=10,D22,J22),C23)</f>
        <v>0</v>
      </c>
      <c r="D21" s="2819"/>
      <c r="E21" s="2819"/>
      <c r="F21" s="2819"/>
      <c r="G21" s="2819"/>
      <c r="H21" s="2819"/>
      <c r="I21" s="2819"/>
      <c r="J21" s="2820"/>
      <c r="K21" s="1380"/>
      <c r="N21" s="2821" t="s">
        <v>2911</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4" customFormat="1" ht="14.25">
      <c r="A22" s="2670" t="s">
        <v>2912</v>
      </c>
      <c r="B22" s="2822" t="s">
        <v>2913</v>
      </c>
      <c r="C22" s="1813" t="s">
        <v>2914</v>
      </c>
      <c r="D22" s="1813">
        <f>IF(E22=G22,F22,IF(G3&lt;=10,ROUND(F22+(H22-F22)*(G3-E22)/(G22-E22),4),"——"))</f>
        <v>0</v>
      </c>
      <c r="E22" s="916">
        <f>ROUNDDOWN(G3,1)</f>
        <v>2.2999999999999998</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2915</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2916</v>
      </c>
      <c r="B23" s="2823" t="s">
        <v>2917</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2918</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2919</v>
      </c>
      <c r="C24" s="927">
        <f>SUMIF(A45:A88,E2,B45:B88)</f>
        <v>0</v>
      </c>
      <c r="D24" s="2799"/>
      <c r="E24" s="2829"/>
      <c r="F24" s="2829"/>
      <c r="G24" s="2829"/>
      <c r="H24" s="2829"/>
      <c r="I24" s="2829"/>
      <c r="J24" s="2830"/>
      <c r="K24" s="1380"/>
      <c r="N24" s="2831" t="s">
        <v>2920</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2921</v>
      </c>
      <c r="C25" s="933"/>
      <c r="D25" s="2754"/>
      <c r="E25" s="2754"/>
      <c r="F25" s="2833"/>
      <c r="G25" s="2754"/>
      <c r="H25" s="2754"/>
      <c r="I25" s="2754"/>
      <c r="J25" s="2755"/>
      <c r="K25" s="1373"/>
      <c r="N25" s="2834" t="s">
        <v>2922</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5"/>
      <c r="B26" s="2822" t="s">
        <v>2923</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2924</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2925</v>
      </c>
      <c r="C28" s="2846" t="s">
        <v>2926</v>
      </c>
      <c r="D28" s="2846" t="s">
        <v>2927</v>
      </c>
      <c r="E28" s="2847" t="s">
        <v>2928</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2929</v>
      </c>
      <c r="C29" s="206" t="e">
        <f>ROUND(C5*C18*C19*C20*C21*C24,0)</f>
        <v>#DIV/0!</v>
      </c>
      <c r="D29" s="2851"/>
      <c r="E29" s="945" t="e">
        <f>ROUND(C29*D29/10000,0)</f>
        <v>#DIV/0!</v>
      </c>
      <c r="F29" s="2852" t="s">
        <v>2930</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2931</v>
      </c>
      <c r="C30" s="229" t="e">
        <f>ROUND(IF(E2="工业",C29*M39,C29*M38),0)</f>
        <v>#DIV/0!</v>
      </c>
      <c r="D30" s="2857"/>
      <c r="E30" s="945" t="e">
        <f>ROUND(C30*D30/10000,0)</f>
        <v>#DIV/0!</v>
      </c>
      <c r="F30" s="2858" t="s">
        <v>2932</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2933</v>
      </c>
      <c r="C31" s="2863" t="s">
        <v>2934</v>
      </c>
      <c r="D31" s="2767"/>
      <c r="E31" s="2863"/>
      <c r="F31" s="2863"/>
      <c r="G31" s="2765" t="s">
        <v>2935</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2926</v>
      </c>
      <c r="D32" s="498" t="s">
        <v>2927</v>
      </c>
      <c r="E32" s="498" t="s">
        <v>2928</v>
      </c>
      <c r="F32" s="388" t="s">
        <v>2936</v>
      </c>
      <c r="G32" s="2866" t="s">
        <v>2926</v>
      </c>
      <c r="H32" s="2866" t="s">
        <v>2927</v>
      </c>
      <c r="I32" s="2866" t="s">
        <v>2928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2" t="s">
        <v>2937</v>
      </c>
      <c r="B33" s="2867" t="s">
        <v>2938</v>
      </c>
      <c r="C33" s="206" t="e">
        <f>ROUND(D5*C19*C20*C24*F33,0)</f>
        <v>#DIV/0!</v>
      </c>
      <c r="D33" s="2851"/>
      <c r="E33" s="200" t="e">
        <f>ROUND(C33*D33/10000,0)</f>
        <v>#DIV/0!</v>
      </c>
      <c r="F33" s="200">
        <f>SUMIF(修正!A45:A56,G2,修正!B45:B56)</f>
        <v>0</v>
      </c>
      <c r="G33" s="200" t="e">
        <f t="shared" ref="G33:G39"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3"/>
      <c r="B34" s="2771" t="s">
        <v>2939</v>
      </c>
      <c r="C34" s="206" t="e">
        <f>ROUND(D5*C19*C20*C24*F34,0)</f>
        <v>#DIV/0!</v>
      </c>
      <c r="D34" s="2851"/>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3"/>
      <c r="B35" s="2771" t="s">
        <v>2940</v>
      </c>
      <c r="C35" s="206" t="e">
        <f>ROUND(D5*C19*C20*C24*F35,0)</f>
        <v>#DIV/0!</v>
      </c>
      <c r="D35" s="2851"/>
      <c r="E35" s="200" t="e">
        <f t="shared" si="7"/>
        <v>#DIV/0!</v>
      </c>
      <c r="F35" s="200">
        <f>SUMIF(修正!A45:A56,G2,修正!D45:D56)</f>
        <v>0</v>
      </c>
      <c r="G35" s="200" t="e">
        <f t="shared" si="6"/>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54"/>
      <c r="B36" s="2771" t="s">
        <v>2941</v>
      </c>
      <c r="C36" s="206" t="e">
        <f>ROUND(D5*C19*C20*C24*F36,0)</f>
        <v>#DIV/0!</v>
      </c>
      <c r="D36" s="2851"/>
      <c r="E36" s="200" t="e">
        <f t="shared" si="7"/>
        <v>#DIV/0!</v>
      </c>
      <c r="F36" s="200">
        <f>SUMIF(修正!A45:A56,G2,修正!E45:E56)</f>
        <v>0</v>
      </c>
      <c r="G36" s="200" t="e">
        <f t="shared" si="6"/>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2942</v>
      </c>
      <c r="C37" s="200" t="e">
        <f>ROUND(C5*C19*C20*C24*F37,0)</f>
        <v>#DIV/0!</v>
      </c>
      <c r="D37" s="2851"/>
      <c r="E37" s="200" t="e">
        <f t="shared" si="7"/>
        <v>#DIV/0!</v>
      </c>
      <c r="F37" s="206">
        <f>SUMIF(修正!A45:A56,G2,修正!F45:F56)</f>
        <v>0</v>
      </c>
      <c r="G37" s="200" t="e">
        <f t="shared" si="6"/>
        <v>#DIV/0!</v>
      </c>
      <c r="H37" s="200">
        <f t="shared" si="8"/>
        <v>0</v>
      </c>
      <c r="I37" s="200" t="e">
        <f t="shared" si="9"/>
        <v>#DIV/0!</v>
      </c>
      <c r="J37" s="2868"/>
      <c r="K37" s="1373"/>
      <c r="L37" s="2870" t="s">
        <v>2943</v>
      </c>
      <c r="M37" s="2871"/>
      <c r="N37" s="1373"/>
      <c r="O37" s="1373"/>
      <c r="P37" s="1373"/>
      <c r="Q37" s="1373"/>
      <c r="R37" s="1373"/>
      <c r="S37" s="1373"/>
      <c r="T37" s="1373"/>
      <c r="U37" s="1373"/>
      <c r="V37" s="1373"/>
      <c r="W37" s="1373"/>
      <c r="X37" s="1373"/>
      <c r="Y37" s="1373"/>
      <c r="Z37" s="1374"/>
    </row>
    <row r="38" spans="1:37">
      <c r="A38" s="2869"/>
      <c r="B38" s="2771" t="s">
        <v>2944</v>
      </c>
      <c r="C38" s="200" t="e">
        <f>ROUND(C5*C19*C20*C24*F38,0)</f>
        <v>#DIV/0!</v>
      </c>
      <c r="D38" s="2851"/>
      <c r="E38" s="200" t="e">
        <f t="shared" si="7"/>
        <v>#DIV/0!</v>
      </c>
      <c r="F38" s="206">
        <f>SUMIF(修正!A45:A56,G2,修正!G45:G56)</f>
        <v>0</v>
      </c>
      <c r="G38" s="200" t="e">
        <f t="shared" si="6"/>
        <v>#DIV/0!</v>
      </c>
      <c r="H38" s="200">
        <f t="shared" si="8"/>
        <v>0</v>
      </c>
      <c r="I38" s="200" t="e">
        <f t="shared" si="9"/>
        <v>#DIV/0!</v>
      </c>
      <c r="J38" s="2868"/>
      <c r="K38" s="1373"/>
      <c r="L38" s="1890" t="s">
        <v>2945</v>
      </c>
      <c r="M38" s="2872">
        <v>0.25</v>
      </c>
      <c r="N38" s="1373"/>
      <c r="O38" s="1373"/>
      <c r="P38" s="1373"/>
      <c r="Q38" s="1373"/>
      <c r="R38" s="1373"/>
      <c r="S38" s="1373"/>
      <c r="T38" s="1373"/>
      <c r="U38" s="1373"/>
      <c r="V38" s="1373"/>
      <c r="W38" s="1373"/>
      <c r="X38" s="1373"/>
      <c r="Y38" s="1373"/>
      <c r="Z38" s="1374"/>
    </row>
    <row r="39" spans="1:37" ht="13.5" thickBot="1">
      <c r="A39" s="2855"/>
      <c r="B39" s="2873" t="s">
        <v>2946</v>
      </c>
      <c r="C39" s="229" t="e">
        <f>ROUND(C5*C19*C20*C24*F39,0)</f>
        <v>#DIV/0!</v>
      </c>
      <c r="D39" s="2857"/>
      <c r="E39" s="229" t="e">
        <f t="shared" si="7"/>
        <v>#DIV/0!</v>
      </c>
      <c r="F39" s="935">
        <f>SUMIF(修正!A45:A56,G2,修正!H45:H56)</f>
        <v>0</v>
      </c>
      <c r="G39" s="229" t="e">
        <f t="shared" si="6"/>
        <v>#DIV/0!</v>
      </c>
      <c r="H39" s="229">
        <f t="shared" si="8"/>
        <v>0</v>
      </c>
      <c r="I39" s="229" t="e">
        <f t="shared" si="9"/>
        <v>#DIV/0!</v>
      </c>
      <c r="J39" s="2874"/>
      <c r="K39" s="1373"/>
      <c r="L39" s="2875" t="s">
        <v>2887</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2947</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2948</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2949</v>
      </c>
      <c r="B47" s="1812" t="s">
        <v>2950</v>
      </c>
      <c r="C47" s="1812" t="s">
        <v>2951</v>
      </c>
      <c r="D47" s="1812" t="s">
        <v>2952</v>
      </c>
      <c r="E47" s="819" t="s">
        <v>2953</v>
      </c>
      <c r="F47" s="2885" t="s">
        <v>2954</v>
      </c>
      <c r="G47" s="1812" t="s">
        <v>754</v>
      </c>
      <c r="H47" s="2886" t="s">
        <v>2955</v>
      </c>
      <c r="I47" s="1812" t="s">
        <v>2956</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4" t="s">
        <v>2957</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2958</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2959</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2960</v>
      </c>
      <c r="B51" s="2889" t="s">
        <v>2961</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2962</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2963</v>
      </c>
      <c r="B53" s="2890" t="s">
        <v>2964</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2965</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2966</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2967</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2968</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2949</v>
      </c>
      <c r="B58" s="1812"/>
      <c r="C58" s="1812" t="s">
        <v>2951</v>
      </c>
      <c r="D58" s="1812" t="s">
        <v>2952</v>
      </c>
      <c r="E58" s="819" t="s">
        <v>2953</v>
      </c>
      <c r="F58" s="2885" t="s">
        <v>2969</v>
      </c>
      <c r="G58" s="1812" t="s">
        <v>754</v>
      </c>
      <c r="H58" s="2886" t="s">
        <v>2955</v>
      </c>
      <c r="I58" s="1812" t="s">
        <v>2956</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4" t="s">
        <v>2970</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2958</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2959</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2960</v>
      </c>
      <c r="B62" s="2889" t="s">
        <v>2961</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2962</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2963</v>
      </c>
      <c r="B64" s="2890" t="s">
        <v>2964</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2965</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2966</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2967</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2971</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2949</v>
      </c>
      <c r="B69" s="1812"/>
      <c r="C69" s="1812" t="s">
        <v>2951</v>
      </c>
      <c r="D69" s="1812" t="s">
        <v>2952</v>
      </c>
      <c r="E69" s="819" t="s">
        <v>2953</v>
      </c>
      <c r="F69" s="2885" t="s">
        <v>2969</v>
      </c>
      <c r="G69" s="1812" t="s">
        <v>754</v>
      </c>
      <c r="H69" s="2886" t="s">
        <v>2955</v>
      </c>
      <c r="I69" s="1812" t="s">
        <v>2956</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4" t="s">
        <v>2972</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2958</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2959</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2973</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2965</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2966</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2963</v>
      </c>
      <c r="B76" s="2890" t="s">
        <v>2964</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2967</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2974</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2975</v>
      </c>
      <c r="B79" s="2881">
        <f>1+E81</f>
        <v>1</v>
      </c>
      <c r="C79" s="814"/>
      <c r="D79" s="814"/>
      <c r="E79" s="815"/>
      <c r="F79" s="2883"/>
      <c r="G79" s="6"/>
      <c r="H79" s="6"/>
      <c r="I79" s="6"/>
      <c r="J79" s="7"/>
      <c r="K79" s="7"/>
      <c r="L79" s="7"/>
      <c r="M79" s="7"/>
      <c r="N79" s="7"/>
      <c r="Z79" s="2726"/>
      <c r="AA79" s="2802"/>
      <c r="AG79" s="1375"/>
      <c r="AK79" s="2802"/>
    </row>
    <row r="80" spans="1:37" ht="24.75">
      <c r="A80" s="2884" t="s">
        <v>2949</v>
      </c>
      <c r="B80" s="1812"/>
      <c r="C80" s="1812" t="s">
        <v>2951</v>
      </c>
      <c r="D80" s="1812" t="s">
        <v>2952</v>
      </c>
      <c r="E80" s="819" t="s">
        <v>2953</v>
      </c>
      <c r="F80" s="2885" t="s">
        <v>2969</v>
      </c>
      <c r="G80" s="1812" t="s">
        <v>754</v>
      </c>
      <c r="H80" s="2886" t="s">
        <v>2955</v>
      </c>
      <c r="I80" s="1812" t="s">
        <v>2956</v>
      </c>
      <c r="J80" s="603" t="s">
        <v>2602</v>
      </c>
      <c r="K80" s="603" t="s">
        <v>2603</v>
      </c>
      <c r="L80" s="603" t="s">
        <v>2604</v>
      </c>
      <c r="M80" s="603" t="s">
        <v>2605</v>
      </c>
      <c r="N80" s="603" t="s">
        <v>2606</v>
      </c>
      <c r="Z80" s="2726"/>
      <c r="AA80" s="2802"/>
      <c r="AG80" s="1375"/>
      <c r="AK80" s="2802"/>
    </row>
    <row r="81" spans="1:37" ht="38.25">
      <c r="A81" s="2884" t="s">
        <v>2976</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2958</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2959</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2973</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2965</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2966</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2963</v>
      </c>
      <c r="B87" s="2890" t="s">
        <v>2977</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2978</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46" t="s">
        <v>2979</v>
      </c>
      <c r="B90" s="3246"/>
      <c r="C90" s="3246"/>
      <c r="D90" s="3246"/>
      <c r="E90" s="3246"/>
      <c r="F90" s="3246"/>
      <c r="G90" s="3246"/>
      <c r="H90" s="3246"/>
      <c r="I90" s="3246"/>
      <c r="J90" s="3246"/>
      <c r="K90" s="2898"/>
      <c r="L90" s="2898"/>
      <c r="M90" s="2898"/>
      <c r="N90" s="2898"/>
    </row>
    <row r="91" spans="1:37">
      <c r="A91" s="3248" t="s">
        <v>2980</v>
      </c>
      <c r="B91" s="3248" t="s">
        <v>2981</v>
      </c>
      <c r="C91" s="2852" t="s">
        <v>2982</v>
      </c>
      <c r="D91" s="2853"/>
      <c r="E91" s="2853"/>
      <c r="F91" s="2853"/>
      <c r="G91" s="2853"/>
      <c r="H91" s="2853"/>
      <c r="I91" s="2853"/>
      <c r="J91" s="2899"/>
      <c r="K91" s="2900"/>
      <c r="L91" s="2900"/>
      <c r="M91" s="2900"/>
      <c r="N91" s="2900"/>
    </row>
    <row r="92" spans="1:37">
      <c r="A92" s="3248"/>
      <c r="B92" s="3248"/>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49" t="s">
        <v>2983</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0"/>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0"/>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0"/>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0"/>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0"/>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0"/>
      <c r="B99" s="2901" t="s">
        <v>2862</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1"/>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49" t="s">
        <v>2984</v>
      </c>
      <c r="B101" s="2905" t="s">
        <v>2985</v>
      </c>
      <c r="C101" s="2906">
        <f>$G$3</f>
        <v>2.35</v>
      </c>
      <c r="D101" s="2906">
        <f t="shared" ref="D101:N101" si="31">$G$3</f>
        <v>2.35</v>
      </c>
      <c r="E101" s="2906">
        <f t="shared" si="31"/>
        <v>2.35</v>
      </c>
      <c r="F101" s="2906">
        <f t="shared" si="31"/>
        <v>2.35</v>
      </c>
      <c r="G101" s="2906">
        <f t="shared" si="31"/>
        <v>2.35</v>
      </c>
      <c r="H101" s="2906">
        <f t="shared" si="31"/>
        <v>2.35</v>
      </c>
      <c r="I101" s="2906">
        <f t="shared" si="31"/>
        <v>2.35</v>
      </c>
      <c r="J101" s="2906">
        <f t="shared" si="31"/>
        <v>2.35</v>
      </c>
      <c r="K101" s="2906">
        <f t="shared" si="31"/>
        <v>2.35</v>
      </c>
      <c r="L101" s="2906">
        <f t="shared" si="31"/>
        <v>2.35</v>
      </c>
      <c r="M101" s="2906">
        <f t="shared" si="31"/>
        <v>2.35</v>
      </c>
      <c r="N101" s="2906">
        <f t="shared" si="31"/>
        <v>2.35</v>
      </c>
    </row>
    <row r="102" spans="1:14">
      <c r="A102" s="3250"/>
      <c r="B102" s="2901">
        <v>1</v>
      </c>
      <c r="C102" s="2902">
        <f>1.9362/C101</f>
        <v>0.82391489361702119</v>
      </c>
      <c r="D102" s="2902">
        <f>1.9362/D101</f>
        <v>0.82391489361702119</v>
      </c>
      <c r="E102" s="2902">
        <f>1.8629/E101</f>
        <v>0.79272340425531906</v>
      </c>
      <c r="F102" s="2902">
        <f>1.8629/F101</f>
        <v>0.79272340425531906</v>
      </c>
      <c r="G102" s="2902">
        <f>1.8629/G101</f>
        <v>0.79272340425531906</v>
      </c>
      <c r="H102" s="2902">
        <f>1.8629/H101</f>
        <v>0.79272340425531906</v>
      </c>
      <c r="I102" s="2902">
        <f>1.8629/I101</f>
        <v>0.79272340425531906</v>
      </c>
      <c r="J102" s="2902">
        <f>1.942/J101</f>
        <v>0.82638297872340416</v>
      </c>
      <c r="K102" s="2902">
        <f>1.942/K101</f>
        <v>0.82638297872340416</v>
      </c>
      <c r="L102" s="2902">
        <f>1.942/L101</f>
        <v>0.82638297872340416</v>
      </c>
      <c r="M102" s="2902">
        <f>1.942/M101</f>
        <v>0.82638297872340416</v>
      </c>
      <c r="N102" s="2902">
        <f>1.942/N101</f>
        <v>0.82638297872340416</v>
      </c>
    </row>
    <row r="103" spans="1:14">
      <c r="A103" s="3250"/>
      <c r="B103" s="2901">
        <v>2</v>
      </c>
      <c r="C103" s="2902">
        <f>1.4198/C101</f>
        <v>0.60417021276595739</v>
      </c>
      <c r="D103" s="2902">
        <f>1.4198/D101</f>
        <v>0.60417021276595739</v>
      </c>
      <c r="E103" s="2902">
        <f>1.3372/E101</f>
        <v>0.56902127659574464</v>
      </c>
      <c r="F103" s="2902">
        <f>1.3372/F101</f>
        <v>0.56902127659574464</v>
      </c>
      <c r="G103" s="2902">
        <f>1.3372/G101</f>
        <v>0.56902127659574464</v>
      </c>
      <c r="H103" s="2902">
        <f>1.3372/H101</f>
        <v>0.56902127659574464</v>
      </c>
      <c r="I103" s="2902">
        <f>1.3372/I101</f>
        <v>0.56902127659574464</v>
      </c>
      <c r="J103" s="2902">
        <f>1.2799/J101</f>
        <v>0.54463829787234042</v>
      </c>
      <c r="K103" s="2902">
        <f>1.2799/K101</f>
        <v>0.54463829787234042</v>
      </c>
      <c r="L103" s="2902">
        <f>1.2799/L101</f>
        <v>0.54463829787234042</v>
      </c>
      <c r="M103" s="2902">
        <f>1.2799/M101</f>
        <v>0.54463829787234042</v>
      </c>
      <c r="N103" s="2902">
        <f>1.2799/N101</f>
        <v>0.54463829787234042</v>
      </c>
    </row>
    <row r="104" spans="1:14">
      <c r="A104" s="3250"/>
      <c r="B104" s="2901">
        <v>3</v>
      </c>
      <c r="C104" s="2902">
        <f>1.1594/C101</f>
        <v>0.49336170212765956</v>
      </c>
      <c r="D104" s="2902">
        <f>1.1594/D101</f>
        <v>0.49336170212765956</v>
      </c>
      <c r="E104" s="2902">
        <f>1.0788/E101</f>
        <v>0.45906382978723403</v>
      </c>
      <c r="F104" s="2902">
        <f>1.0788/F101</f>
        <v>0.45906382978723403</v>
      </c>
      <c r="G104" s="2902">
        <f>1.0788/G101</f>
        <v>0.45906382978723403</v>
      </c>
      <c r="H104" s="2902">
        <f>1.0788/H101</f>
        <v>0.45906382978723403</v>
      </c>
      <c r="I104" s="2902">
        <f>1.0788/I101</f>
        <v>0.45906382978723403</v>
      </c>
      <c r="J104" s="2902">
        <f>1.0072/J101</f>
        <v>0.4285957446808511</v>
      </c>
      <c r="K104" s="2902">
        <f>1.0072/K101</f>
        <v>0.4285957446808511</v>
      </c>
      <c r="L104" s="2902">
        <f>1.0072/L101</f>
        <v>0.4285957446808511</v>
      </c>
      <c r="M104" s="2902">
        <f>1.0072/M101</f>
        <v>0.4285957446808511</v>
      </c>
      <c r="N104" s="2902">
        <f>1.0072/N101</f>
        <v>0.4285957446808511</v>
      </c>
    </row>
    <row r="105" spans="1:14">
      <c r="A105" s="3250"/>
      <c r="B105" s="2901">
        <v>4</v>
      </c>
      <c r="C105" s="2902">
        <f>0.9622/C101</f>
        <v>0.4094468085106383</v>
      </c>
      <c r="D105" s="2902">
        <f>0.9622/D101</f>
        <v>0.4094468085106383</v>
      </c>
      <c r="E105" s="2902">
        <f>0.8656/E101</f>
        <v>0.36834042553191487</v>
      </c>
      <c r="F105" s="2902">
        <f>0.8656/F101</f>
        <v>0.36834042553191487</v>
      </c>
      <c r="G105" s="2902">
        <f>0.8656/G101</f>
        <v>0.36834042553191487</v>
      </c>
      <c r="H105" s="2902">
        <f>0.8656/H101</f>
        <v>0.36834042553191487</v>
      </c>
      <c r="I105" s="2902">
        <f>0.8656/I101</f>
        <v>0.36834042553191487</v>
      </c>
      <c r="J105" s="2902">
        <f>0.7525/J101</f>
        <v>0.3202127659574468</v>
      </c>
      <c r="K105" s="2902">
        <f>0.7525/K101</f>
        <v>0.3202127659574468</v>
      </c>
      <c r="L105" s="2902">
        <f>0.7525/L101</f>
        <v>0.3202127659574468</v>
      </c>
      <c r="M105" s="2902">
        <f>0.7525/M101</f>
        <v>0.3202127659574468</v>
      </c>
      <c r="N105" s="2902">
        <f>0.7525/N101</f>
        <v>0.3202127659574468</v>
      </c>
    </row>
    <row r="106" spans="1:14">
      <c r="A106" s="3250"/>
      <c r="B106" s="2901">
        <v>5</v>
      </c>
      <c r="C106" s="2902">
        <f>0.8417/C101</f>
        <v>0.35817021276595745</v>
      </c>
      <c r="D106" s="2902">
        <f>0.8417/D101</f>
        <v>0.35817021276595745</v>
      </c>
      <c r="E106" s="2902">
        <f>0.7371/E101</f>
        <v>0.31365957446808507</v>
      </c>
      <c r="F106" s="2902">
        <f>0.7371/F101</f>
        <v>0.31365957446808507</v>
      </c>
      <c r="G106" s="2902">
        <f>0.7371/G101</f>
        <v>0.31365957446808507</v>
      </c>
      <c r="H106" s="2902">
        <f>0.7371/H101</f>
        <v>0.31365957446808507</v>
      </c>
      <c r="I106" s="2902">
        <f>0.7371/I101</f>
        <v>0.31365957446808507</v>
      </c>
      <c r="J106" s="2902">
        <f>0.5659/J101</f>
        <v>0.24080851063829783</v>
      </c>
      <c r="K106" s="2902">
        <f>0.5659/K101</f>
        <v>0.24080851063829783</v>
      </c>
      <c r="L106" s="2902">
        <f>0.5659/L101</f>
        <v>0.24080851063829783</v>
      </c>
      <c r="M106" s="2902">
        <f>0.5659/M101</f>
        <v>0.24080851063829783</v>
      </c>
      <c r="N106" s="2902">
        <f>0.5659/N101</f>
        <v>0.24080851063829783</v>
      </c>
    </row>
    <row r="107" spans="1:14">
      <c r="A107" s="3250"/>
      <c r="B107" s="2901">
        <v>6</v>
      </c>
      <c r="C107" s="2902">
        <f>0.7608/C101</f>
        <v>0.32374468085106384</v>
      </c>
      <c r="D107" s="2902">
        <f>0.7608/D101</f>
        <v>0.32374468085106384</v>
      </c>
      <c r="E107" s="2902">
        <f>0.6482/E101</f>
        <v>0.27582978723404256</v>
      </c>
      <c r="F107" s="2902">
        <f>0.6482/F101</f>
        <v>0.27582978723404256</v>
      </c>
      <c r="G107" s="2902">
        <f>0.6482/G101</f>
        <v>0.27582978723404256</v>
      </c>
      <c r="H107" s="2902">
        <f>0.6482/H101</f>
        <v>0.27582978723404256</v>
      </c>
      <c r="I107" s="2902">
        <f>0.6482/I101</f>
        <v>0.27582978723404256</v>
      </c>
      <c r="J107" s="2902">
        <f>0.4525/J101</f>
        <v>0.1925531914893617</v>
      </c>
      <c r="K107" s="2902">
        <f>0.4525/K101</f>
        <v>0.1925531914893617</v>
      </c>
      <c r="L107" s="2902">
        <f>0.4525/L101</f>
        <v>0.1925531914893617</v>
      </c>
      <c r="M107" s="2902">
        <f>0.4525/M101</f>
        <v>0.1925531914893617</v>
      </c>
      <c r="N107" s="2902">
        <f>0.4525/N101</f>
        <v>0.1925531914893617</v>
      </c>
    </row>
    <row r="108" spans="1:14">
      <c r="A108" s="3250"/>
      <c r="B108" s="3074" t="s">
        <v>2986</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1"/>
      <c r="B109" s="3075"/>
      <c r="C109" s="2904">
        <f>(-0.163*(C108^2)-0.59*C108+7617)*(10^(-4))/C101</f>
        <v>0.3241276595744681</v>
      </c>
      <c r="D109" s="2904">
        <f>(-0.163*(D108^2)-0.59*D108+7617)*(10^(-4))/D101</f>
        <v>0.3241276595744681</v>
      </c>
      <c r="E109" s="2904">
        <f>(-0.161*(E108^2)-7.509*E108+6533)*(10^(-4))/E101</f>
        <v>0.27799999999999997</v>
      </c>
      <c r="F109" s="2904">
        <f>(-0.161*(F108^2)-7.509*F108+6533)*(10^(-4))/F101</f>
        <v>0.27799999999999997</v>
      </c>
      <c r="G109" s="2904">
        <f>(-0.161*(G108^2)-7.509*G108+6533)*(10^(-4))/G101</f>
        <v>0.27799999999999997</v>
      </c>
      <c r="H109" s="2904">
        <f>(-0.161*(H108^2)-7.509*H108+6533)*(10^(-4))/H101</f>
        <v>0.27799999999999997</v>
      </c>
      <c r="I109" s="2904">
        <f>(-0.161*(I108^2)-7.509*I108+6533)*(10^(-4))/I101</f>
        <v>0.27799999999999997</v>
      </c>
      <c r="J109" s="2904">
        <f>(-0.214*(J108^2)-21.991*J108+4665)*(10^(-4))/J101</f>
        <v>0.19851063829787235</v>
      </c>
      <c r="K109" s="2904">
        <f>(-0.214*(K108^2)-21.991*K108+4665)*(10^(-4))/K101</f>
        <v>0.19851063829787235</v>
      </c>
      <c r="L109" s="2904">
        <f>(-0.214*(L108^2)-21.991*L108+4665)*(10^(-4))/L101</f>
        <v>0.19851063829787235</v>
      </c>
      <c r="M109" s="2904">
        <f>(-0.214*(M108^2)-21.991*M108+4665)*(10^(-4))/M101</f>
        <v>0.19851063829787235</v>
      </c>
      <c r="N109" s="2904">
        <f>(-0.214*(N108^2)-21.991*N108+4665)*(10^(-4))/N101</f>
        <v>0.19851063829787235</v>
      </c>
    </row>
    <row r="110" spans="1:14">
      <c r="A110" s="3247" t="s">
        <v>2987</v>
      </c>
      <c r="B110" s="3247"/>
      <c r="C110" s="3247"/>
      <c r="D110" s="3247"/>
      <c r="E110" s="3247"/>
      <c r="F110" s="3247"/>
      <c r="G110" s="3247"/>
      <c r="H110" s="3247"/>
      <c r="I110" s="3247"/>
      <c r="J110" s="3247"/>
      <c r="K110" s="2907"/>
      <c r="L110" s="2907"/>
      <c r="M110" s="2907"/>
      <c r="N110" s="2907"/>
    </row>
    <row r="112" spans="1:14" ht="13.5" thickBot="1"/>
    <row r="113" spans="1:13" ht="25.5" thickBot="1">
      <c r="A113" s="903" t="s">
        <v>2988</v>
      </c>
      <c r="B113" s="1290">
        <f>G3</f>
        <v>2.35</v>
      </c>
      <c r="C113" s="904" t="s">
        <v>2989</v>
      </c>
      <c r="D113" s="905">
        <f>SUMPRODUCT((A115:A118=F113)*(B114:M114=H113)*B115:M118)</f>
        <v>0</v>
      </c>
      <c r="E113" s="2730" t="s">
        <v>2819</v>
      </c>
      <c r="F113" s="2909">
        <f>E2</f>
        <v>0</v>
      </c>
      <c r="G113" s="2730" t="s">
        <v>2820</v>
      </c>
      <c r="H113" s="2909">
        <f>G2</f>
        <v>0</v>
      </c>
      <c r="I113" s="2730"/>
      <c r="J113" s="2910"/>
      <c r="K113" s="2910"/>
      <c r="L113" s="2910"/>
      <c r="M113" s="2910"/>
    </row>
    <row r="114" spans="1:13">
      <c r="A114" s="908"/>
      <c r="B114" s="2911" t="s">
        <v>2990</v>
      </c>
      <c r="C114" s="2911" t="s">
        <v>2991</v>
      </c>
      <c r="D114" s="2911" t="s">
        <v>2992</v>
      </c>
      <c r="E114" s="2912" t="s">
        <v>2993</v>
      </c>
      <c r="F114" s="2912" t="s">
        <v>2994</v>
      </c>
      <c r="G114" s="2912" t="s">
        <v>2995</v>
      </c>
      <c r="H114" s="2913" t="s">
        <v>2996</v>
      </c>
      <c r="I114" s="2913" t="s">
        <v>2997</v>
      </c>
      <c r="J114" s="2914" t="s">
        <v>2998</v>
      </c>
      <c r="K114" s="2914" t="s">
        <v>2999</v>
      </c>
      <c r="L114" s="2914" t="s">
        <v>3000</v>
      </c>
      <c r="M114" s="2915" t="s">
        <v>3001</v>
      </c>
    </row>
    <row r="115" spans="1:13">
      <c r="A115" s="909" t="s">
        <v>2884</v>
      </c>
      <c r="B115" s="910">
        <f>ROUND(0.9335-0.0094*B113,4)</f>
        <v>0.91139999999999999</v>
      </c>
      <c r="C115" s="910">
        <f>B115</f>
        <v>0.91139999999999999</v>
      </c>
      <c r="D115" s="910">
        <f>ROUND(0.8331-0.0109*B113,4)</f>
        <v>0.8075</v>
      </c>
      <c r="E115" s="910">
        <f>D115</f>
        <v>0.8075</v>
      </c>
      <c r="F115" s="910">
        <f>E115</f>
        <v>0.8075</v>
      </c>
      <c r="G115" s="910">
        <f>F115</f>
        <v>0.8075</v>
      </c>
      <c r="H115" s="910">
        <f>G115</f>
        <v>0.8075</v>
      </c>
      <c r="I115" s="910">
        <f>ROUND(0.689-0.0155*B113,4)</f>
        <v>0.65259999999999996</v>
      </c>
      <c r="J115" s="910">
        <f t="shared" ref="J115:M118" si="33">I115</f>
        <v>0.65259999999999996</v>
      </c>
      <c r="K115" s="910">
        <f t="shared" si="33"/>
        <v>0.65259999999999996</v>
      </c>
      <c r="L115" s="910">
        <f t="shared" si="33"/>
        <v>0.65259999999999996</v>
      </c>
      <c r="M115" s="911">
        <f t="shared" si="33"/>
        <v>0.65259999999999996</v>
      </c>
    </row>
    <row r="116" spans="1:13">
      <c r="A116" s="909" t="s">
        <v>2885</v>
      </c>
      <c r="B116" s="910">
        <f>ROUND(0.949-0.012*B113,4)</f>
        <v>0.92079999999999995</v>
      </c>
      <c r="C116" s="910">
        <f>B116</f>
        <v>0.92079999999999995</v>
      </c>
      <c r="D116" s="910">
        <f>ROUND(0.8567-0.013*B113,4)</f>
        <v>0.82620000000000005</v>
      </c>
      <c r="E116" s="910">
        <f t="shared" ref="E116:H117" si="34">D116</f>
        <v>0.82620000000000005</v>
      </c>
      <c r="F116" s="910">
        <f t="shared" si="34"/>
        <v>0.82620000000000005</v>
      </c>
      <c r="G116" s="910">
        <f t="shared" si="34"/>
        <v>0.82620000000000005</v>
      </c>
      <c r="H116" s="910">
        <f t="shared" si="34"/>
        <v>0.82620000000000005</v>
      </c>
      <c r="I116" s="910">
        <f>ROUND(0.7694-0.014*B113,4)</f>
        <v>0.73650000000000004</v>
      </c>
      <c r="J116" s="910">
        <f t="shared" si="33"/>
        <v>0.73650000000000004</v>
      </c>
      <c r="K116" s="910">
        <f t="shared" si="33"/>
        <v>0.73650000000000004</v>
      </c>
      <c r="L116" s="910">
        <f t="shared" si="33"/>
        <v>0.73650000000000004</v>
      </c>
      <c r="M116" s="911">
        <f t="shared" si="33"/>
        <v>0.73650000000000004</v>
      </c>
    </row>
    <row r="117" spans="1:13">
      <c r="A117" s="909" t="s">
        <v>2886</v>
      </c>
      <c r="B117" s="910">
        <f>ROUND(0.8808-0.006*B113,4)</f>
        <v>0.86670000000000003</v>
      </c>
      <c r="C117" s="910">
        <f>B117</f>
        <v>0.86670000000000003</v>
      </c>
      <c r="D117" s="910">
        <f>ROUND(0.8748-0.008*B113,4)</f>
        <v>0.85599999999999998</v>
      </c>
      <c r="E117" s="910">
        <f t="shared" si="34"/>
        <v>0.85599999999999998</v>
      </c>
      <c r="F117" s="910">
        <f t="shared" si="34"/>
        <v>0.85599999999999998</v>
      </c>
      <c r="G117" s="910">
        <f t="shared" si="34"/>
        <v>0.85599999999999998</v>
      </c>
      <c r="H117" s="910">
        <f t="shared" si="34"/>
        <v>0.85599999999999998</v>
      </c>
      <c r="I117" s="910">
        <f>ROUND(0.7412-0.0095*B113,4)</f>
        <v>0.71889999999999998</v>
      </c>
      <c r="J117" s="910">
        <f t="shared" si="33"/>
        <v>0.71889999999999998</v>
      </c>
      <c r="K117" s="910">
        <f t="shared" si="33"/>
        <v>0.71889999999999998</v>
      </c>
      <c r="L117" s="910">
        <f t="shared" si="33"/>
        <v>0.71889999999999998</v>
      </c>
      <c r="M117" s="911">
        <f t="shared" si="33"/>
        <v>0.71889999999999998</v>
      </c>
    </row>
    <row r="118" spans="1:13" ht="13.5" thickBot="1">
      <c r="A118" s="714" t="s">
        <v>2887</v>
      </c>
      <c r="B118" s="912">
        <f>ROUND(0.7275-0.01*B113,4)</f>
        <v>0.70399999999999996</v>
      </c>
      <c r="C118" s="912">
        <f>B118</f>
        <v>0.70399999999999996</v>
      </c>
      <c r="D118" s="912">
        <f>ROUND(0.7043-0.012*B113,4)</f>
        <v>0.67610000000000003</v>
      </c>
      <c r="E118" s="912">
        <f>D118</f>
        <v>0.67610000000000003</v>
      </c>
      <c r="F118" s="912">
        <f>E118</f>
        <v>0.67610000000000003</v>
      </c>
      <c r="G118" s="912">
        <f>ROUND(0.6299-0.0122*B113,4)</f>
        <v>0.60119999999999996</v>
      </c>
      <c r="H118" s="912">
        <f>G118</f>
        <v>0.60119999999999996</v>
      </c>
      <c r="I118" s="912">
        <f>ROUND(0.5667-0.0136*B113,4)</f>
        <v>0.53469999999999995</v>
      </c>
      <c r="J118" s="912">
        <f t="shared" si="33"/>
        <v>0.53469999999999995</v>
      </c>
      <c r="K118" s="912">
        <f t="shared" si="33"/>
        <v>0.53469999999999995</v>
      </c>
      <c r="L118" s="912">
        <f t="shared" si="33"/>
        <v>0.53469999999999995</v>
      </c>
      <c r="M118" s="913">
        <f t="shared" si="33"/>
        <v>0.53469999999999995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3010</v>
      </c>
    </row>
    <row r="2" spans="1:5" ht="15.75">
      <c r="A2" s="2916" t="s">
        <v>3002</v>
      </c>
      <c r="B2" s="2917" t="e">
        <f ca="1">SUMIF(B6:B13,"&lt;&gt;#ref!",B6:B13)</f>
        <v>#DIV/0!</v>
      </c>
      <c r="C2" s="2916" t="s">
        <v>3003</v>
      </c>
      <c r="D2" s="2916" t="s">
        <v>3004</v>
      </c>
      <c r="E2" s="2917" t="e">
        <f ca="1">SUM(E6:E13)</f>
        <v>#REF!</v>
      </c>
    </row>
    <row r="3" spans="1:5" ht="15.75">
      <c r="A3" s="2916" t="s">
        <v>3005</v>
      </c>
      <c r="B3" s="2917" t="e">
        <f ca="1">ROUND(B2*10000/E2,0)</f>
        <v>#DIV/0!</v>
      </c>
      <c r="C3" s="2916" t="s">
        <v>3011</v>
      </c>
      <c r="D3" s="2918"/>
      <c r="E3" s="2918"/>
    </row>
    <row r="4" spans="1:5" ht="15.75">
      <c r="A4" s="2919"/>
      <c r="B4" s="2918"/>
      <c r="C4" s="2918"/>
      <c r="D4" s="2918"/>
      <c r="E4" s="2918"/>
    </row>
    <row r="5" spans="1:5" ht="28.5">
      <c r="A5" s="2920" t="s">
        <v>3006</v>
      </c>
      <c r="B5" s="2916" t="s">
        <v>3007</v>
      </c>
      <c r="C5" s="2917"/>
      <c r="D5" s="2918"/>
      <c r="E5" s="2916" t="s">
        <v>3008</v>
      </c>
    </row>
    <row r="6" spans="1:5" ht="15.75">
      <c r="A6" s="2921" t="s">
        <v>3009</v>
      </c>
      <c r="B6" s="2917" t="e">
        <f ca="1">SUMIF(INDIRECT("'"&amp;A6&amp;"'"&amp;"!A:A"),"总价",INDIRECT("'"&amp;A6&amp;"'"&amp;"!B:B"))</f>
        <v>#DIV/0!</v>
      </c>
      <c r="C6" s="2916" t="s">
        <v>3003</v>
      </c>
      <c r="D6" s="2918"/>
      <c r="E6" s="2581">
        <f ca="1">SUMIF(INDIRECT("'"&amp;A6&amp;"'"&amp;"!C:C"),"建筑面积",INDIRECT("'"&amp;A6&amp;"'"&amp;"!D:D"))</f>
        <v>0</v>
      </c>
    </row>
    <row r="7" spans="1:5" ht="15.75">
      <c r="A7" s="2921"/>
      <c r="B7" s="2917" t="e">
        <f ca="1">SUMIF(INDIRECT("'"&amp;A7&amp;"'"&amp;"!A:A"),"总价",INDIRECT("'"&amp;A7&amp;"'"&amp;"!B:B"))</f>
        <v>#REF!</v>
      </c>
      <c r="C7" s="2916" t="s">
        <v>3003</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3003</v>
      </c>
      <c r="D8" s="2918"/>
      <c r="E8" s="2581" t="e">
        <f t="shared" ca="1" si="0"/>
        <v>#REF!</v>
      </c>
    </row>
    <row r="9" spans="1:5" ht="15.75">
      <c r="A9" s="2921"/>
      <c r="B9" s="2917" t="e">
        <f t="shared" ca="1" si="1"/>
        <v>#REF!</v>
      </c>
      <c r="C9" s="2916" t="s">
        <v>3003</v>
      </c>
      <c r="D9" s="2918"/>
      <c r="E9" s="2581" t="e">
        <f t="shared" ca="1" si="0"/>
        <v>#REF!</v>
      </c>
    </row>
    <row r="10" spans="1:5" ht="15.75">
      <c r="A10" s="2921"/>
      <c r="B10" s="2917" t="e">
        <f t="shared" ca="1" si="1"/>
        <v>#REF!</v>
      </c>
      <c r="C10" s="2916" t="s">
        <v>3003</v>
      </c>
      <c r="D10" s="2918"/>
      <c r="E10" s="2581" t="e">
        <f t="shared" ca="1" si="0"/>
        <v>#REF!</v>
      </c>
    </row>
    <row r="11" spans="1:5" ht="15.75">
      <c r="A11" s="2921"/>
      <c r="B11" s="2917" t="e">
        <f t="shared" ca="1" si="1"/>
        <v>#REF!</v>
      </c>
      <c r="C11" s="2916" t="s">
        <v>3003</v>
      </c>
      <c r="D11" s="2918"/>
      <c r="E11" s="2581" t="e">
        <f t="shared" ca="1" si="0"/>
        <v>#REF!</v>
      </c>
    </row>
    <row r="12" spans="1:5" ht="15.75">
      <c r="A12" s="2921"/>
      <c r="B12" s="2917" t="e">
        <f t="shared" ca="1" si="1"/>
        <v>#REF!</v>
      </c>
      <c r="C12" s="2916" t="s">
        <v>3003</v>
      </c>
      <c r="D12" s="2918"/>
      <c r="E12" s="2581" t="e">
        <f t="shared" ca="1" si="0"/>
        <v>#REF!</v>
      </c>
    </row>
    <row r="13" spans="1:5" ht="15.75">
      <c r="A13" s="2921"/>
      <c r="B13" s="2917" t="e">
        <f t="shared" ca="1" si="1"/>
        <v>#REF!</v>
      </c>
      <c r="C13" s="2916" t="s">
        <v>3003</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0" t="s">
        <v>1150</v>
      </c>
      <c r="C1" s="3270"/>
      <c r="D1" s="3270"/>
      <c r="E1" s="3270"/>
      <c r="F1" s="3270"/>
      <c r="G1" s="3266" t="s">
        <v>1151</v>
      </c>
      <c r="H1" s="3266"/>
      <c r="I1" s="3266"/>
      <c r="J1" s="3266"/>
      <c r="K1" s="3266"/>
      <c r="L1" s="3266"/>
      <c r="N1" s="3266" t="s">
        <v>1152</v>
      </c>
      <c r="O1" s="3266"/>
      <c r="P1" s="3266"/>
      <c r="Q1" s="3266"/>
      <c r="R1" s="1449"/>
      <c r="S1" s="3266" t="s">
        <v>1153</v>
      </c>
      <c r="T1" s="3266"/>
      <c r="U1" s="3266"/>
      <c r="V1" s="3266"/>
      <c r="X1" s="3265" t="s">
        <v>1154</v>
      </c>
      <c r="Y1" s="3266"/>
      <c r="Z1" s="3266"/>
      <c r="AA1" s="3266"/>
      <c r="AB1" s="3266"/>
      <c r="AD1" s="3265" t="s">
        <v>1155</v>
      </c>
      <c r="AE1" s="3266"/>
      <c r="AF1" s="3266"/>
      <c r="AG1" s="3266"/>
      <c r="AH1" s="326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3049</v>
      </c>
      <c r="B3" s="2936"/>
      <c r="C3" s="2936"/>
      <c r="D3" s="2937"/>
      <c r="E3" s="2937"/>
      <c r="F3" s="2936"/>
      <c r="G3" s="2938"/>
      <c r="H3" s="2939"/>
      <c r="I3" s="2940">
        <f>ROUND(AVERAGE($I6:$I21),2)</f>
        <v>2.4500000000000002</v>
      </c>
      <c r="J3" s="2940">
        <f>ROUND(AVERAGE($J6:$J21),2)</f>
        <v>1.65</v>
      </c>
      <c r="K3" s="2940">
        <f>ROUND(AVERAGE($K6:$K21),2)</f>
        <v>2.71</v>
      </c>
      <c r="L3" s="2940">
        <f>ROUND(AVERAGE($L6:$L21),2)</f>
        <v>1.39</v>
      </c>
      <c r="N3" s="2938"/>
      <c r="O3" s="2941"/>
      <c r="P3" s="2941"/>
      <c r="Q3" s="2941"/>
      <c r="R3" s="2941"/>
      <c r="S3" s="2938"/>
      <c r="T3" s="2941"/>
      <c r="U3" s="2941"/>
      <c r="V3" s="2941"/>
      <c r="W3" s="2933"/>
      <c r="X3" s="2942">
        <f>ROUND(SUMPRODUCT(PRODUCT(1+N3:N$20)),4)</f>
        <v>1.4274</v>
      </c>
      <c r="Y3" s="2942">
        <f>ROUND(SUMPRODUCT(PRODUCT(1+O3:O$20)),4)</f>
        <v>1.2685</v>
      </c>
      <c r="Z3" s="2942">
        <f t="shared" ref="Z3:Z18" si="0">Y3</f>
        <v>1.2685</v>
      </c>
      <c r="AA3" s="2942">
        <f>ROUND(SUMPRODUCT(PRODUCT(1+P3:P$20)),4)</f>
        <v>1.4825999999999999</v>
      </c>
      <c r="AB3" s="2942">
        <f>ROUND(SUMPRODUCT(PRODUCT(1+Q3:Q$20)),4)</f>
        <v>1.2309000000000001</v>
      </c>
      <c r="AD3" s="2943">
        <f>ROUND(AVERAGE(I3:I$21)/100,4)</f>
        <v>2.3099999999999999E-2</v>
      </c>
      <c r="AE3" s="2943">
        <f>ROUND(AVERAGE(J3:J$21)/100,4)</f>
        <v>1.5599999999999999E-2</v>
      </c>
      <c r="AF3" s="2943">
        <f t="shared" ref="AF3:AF19" si="1">AE3</f>
        <v>1.5599999999999999E-2</v>
      </c>
      <c r="AG3" s="2943">
        <f>ROUND(AVERAGE(K3:K$21)/100,4)</f>
        <v>2.5600000000000001E-2</v>
      </c>
      <c r="AH3" s="2943">
        <f>ROUND(AVERAGE(L3:L$21)/100,4)</f>
        <v>1.32E-2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3048</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2">
        <v>2018</v>
      </c>
      <c r="H5" s="1733">
        <v>1</v>
      </c>
      <c r="I5" s="2930">
        <v>0</v>
      </c>
      <c r="J5" s="2930">
        <v>0</v>
      </c>
      <c r="K5" s="2930">
        <v>0</v>
      </c>
      <c r="L5" s="2930">
        <v>0</v>
      </c>
      <c r="N5" s="1470">
        <f t="shared" ref="N5:N10" si="7">I5/100</f>
        <v>0</v>
      </c>
      <c r="O5" s="1470">
        <f t="shared" ref="O5" si="8">J5/100</f>
        <v>0</v>
      </c>
      <c r="P5" s="1470">
        <f t="shared" ref="P5" si="9">K5/100</f>
        <v>0</v>
      </c>
      <c r="Q5" s="1470">
        <f t="shared" ref="Q5" si="10">L5/100</f>
        <v>0</v>
      </c>
      <c r="R5" s="1735"/>
      <c r="S5" s="1736"/>
      <c r="T5" s="1735"/>
      <c r="U5" s="1735"/>
      <c r="V5" s="1735"/>
      <c r="W5" s="2934" t="s">
        <v>3050</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3045</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2">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3046</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8"/>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7"/>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8"/>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71">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68"/>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68"/>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69"/>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67">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68"/>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68"/>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69"/>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67">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68"/>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68"/>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69"/>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72">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73"/>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73"/>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74"/>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67">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68"/>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68"/>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69"/>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67">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68">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68">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69">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67">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68">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68">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69">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67">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68">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68">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69">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67">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68">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68">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69">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67">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68">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68">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69">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67">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68">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68">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69">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67">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68">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68">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69">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67">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68">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68">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69">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67">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68">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68">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69">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67">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68">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68">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69">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9"/>
      <c r="C2" s="2959"/>
      <c r="D2" s="2959"/>
      <c r="E2" s="2959"/>
    </row>
    <row r="3" spans="1:5" ht="18">
      <c r="A3" s="2960" t="str">
        <f>IF(项目基本情况!B9="房地产市场价值","估价结果一览表（市场价值不需“结果表-1”）","估价结果一览表")</f>
        <v>估价结果一览表</v>
      </c>
      <c r="B3" s="2960"/>
      <c r="C3" s="2960"/>
      <c r="D3" s="2960"/>
      <c r="E3" s="2960"/>
    </row>
    <row r="4" spans="1:5" ht="19.5" thickBot="1">
      <c r="A4" s="1964"/>
      <c r="B4" s="2958" t="s">
        <v>1631</v>
      </c>
      <c r="C4" s="2958"/>
      <c r="D4" s="2958"/>
      <c r="E4" s="1964"/>
    </row>
    <row r="5" spans="1:5" ht="16.5" thickTop="1">
      <c r="A5" s="1962"/>
      <c r="B5" s="2956" t="s">
        <v>1623</v>
      </c>
      <c r="C5" s="1965" t="s">
        <v>1624</v>
      </c>
      <c r="D5" s="1043">
        <f ca="1">结果表!H101</f>
        <v>65901</v>
      </c>
      <c r="E5" s="1962"/>
    </row>
    <row r="6" spans="1:5" ht="15.75">
      <c r="A6" s="1962"/>
      <c r="B6" s="2956"/>
      <c r="C6" s="1965" t="s">
        <v>1625</v>
      </c>
      <c r="D6" s="1043" t="str">
        <f ca="1">NUMBERSTRING(INT(D5*10000),2)&amp;"元整"</f>
        <v>陆亿伍仟玖佰零壹万元整</v>
      </c>
      <c r="E6" s="1962"/>
    </row>
    <row r="7" spans="1:5" ht="15.75">
      <c r="A7" s="1962"/>
      <c r="B7" s="2961"/>
      <c r="C7" s="1966" t="s">
        <v>1626</v>
      </c>
      <c r="D7" s="1044">
        <f ca="1">结果表!H102</f>
        <v>7389</v>
      </c>
      <c r="E7" s="1962"/>
    </row>
    <row r="8" spans="1:5" ht="15.75">
      <c r="A8" s="1962"/>
      <c r="B8" s="2962" t="str">
        <f>结果表!E103</f>
        <v>2.估价师知悉的法定优先受偿款</v>
      </c>
      <c r="C8" s="1967" t="s">
        <v>1627</v>
      </c>
      <c r="D8" s="1044">
        <f>结果表!H103</f>
        <v>0</v>
      </c>
      <c r="E8" s="1962"/>
    </row>
    <row r="9" spans="1:5" ht="15.75">
      <c r="A9" s="1962"/>
      <c r="B9" s="2964"/>
      <c r="C9" s="1965" t="s">
        <v>1625</v>
      </c>
      <c r="D9" s="1043" t="str">
        <f>NUMBERSTRING(INT(D8*10000),2)&amp;"元整"</f>
        <v>零元整</v>
      </c>
      <c r="E9" s="1962"/>
    </row>
    <row r="10" spans="1:5" ht="15">
      <c r="A10" s="1962"/>
      <c r="B10" s="1968" t="s">
        <v>1630</v>
      </c>
      <c r="C10" s="1969" t="s">
        <v>1628</v>
      </c>
      <c r="D10" s="1045">
        <f>结果表!H104</f>
        <v>0</v>
      </c>
      <c r="E10" s="1962"/>
    </row>
    <row r="11" spans="1:5" ht="15">
      <c r="A11" s="1962"/>
      <c r="B11" s="1968" t="s">
        <v>1632</v>
      </c>
      <c r="C11" s="1969" t="s">
        <v>1633</v>
      </c>
      <c r="D11" s="1045">
        <f>结果表!H105</f>
        <v>0</v>
      </c>
      <c r="E11" s="1962"/>
    </row>
    <row r="12" spans="1:5" ht="15">
      <c r="A12" s="1962"/>
      <c r="B12" s="1968" t="s">
        <v>1634</v>
      </c>
      <c r="C12" s="1969" t="s">
        <v>1633</v>
      </c>
      <c r="D12" s="1045">
        <f>结果表!H106</f>
        <v>0</v>
      </c>
      <c r="E12" s="1962"/>
    </row>
    <row r="13" spans="1:5" ht="15.75">
      <c r="A13" s="1962"/>
      <c r="B13" s="2955" t="str">
        <f>结果表!E107</f>
        <v>3.房地产抵押价值</v>
      </c>
      <c r="C13" s="1970" t="s">
        <v>1624</v>
      </c>
      <c r="D13" s="1046">
        <f ca="1">结果表!H107</f>
        <v>65901</v>
      </c>
      <c r="E13" s="1962"/>
    </row>
    <row r="14" spans="1:5" ht="15.75">
      <c r="A14" s="1962"/>
      <c r="B14" s="2956"/>
      <c r="C14" s="1965" t="s">
        <v>1625</v>
      </c>
      <c r="D14" s="1043" t="str">
        <f ca="1">NUMBERSTRING(INT(D13*10000),2)&amp;"元整"</f>
        <v>陆亿伍仟玖佰零壹万元整</v>
      </c>
      <c r="E14" s="1962"/>
    </row>
    <row r="15" spans="1:5" ht="15">
      <c r="A15" s="1962"/>
      <c r="B15" s="2961"/>
      <c r="C15" s="1966" t="s">
        <v>1635</v>
      </c>
      <c r="D15" s="1055">
        <f ca="1">结果表!H108</f>
        <v>7389</v>
      </c>
      <c r="E15" s="1962"/>
    </row>
    <row r="16" spans="1:5" ht="15">
      <c r="A16" s="1962"/>
      <c r="B16" s="2962" t="str">
        <f>结果表!E109</f>
        <v>——</v>
      </c>
      <c r="C16" s="1970" t="s">
        <v>1636</v>
      </c>
      <c r="D16" s="1971" t="str">
        <f>结果表!H109</f>
        <v>——</v>
      </c>
      <c r="E16" s="1962"/>
    </row>
    <row r="17" spans="1:5" ht="15.75">
      <c r="A17" s="1962"/>
      <c r="B17" s="2963"/>
      <c r="C17" s="1965" t="s">
        <v>1637</v>
      </c>
      <c r="D17" s="1043" t="e">
        <f>NUMBERSTRING(INT(D16*10000),2)&amp;"元整"</f>
        <v>#VALUE!</v>
      </c>
      <c r="E17" s="1962"/>
    </row>
    <row r="18" spans="1:5" ht="15">
      <c r="A18" s="1962"/>
      <c r="B18" s="2964"/>
      <c r="C18" s="1966" t="s">
        <v>1626</v>
      </c>
      <c r="D18" s="1055" t="str">
        <f>结果表!H110</f>
        <v>——</v>
      </c>
      <c r="E18" s="1962"/>
    </row>
    <row r="19" spans="1:5" ht="15.75">
      <c r="A19" s="1962"/>
      <c r="B19" s="2955" t="str">
        <f>结果表!E111</f>
        <v>——</v>
      </c>
      <c r="C19" s="1970" t="s">
        <v>1624</v>
      </c>
      <c r="D19" s="1044" t="str">
        <f>结果表!H111</f>
        <v>——</v>
      </c>
      <c r="E19" s="1962"/>
    </row>
    <row r="20" spans="1:5" ht="15.75">
      <c r="A20" s="1962"/>
      <c r="B20" s="2956"/>
      <c r="C20" s="1965" t="s">
        <v>1637</v>
      </c>
      <c r="D20" s="1043" t="e">
        <f>NUMBERSTRING(INT(D19*10000),2)&amp;"元整"</f>
        <v>#VALUE!</v>
      </c>
      <c r="E20" s="1962"/>
    </row>
    <row r="21" spans="1:5" ht="15.75" thickBot="1">
      <c r="A21" s="1962"/>
      <c r="B21" s="2957"/>
      <c r="C21" s="1972" t="s">
        <v>1635</v>
      </c>
      <c r="D21" s="1056"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276" t="s">
        <v>3013</v>
      </c>
      <c r="D1" s="3277"/>
      <c r="E1" s="3277"/>
      <c r="F1" s="3277"/>
      <c r="G1" s="3277"/>
      <c r="H1" s="3277"/>
      <c r="I1" s="3277"/>
      <c r="J1" s="3277"/>
      <c r="K1" s="3277"/>
      <c r="L1" s="3277"/>
      <c r="M1" s="3277"/>
      <c r="N1" s="3277"/>
      <c r="O1" s="3277"/>
      <c r="P1" s="3277"/>
      <c r="Q1" s="3277"/>
      <c r="R1" s="3277"/>
      <c r="S1" s="3278"/>
      <c r="T1" s="1207" t="s">
        <v>3014</v>
      </c>
    </row>
    <row r="2" spans="1:45" s="707" customFormat="1">
      <c r="A2" s="1208"/>
      <c r="B2" s="703" t="s">
        <v>3015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3022</v>
      </c>
      <c r="B17" s="2923" t="s">
        <v>3023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3024</v>
      </c>
      <c r="E19" s="1795"/>
      <c r="F19" s="1795"/>
      <c r="G19" s="1795"/>
      <c r="H19" s="1283"/>
      <c r="I19" s="168"/>
      <c r="J19" s="168"/>
      <c r="K19" s="168"/>
      <c r="L19" s="168"/>
      <c r="M19" s="168"/>
      <c r="N19" s="168"/>
      <c r="O19" s="168"/>
      <c r="P19" s="168"/>
      <c r="Q19" s="168"/>
      <c r="R19" s="788"/>
      <c r="S19" s="138"/>
    </row>
    <row r="20" spans="1:45" ht="16.5" thickBot="1">
      <c r="A20" s="715" t="s">
        <v>3025</v>
      </c>
      <c r="B20" s="338" t="e">
        <f ca="1">IF(D20="——",S22,S22-F20)</f>
        <v>#REF!</v>
      </c>
      <c r="C20" s="168"/>
      <c r="D20" s="2925" t="s">
        <v>3026</v>
      </c>
      <c r="E20" s="1796"/>
      <c r="F20" s="1207" t="e">
        <f ca="1">SUMIF(INDIRECT("'"&amp;H20&amp;"'"&amp;"!A:A"),"承租人权益价值",INDIRECT("'"&amp;H20&amp;"'"&amp;"!c:c"))</f>
        <v>#REF!</v>
      </c>
      <c r="G20" s="1207" t="s">
        <v>3027</v>
      </c>
      <c r="H20" s="2926"/>
      <c r="I20" s="168"/>
      <c r="J20" s="168"/>
      <c r="K20" s="168"/>
      <c r="L20" s="168"/>
      <c r="M20" s="168"/>
      <c r="N20" s="168"/>
      <c r="O20" s="168"/>
      <c r="P20" s="168"/>
      <c r="Q20" s="168"/>
      <c r="R20" s="788"/>
      <c r="S20" s="138"/>
    </row>
    <row r="21" spans="1:45" ht="15.75">
      <c r="A21" s="715" t="s">
        <v>3028</v>
      </c>
      <c r="B21" s="338">
        <f>R22</f>
        <v>10000</v>
      </c>
      <c r="C21" s="168"/>
      <c r="D21" s="168"/>
      <c r="E21" s="168"/>
      <c r="F21" s="168"/>
      <c r="G21" s="168"/>
      <c r="H21" s="168"/>
      <c r="I21" s="168"/>
      <c r="J21" s="168"/>
      <c r="K21" s="168"/>
      <c r="L21" s="168"/>
      <c r="M21" s="168"/>
      <c r="N21" s="168"/>
      <c r="O21" s="168"/>
      <c r="P21" s="168"/>
      <c r="Q21" s="168"/>
      <c r="R21" s="788"/>
      <c r="S21" s="138"/>
    </row>
    <row r="22" spans="1:45">
      <c r="A22" s="361" t="s">
        <v>3029</v>
      </c>
      <c r="B22" s="24">
        <f>SUM(B24:B10000)</f>
        <v>100</v>
      </c>
      <c r="C22" s="3055" t="s">
        <v>33</v>
      </c>
      <c r="D22" s="3056"/>
      <c r="E22" s="3056"/>
      <c r="F22" s="3056"/>
      <c r="G22" s="3056"/>
      <c r="H22" s="3056"/>
      <c r="I22" s="3056"/>
      <c r="J22" s="3056"/>
      <c r="K22" s="3056"/>
      <c r="L22" s="3056"/>
      <c r="M22" s="3056"/>
      <c r="N22" s="3056"/>
      <c r="O22" s="3056"/>
      <c r="P22" s="3056"/>
      <c r="Q22" s="3275"/>
      <c r="R22" s="716">
        <f>ROUND(S22*10000/B22,0)</f>
        <v>10000</v>
      </c>
      <c r="S22" s="24">
        <f>SUM(S24:S10000)</f>
        <v>100</v>
      </c>
    </row>
    <row r="23" spans="1:45" s="12" customFormat="1" ht="24">
      <c r="A23" s="11" t="s">
        <v>3030</v>
      </c>
      <c r="B23" s="11" t="s">
        <v>3031</v>
      </c>
      <c r="C23" s="11" t="s">
        <v>3032</v>
      </c>
      <c r="D23" s="11" t="str">
        <f>B5</f>
        <v>修正项2</v>
      </c>
      <c r="E23" s="11" t="s">
        <v>3032</v>
      </c>
      <c r="F23" s="11" t="str">
        <f>B7</f>
        <v>修正项3</v>
      </c>
      <c r="G23" s="11" t="s">
        <v>3032</v>
      </c>
      <c r="H23" s="11" t="str">
        <f>B9</f>
        <v>修正项4</v>
      </c>
      <c r="I23" s="11" t="s">
        <v>3032</v>
      </c>
      <c r="J23" s="11" t="str">
        <f>B11</f>
        <v>修正项5</v>
      </c>
      <c r="K23" s="11" t="s">
        <v>3032</v>
      </c>
      <c r="L23" s="11" t="str">
        <f>B13</f>
        <v>修正项6</v>
      </c>
      <c r="M23" s="11" t="s">
        <v>3032</v>
      </c>
      <c r="N23" s="11" t="str">
        <f>B15</f>
        <v>修正项7</v>
      </c>
      <c r="O23" s="11" t="s">
        <v>3032</v>
      </c>
      <c r="P23" s="11" t="str">
        <f>B17</f>
        <v>楼层</v>
      </c>
      <c r="Q23" s="11" t="s">
        <v>3032</v>
      </c>
      <c r="R23" s="717" t="s">
        <v>3033</v>
      </c>
      <c r="S23" s="11" t="s">
        <v>3034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35868</v>
      </c>
      <c r="C2" s="2" t="s">
        <v>133</v>
      </c>
      <c r="D2" s="243"/>
      <c r="E2" s="243"/>
      <c r="F2" s="243"/>
      <c r="G2" s="243"/>
    </row>
    <row r="3" spans="1:7" s="244" customFormat="1" ht="18" customHeight="1" thickBot="1">
      <c r="A3" s="247" t="s">
        <v>85</v>
      </c>
      <c r="B3" s="248">
        <f ca="1">ROUND(B2*10000/'数据-汇总表'!E3,0)</f>
        <v>4022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1000</v>
      </c>
      <c r="D9" s="1035">
        <f>'数据-汇总表'!E5</f>
        <v>49976.76</v>
      </c>
      <c r="E9" s="269">
        <f>'数据-取费表'!B27</f>
        <v>200</v>
      </c>
      <c r="F9" s="265"/>
      <c r="G9" s="270"/>
    </row>
    <row r="10" spans="1:7" s="258" customFormat="1" ht="13.5" customHeight="1">
      <c r="A10" s="953" t="s">
        <v>801</v>
      </c>
      <c r="B10" s="268" t="s">
        <v>94</v>
      </c>
      <c r="C10" s="269">
        <f>ROUND(D10*E10/10000,0)</f>
        <v>784</v>
      </c>
      <c r="D10" s="1035">
        <f>'数据-汇总表'!E6</f>
        <v>39210.549999999996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1784</v>
      </c>
      <c r="D19" s="1039">
        <f>'数据-汇总表'!E3</f>
        <v>89187.31</v>
      </c>
      <c r="E19" s="255">
        <f>'数据-取费表'!B31</f>
        <v>200</v>
      </c>
      <c r="F19" s="275"/>
      <c r="G19" s="1" t="s">
        <v>1074</v>
      </c>
    </row>
    <row r="20" spans="1:7" s="258" customFormat="1" ht="13.5" customHeight="1">
      <c r="A20" s="951" t="s">
        <v>1057</v>
      </c>
      <c r="B20" s="254" t="s">
        <v>104</v>
      </c>
      <c r="C20" s="276">
        <f>ROUND((C5+C19)*F20,0)</f>
        <v>448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730</v>
      </c>
      <c r="D22" s="279">
        <f ca="1">C26</f>
        <v>2.9999999999999997E-4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665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58</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625</v>
      </c>
      <c r="D27" s="279">
        <f>C29</f>
        <v>5.0000000000000001E-4</v>
      </c>
      <c r="E27" s="280" t="s">
        <v>126</v>
      </c>
      <c r="F27" s="290">
        <f>'数据-取费表'!Q16</f>
        <v>0.08</v>
      </c>
      <c r="G27" s="291" t="s">
        <v>1069</v>
      </c>
    </row>
    <row r="28" spans="1:7" s="258" customFormat="1" ht="13.5" customHeight="1">
      <c r="A28" s="954" t="s">
        <v>794</v>
      </c>
      <c r="B28" s="292" t="s">
        <v>1062</v>
      </c>
      <c r="C28" s="293">
        <f>ROUND((C5+C19+C20)*F27*'数据-取费表'!B21/'数据-取费表'!B20,0)</f>
        <v>625</v>
      </c>
      <c r="D28" s="279"/>
      <c r="E28" s="280"/>
      <c r="F28" s="290"/>
      <c r="G28" s="291"/>
    </row>
    <row r="29" spans="1:7" s="258" customFormat="1" ht="13.5" customHeight="1">
      <c r="A29" s="954" t="s">
        <v>792</v>
      </c>
      <c r="B29" s="292" t="s">
        <v>1063</v>
      </c>
      <c r="C29" s="282">
        <f>ROUND(C21*F27*'数据-取费表'!B21/'数据-取费表'!B20,4)</f>
        <v>5.0000000000000001E-4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26134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8052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7049</v>
      </c>
      <c r="D34" s="261"/>
      <c r="E34" s="264"/>
      <c r="F34" s="301">
        <f>IF('数据-取费表'!B24=0,1,'数据-取费表'!N16)</f>
        <v>0.34200000000000003</v>
      </c>
      <c r="G34" s="263" t="s">
        <v>116</v>
      </c>
    </row>
    <row r="35" spans="1:7" ht="13.5" customHeight="1">
      <c r="A35" s="954" t="s">
        <v>796</v>
      </c>
      <c r="B35" s="259" t="s">
        <v>60</v>
      </c>
      <c r="C35" s="264">
        <f>ROUND(C34*F35,0)</f>
        <v>211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76</v>
      </c>
      <c r="D36" s="264"/>
      <c r="E36" s="264"/>
      <c r="F36" s="303">
        <f>'数据-取费表'!B34</f>
        <v>0.03</v>
      </c>
      <c r="G36" s="304" t="s">
        <v>62</v>
      </c>
    </row>
    <row r="37" spans="1:7" s="302" customFormat="1" ht="13.5" customHeight="1">
      <c r="A37" s="954" t="s">
        <v>798</v>
      </c>
      <c r="B37" s="259" t="s">
        <v>118</v>
      </c>
      <c r="C37" s="293">
        <f>ROUND(E37*D37*F34/10000,0)</f>
        <v>610</v>
      </c>
      <c r="D37" s="261">
        <f>'数据-汇总表'!E3</f>
        <v>89187.31</v>
      </c>
      <c r="E37" s="293">
        <f>'数据-取费表'!B35</f>
        <v>200</v>
      </c>
      <c r="F37" s="303"/>
      <c r="G37" s="305" t="s">
        <v>119</v>
      </c>
    </row>
    <row r="38" spans="1:7" ht="13.5" customHeight="1">
      <c r="A38" s="954" t="s">
        <v>799</v>
      </c>
      <c r="B38" s="259" t="s">
        <v>63</v>
      </c>
      <c r="C38" s="264">
        <f>ROUND(C34*F38,0)</f>
        <v>106</v>
      </c>
      <c r="D38" s="264"/>
      <c r="E38" s="264"/>
      <c r="F38" s="303">
        <f>'数据-取费表'!B36</f>
        <v>1.4999999999999999E-2</v>
      </c>
      <c r="G38" s="263" t="s">
        <v>117</v>
      </c>
    </row>
    <row r="39" spans="1:7" s="258" customFormat="1" ht="13.5" customHeight="1">
      <c r="A39" s="951" t="s">
        <v>783</v>
      </c>
      <c r="B39" s="254" t="s">
        <v>104</v>
      </c>
      <c r="C39" s="276">
        <f>ROUND(C33*F20,0)</f>
        <v>161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132</v>
      </c>
      <c r="D41" s="279">
        <f ca="1">C44</f>
        <v>2.9999999999999997E-4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129</v>
      </c>
      <c r="D42" s="282"/>
      <c r="E42" s="282"/>
      <c r="F42" s="283"/>
      <c r="G42" s="3144" t="s">
        <v>121</v>
      </c>
    </row>
    <row r="43" spans="1:7" ht="13.5" customHeight="1">
      <c r="A43" s="954" t="s">
        <v>792</v>
      </c>
      <c r="B43" s="259" t="s">
        <v>1064</v>
      </c>
      <c r="C43" s="282">
        <f ca="1">ROUND(IF('数据-取费表'!B22&lt;=1,C39*F22*'数据-取费表'!B21/2,C39*(POWER((1+F22),'数据-取费表'!B21/2)-1)),0)</f>
        <v>3</v>
      </c>
      <c r="D43" s="282"/>
      <c r="E43" s="282"/>
      <c r="F43" s="283"/>
      <c r="G43" s="3145"/>
    </row>
    <row r="44" spans="1:7" ht="13.5" customHeight="1">
      <c r="A44" s="954" t="s">
        <v>793</v>
      </c>
      <c r="B44" s="259" t="s">
        <v>1066</v>
      </c>
      <c r="C44" s="282">
        <f ca="1">ROUND(IF('数据-取费表'!B22&lt;=1,C40*F22*'数据-取费表'!B21/2,C40*(POWER((1+F22),'数据-取费表'!B21/2)-1)),4)</f>
        <v>2.9999999999999997E-4</v>
      </c>
      <c r="D44" s="282"/>
      <c r="E44" s="282"/>
      <c r="F44" s="283"/>
      <c r="G44" s="3146"/>
    </row>
    <row r="45" spans="1:7" s="258" customFormat="1" ht="13.5" customHeight="1">
      <c r="A45" s="951" t="s">
        <v>786</v>
      </c>
      <c r="B45" s="288" t="s">
        <v>112</v>
      </c>
      <c r="C45" s="289">
        <f>C46</f>
        <v>657</v>
      </c>
      <c r="D45" s="279">
        <f>C47</f>
        <v>1.6000000000000001E-3</v>
      </c>
      <c r="E45" s="280" t="s">
        <v>129</v>
      </c>
      <c r="F45" s="290"/>
      <c r="G45" s="291" t="s">
        <v>1072</v>
      </c>
    </row>
    <row r="46" spans="1:7" s="258" customFormat="1" ht="13.5" customHeight="1">
      <c r="A46" s="954" t="s">
        <v>794</v>
      </c>
      <c r="B46" s="292" t="s">
        <v>1065</v>
      </c>
      <c r="C46" s="293">
        <f>ROUND((C33+C39)*F27,0)</f>
        <v>657</v>
      </c>
      <c r="D46" s="307"/>
      <c r="E46" s="280"/>
      <c r="F46" s="290"/>
      <c r="G46" s="291"/>
    </row>
    <row r="47" spans="1:7" s="258" customFormat="1" ht="13.5" customHeight="1">
      <c r="A47" s="954" t="s">
        <v>792</v>
      </c>
      <c r="B47" s="292" t="s">
        <v>1067</v>
      </c>
      <c r="C47" s="282">
        <f>ROUND(C40*F27,4)</f>
        <v>1.6000000000000001E-3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9734</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9734</v>
      </c>
      <c r="D51" s="276"/>
      <c r="E51" s="276"/>
      <c r="F51" s="308"/>
      <c r="G51" s="278" t="s">
        <v>64</v>
      </c>
    </row>
    <row r="52" spans="1:7" s="252" customFormat="1" ht="16.5" thickBot="1">
      <c r="A52" s="309" t="s">
        <v>65</v>
      </c>
      <c r="B52" s="310"/>
      <c r="C52" s="311">
        <f ca="1">C31+C51</f>
        <v>35868</v>
      </c>
      <c r="D52" s="310"/>
      <c r="E52" s="310"/>
      <c r="F52" s="310"/>
      <c r="G52" s="312"/>
    </row>
    <row r="55" spans="1:7" ht="15">
      <c r="B55" s="314" t="s">
        <v>66</v>
      </c>
      <c r="C55" s="315"/>
    </row>
    <row r="56" spans="1:7">
      <c r="B56" s="317" t="s">
        <v>67</v>
      </c>
      <c r="C56" s="318">
        <f ca="1">ROUND(C51/C52,3)</f>
        <v>0.27100000000000002</v>
      </c>
    </row>
    <row r="57" spans="1:7">
      <c r="B57" s="317" t="s">
        <v>68</v>
      </c>
      <c r="C57" s="319">
        <f ca="1">1-C56</f>
        <v>0.72899999999999998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9" t="s">
        <v>156</v>
      </c>
      <c r="B1" s="3279"/>
      <c r="C1" s="3279"/>
      <c r="D1" s="3279"/>
      <c r="E1" s="3279"/>
      <c r="F1" s="327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0" t="s">
        <v>169</v>
      </c>
      <c r="B2" s="3280"/>
      <c r="C2" s="3280"/>
      <c r="D2" s="3280"/>
      <c r="E2" s="3280"/>
      <c r="F2" s="328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9" t="s">
        <v>871</v>
      </c>
      <c r="B1" s="327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43175</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5" t="str">
        <f>IF(项目基本情况!B9="房地产市场价值","估价结果一览表","结果表-2")</f>
        <v>结果表-2</v>
      </c>
      <c r="B1" s="2965"/>
      <c r="C1" s="2965"/>
      <c r="D1" s="2965"/>
      <c r="E1" s="2965"/>
      <c r="F1" s="2965"/>
      <c r="G1" s="2965"/>
      <c r="H1" s="2965"/>
      <c r="I1" s="2965"/>
    </row>
    <row r="2" spans="1:9" ht="30" customHeight="1" thickTop="1">
      <c r="A2" s="2966" t="s">
        <v>1642</v>
      </c>
      <c r="B2" s="2966" t="s">
        <v>1643</v>
      </c>
      <c r="C2" s="2966" t="s">
        <v>1644</v>
      </c>
      <c r="D2" s="2966" t="str">
        <f>结果表!D116</f>
        <v>出让国有建设用地使用权价值</v>
      </c>
      <c r="E2" s="2966"/>
      <c r="F2" s="2966" t="str">
        <f>结果表!F116</f>
        <v>在建建筑物价值</v>
      </c>
      <c r="G2" s="2966"/>
      <c r="H2" s="2966" t="str">
        <f>IF(项目基本情况!B9="房地产市场价值","房地产市场价值","房地产价值")</f>
        <v>房地产价值</v>
      </c>
      <c r="I2" s="2966"/>
    </row>
    <row r="3" spans="1:9" ht="15">
      <c r="A3" s="2967"/>
      <c r="B3" s="2967"/>
      <c r="C3" s="2967"/>
      <c r="D3" s="1047" t="s">
        <v>1639</v>
      </c>
      <c r="E3" s="1047" t="s">
        <v>1645</v>
      </c>
      <c r="F3" s="1047" t="s">
        <v>1639</v>
      </c>
      <c r="G3" s="1047" t="s">
        <v>1640</v>
      </c>
      <c r="H3" s="1047" t="s">
        <v>1639</v>
      </c>
      <c r="I3" s="1047" t="s">
        <v>1640</v>
      </c>
    </row>
    <row r="4" spans="1:9" ht="30">
      <c r="A4" s="1976" t="str">
        <f>项目基本情况!S2</f>
        <v>出让国有建设用地使用权及在建建筑物房地产</v>
      </c>
      <c r="B4" s="1047">
        <f>项目基本情况!C17</f>
        <v>89187.31</v>
      </c>
      <c r="C4" s="1047">
        <f>项目基本情况!C18</f>
        <v>29092.1</v>
      </c>
      <c r="D4" s="1047" t="e">
        <f ca="1">结果表!D118</f>
        <v>#REF!</v>
      </c>
      <c r="E4" s="1047" t="e">
        <f ca="1">结果表!E118</f>
        <v>#REF!</v>
      </c>
      <c r="F4" s="1047" t="e">
        <f ca="1">结果表!F118</f>
        <v>#REF!</v>
      </c>
      <c r="G4" s="1047" t="e">
        <f ca="1">结果表!G118</f>
        <v>#REF!</v>
      </c>
      <c r="H4" s="1047">
        <f ca="1">结果表!H118</f>
        <v>65901</v>
      </c>
      <c r="I4" s="1047">
        <f ca="1">结果表!I118</f>
        <v>7389</v>
      </c>
    </row>
    <row r="5" spans="1:9" ht="30" customHeight="1">
      <c r="A5" s="2967" t="s">
        <v>1641</v>
      </c>
      <c r="B5" s="2967"/>
      <c r="C5" s="2967"/>
      <c r="D5" s="2968" t="e">
        <f ca="1">结果表!D119</f>
        <v>#REF!</v>
      </c>
      <c r="E5" s="2968"/>
      <c r="F5" s="2968" t="e">
        <f ca="1">结果表!F119</f>
        <v>#REF!</v>
      </c>
      <c r="G5" s="2968"/>
      <c r="H5" s="2968" t="str">
        <f ca="1">结果表!H119</f>
        <v>陆亿伍仟玖佰零壹万元整</v>
      </c>
      <c r="I5" s="2968"/>
    </row>
    <row r="6" spans="1:9" ht="15.75">
      <c r="A6" s="2969" t="str">
        <f>结果表!A120</f>
        <v>估价师知悉的法定优先受偿款</v>
      </c>
      <c r="B6" s="2969"/>
      <c r="C6" s="2969"/>
      <c r="D6" s="2969">
        <f>结果表!D120</f>
        <v>0</v>
      </c>
      <c r="E6" s="2969"/>
      <c r="F6" s="2969"/>
      <c r="G6" s="2969"/>
      <c r="H6" s="2969"/>
      <c r="I6" s="2969"/>
    </row>
    <row r="7" spans="1:9" ht="15">
      <c r="A7" s="2967" t="s">
        <v>1641</v>
      </c>
      <c r="B7" s="2967"/>
      <c r="C7" s="2967"/>
      <c r="D7" s="2970" t="str">
        <f>结果表!D121</f>
        <v>零元整</v>
      </c>
      <c r="E7" s="2971"/>
      <c r="F7" s="2971"/>
      <c r="G7" s="2971"/>
      <c r="H7" s="2971"/>
      <c r="I7" s="2972"/>
    </row>
    <row r="8" spans="1:9" ht="15.75">
      <c r="A8" s="2969" t="str">
        <f>结果表!A122</f>
        <v>房地产抵押价值</v>
      </c>
      <c r="B8" s="2969"/>
      <c r="C8" s="2969"/>
      <c r="D8" s="2969">
        <f ca="1">结果表!D122</f>
        <v>65901</v>
      </c>
      <c r="E8" s="2969"/>
      <c r="F8" s="2969"/>
      <c r="G8" s="2969"/>
      <c r="H8" s="2969"/>
      <c r="I8" s="2969"/>
    </row>
    <row r="9" spans="1:9" ht="15">
      <c r="A9" s="2967" t="s">
        <v>1641</v>
      </c>
      <c r="B9" s="2967"/>
      <c r="C9" s="2967"/>
      <c r="D9" s="2968" t="str">
        <f ca="1">结果表!D123</f>
        <v>陆亿伍仟玖佰零壹万元整</v>
      </c>
      <c r="E9" s="2968"/>
      <c r="F9" s="2968"/>
      <c r="G9" s="2968"/>
      <c r="H9" s="2968"/>
      <c r="I9" s="2968"/>
    </row>
    <row r="10" spans="1:9" ht="15.75">
      <c r="A10" s="2969" t="str">
        <f>结果表!A124</f>
        <v/>
      </c>
      <c r="B10" s="2969"/>
      <c r="C10" s="2969"/>
      <c r="D10" s="2969" t="str">
        <f>结果表!D124</f>
        <v>——</v>
      </c>
      <c r="E10" s="2969"/>
      <c r="F10" s="2969"/>
      <c r="G10" s="2969"/>
      <c r="H10" s="2969"/>
      <c r="I10" s="2969"/>
    </row>
    <row r="11" spans="1:9" ht="15">
      <c r="A11" s="2967" t="s">
        <v>1641</v>
      </c>
      <c r="B11" s="2967"/>
      <c r="C11" s="2967"/>
      <c r="D11" s="2968" t="e">
        <f>结果表!D125</f>
        <v>#VALUE!</v>
      </c>
      <c r="E11" s="2968"/>
      <c r="F11" s="2968"/>
      <c r="G11" s="2968"/>
      <c r="H11" s="2968"/>
      <c r="I11" s="2968"/>
    </row>
    <row r="12" spans="1:9" ht="15.75">
      <c r="A12" s="2969" t="str">
        <f>结果表!A126</f>
        <v/>
      </c>
      <c r="B12" s="2969"/>
      <c r="C12" s="2969"/>
      <c r="D12" s="2969" t="str">
        <f>结果表!D126</f>
        <v>——</v>
      </c>
      <c r="E12" s="2969"/>
      <c r="F12" s="2969"/>
      <c r="G12" s="2969"/>
      <c r="H12" s="2969"/>
      <c r="I12" s="2969"/>
    </row>
    <row r="13" spans="1:9" ht="15.75" thickBot="1">
      <c r="A13" s="2973" t="s">
        <v>1641</v>
      </c>
      <c r="B13" s="2973"/>
      <c r="C13" s="2973"/>
      <c r="D13" s="2974" t="e">
        <f>结果表!D127</f>
        <v>#VALUE!</v>
      </c>
      <c r="E13" s="2974"/>
      <c r="F13" s="2974"/>
      <c r="G13" s="2974"/>
      <c r="H13" s="2974"/>
      <c r="I13" s="2974"/>
    </row>
    <row r="14" spans="1:9" ht="15" thickTop="1">
      <c r="A14" s="2975" t="s">
        <v>1646</v>
      </c>
      <c r="B14" s="2975"/>
      <c r="C14" s="2975"/>
      <c r="D14" s="2975"/>
      <c r="E14" s="2975"/>
      <c r="F14" s="2975"/>
      <c r="G14" s="2975"/>
      <c r="H14" s="2975"/>
      <c r="I14" s="2975"/>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6" t="s">
        <v>1663</v>
      </c>
      <c r="B1" s="2976"/>
      <c r="C1" s="2976"/>
      <c r="D1" s="2976"/>
    </row>
    <row r="2" spans="1:4" ht="18">
      <c r="A2" s="2977" t="s">
        <v>1647</v>
      </c>
      <c r="B2" s="2977"/>
      <c r="C2" s="2977"/>
      <c r="D2" s="2977"/>
    </row>
    <row r="3" spans="1:4" ht="18.75">
      <c r="A3" s="1980" t="s">
        <v>1648</v>
      </c>
      <c r="B3" s="1980" t="s">
        <v>1649</v>
      </c>
      <c r="C3" s="1980" t="s">
        <v>1650</v>
      </c>
      <c r="D3" s="1980" t="s">
        <v>1651</v>
      </c>
    </row>
    <row r="4" spans="1:4" ht="56.25" customHeight="1">
      <c r="A4" s="1981">
        <f>项目基本情况!B4</f>
        <v>0</v>
      </c>
      <c r="B4" s="1982">
        <f>项目基本情况!C4</f>
        <v>0</v>
      </c>
      <c r="C4" s="1983"/>
      <c r="D4" s="1984" t="s">
        <v>1652</v>
      </c>
    </row>
    <row r="5" spans="1:4" ht="56.25" customHeight="1">
      <c r="A5" s="1981">
        <f>项目基本情况!D4</f>
        <v>0</v>
      </c>
      <c r="B5" s="1982">
        <f>项目基本情况!E4</f>
        <v>0</v>
      </c>
      <c r="C5" s="1985"/>
      <c r="D5" s="1984" t="s">
        <v>1652</v>
      </c>
    </row>
    <row r="6" spans="1:4" ht="18">
      <c r="A6" s="2977" t="s">
        <v>1653</v>
      </c>
      <c r="B6" s="2977"/>
      <c r="C6" s="2977"/>
      <c r="D6" s="2977"/>
    </row>
    <row r="7" spans="1:4" ht="18.75">
      <c r="A7" s="1980" t="s">
        <v>1648</v>
      </c>
      <c r="B7" s="1982" t="s">
        <v>1654</v>
      </c>
      <c r="C7" s="1980" t="s">
        <v>1650</v>
      </c>
      <c r="D7" s="1980" t="s">
        <v>1651</v>
      </c>
    </row>
    <row r="8" spans="1:4" ht="56.25" customHeight="1">
      <c r="A8" s="1986" t="s">
        <v>869</v>
      </c>
      <c r="B8" s="1986" t="s">
        <v>1</v>
      </c>
      <c r="C8" s="1983"/>
      <c r="D8" s="1984" t="s">
        <v>1652</v>
      </c>
    </row>
    <row r="9" spans="1:4">
      <c r="A9" s="728"/>
      <c r="B9" s="728"/>
      <c r="C9" s="728"/>
      <c r="D9" s="728"/>
    </row>
    <row r="10" spans="1:4" ht="18.75">
      <c r="A10" s="1987" t="s">
        <v>1655</v>
      </c>
      <c r="B10" s="728"/>
      <c r="C10" s="728"/>
      <c r="D10" s="728"/>
    </row>
    <row r="11" spans="1:4" ht="30" customHeight="1">
      <c r="A11" s="2978" t="s">
        <v>1656</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9" t="str">
        <f>IF(项目基本情况!B8="抵押","4.本次评估估价师所知悉的法定优先受偿款情况说明如下：","——")</f>
        <v>4.本次评估估价师所知悉的法定优先受偿款情况说明如下：</v>
      </c>
      <c r="B14" s="2980"/>
      <c r="C14" s="2980"/>
      <c r="D14" s="2980"/>
    </row>
    <row r="15" spans="1:4" ht="42" customHeight="1">
      <c r="A15" s="29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9"/>
      <c r="C15" s="2979"/>
      <c r="D15" s="2979"/>
    </row>
    <row r="16" spans="1:4" ht="30" customHeight="1">
      <c r="A16" s="2982" t="s">
        <v>1657</v>
      </c>
      <c r="B16" s="2982"/>
      <c r="C16" s="2982"/>
      <c r="D16" s="2982"/>
    </row>
    <row r="17" spans="1:4" ht="144" customHeight="1">
      <c r="A17" s="2982" t="s">
        <v>1658</v>
      </c>
      <c r="B17" s="2982"/>
      <c r="C17" s="2982"/>
      <c r="D17" s="2982"/>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9"/>
      <c r="C20" s="2979"/>
      <c r="D20" s="2979"/>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3"/>
      <c r="C21" s="2983"/>
      <c r="D21" s="2983"/>
    </row>
    <row r="22" spans="1:4" ht="18.75" customHeight="1">
      <c r="A22" s="2984" t="s">
        <v>1659</v>
      </c>
      <c r="B22" s="2984"/>
      <c r="C22" s="2984"/>
      <c r="D22" s="2984"/>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81">
        <v>42551</v>
      </c>
      <c r="D31" s="29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90" t="s">
        <v>1670</v>
      </c>
      <c r="B15" s="2985" t="s">
        <v>136</v>
      </c>
      <c r="C15" s="2986"/>
    </row>
    <row r="16" spans="1:7" ht="13.5">
      <c r="A16" s="2991"/>
      <c r="B16" s="2985" t="s">
        <v>69</v>
      </c>
      <c r="C16" s="2986"/>
    </row>
    <row r="17" spans="1:3" ht="13.5">
      <c r="A17" s="2991"/>
      <c r="B17" s="2988" t="s">
        <v>1671</v>
      </c>
      <c r="C17" s="2003" t="s">
        <v>1670</v>
      </c>
    </row>
    <row r="18" spans="1:3" ht="13.5">
      <c r="A18" s="2991"/>
      <c r="B18" s="2988"/>
      <c r="C18" s="2003" t="s">
        <v>1672</v>
      </c>
    </row>
    <row r="19" spans="1:3" ht="13.5">
      <c r="A19" s="2991"/>
      <c r="B19" s="2988"/>
      <c r="C19" s="2003" t="s">
        <v>1673</v>
      </c>
    </row>
    <row r="20" spans="1:3" ht="13.5">
      <c r="A20" s="2992"/>
      <c r="B20" s="2987" t="s">
        <v>1674</v>
      </c>
      <c r="C20" s="2986"/>
    </row>
    <row r="21" spans="1:3" ht="13.5">
      <c r="A21" s="2004" t="s">
        <v>1675</v>
      </c>
      <c r="B21" s="2005"/>
      <c r="C21" s="2006"/>
    </row>
    <row r="22" spans="1:3" ht="13.5">
      <c r="A22" s="2989" t="s">
        <v>1676</v>
      </c>
      <c r="B22" s="2987" t="s">
        <v>1677</v>
      </c>
      <c r="C22" s="2986"/>
    </row>
    <row r="23" spans="1:3" ht="13.5">
      <c r="A23" s="2989"/>
      <c r="B23" s="2987" t="s">
        <v>1678</v>
      </c>
      <c r="C23" s="2986"/>
    </row>
    <row r="24" spans="1:3" ht="13.5">
      <c r="A24" s="2989"/>
      <c r="B24" s="2987" t="s">
        <v>1679</v>
      </c>
      <c r="C24" s="2986"/>
    </row>
    <row r="25" spans="1:3" ht="13.5">
      <c r="A25" s="2989"/>
      <c r="B25" s="2988" t="s">
        <v>1680</v>
      </c>
      <c r="C25" s="2003" t="s">
        <v>1681</v>
      </c>
    </row>
    <row r="26" spans="1:3" ht="13.5">
      <c r="A26" s="2989"/>
      <c r="B26" s="2988"/>
      <c r="C26" s="2003" t="s">
        <v>1682</v>
      </c>
    </row>
    <row r="27" spans="1:3" ht="13.5">
      <c r="A27" s="2989"/>
      <c r="B27" s="2988"/>
      <c r="C27" s="2003" t="s">
        <v>1683</v>
      </c>
    </row>
    <row r="28" spans="1:3" ht="13.5">
      <c r="A28" s="2989"/>
      <c r="B28" s="2988"/>
      <c r="C28" s="2003" t="s">
        <v>1684</v>
      </c>
    </row>
    <row r="29" spans="1:3" ht="13.5">
      <c r="A29" s="2989"/>
      <c r="B29" s="2988"/>
      <c r="C29" s="2003" t="s">
        <v>1685</v>
      </c>
    </row>
    <row r="30" spans="1:3" ht="13.5">
      <c r="A30" s="2989"/>
      <c r="B30" s="2988"/>
      <c r="C30" s="2003" t="s">
        <v>1686</v>
      </c>
    </row>
    <row r="31" spans="1:3" ht="13.5">
      <c r="A31" s="2989"/>
      <c r="B31" s="2988"/>
      <c r="C31" s="2003" t="s">
        <v>1687</v>
      </c>
    </row>
    <row r="32" spans="1:3" ht="13.5">
      <c r="A32" s="2989"/>
      <c r="B32" s="2988"/>
      <c r="C32" s="2003" t="s">
        <v>1688</v>
      </c>
    </row>
    <row r="33" spans="1:3" ht="13.5">
      <c r="A33" s="2989"/>
      <c r="B33" s="2988"/>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43186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351"/>
      <c r="D12" s="2354"/>
      <c r="E12" s="1025"/>
      <c r="F12" s="1025"/>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351">
        <v>43304</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2993" t="s">
        <v>846</v>
      </c>
      <c r="B25" s="2993"/>
      <c r="C25" s="2993"/>
      <c r="D25" s="2993"/>
      <c r="E25" s="2993"/>
      <c r="F25" s="2993"/>
      <c r="G25" s="2993"/>
    </row>
    <row r="26" spans="1:7" s="1028" customFormat="1" ht="24" customHeight="1">
      <c r="A26" s="2994" t="s">
        <v>847</v>
      </c>
      <c r="B26" s="2994"/>
      <c r="C26" s="2995"/>
      <c r="D26" s="2996" t="s">
        <v>848</v>
      </c>
      <c r="E26" s="2994"/>
      <c r="F26" s="2994"/>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136</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2018-03-27T07:46:41Z</dcterms:modified>
</cp:coreProperties>
</file>