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90" windowWidth="11385" windowHeight="94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88" i="78"/>
  <c r="B24" i="31"/>
  <c r="R47" i="33"/>
  <c r="B2" i="1"/>
  <c r="C7" i="33"/>
  <c r="C58"/>
  <c r="D58"/>
  <c r="E58"/>
  <c r="F58"/>
  <c r="G58"/>
  <c r="H58"/>
  <c r="I58"/>
  <c r="J58"/>
  <c r="K58"/>
  <c r="L58"/>
  <c r="M58"/>
  <c r="N58"/>
  <c r="O58"/>
  <c r="F7"/>
  <c r="AA7"/>
  <c r="F8"/>
  <c r="AA8"/>
  <c r="C63"/>
  <c r="F9"/>
  <c r="AA9"/>
  <c r="F10"/>
  <c r="AA10"/>
  <c r="F11"/>
  <c r="AA11"/>
  <c r="B70"/>
  <c r="F12"/>
  <c r="AA12"/>
  <c r="B72"/>
  <c r="F13"/>
  <c r="AA13"/>
  <c r="B74"/>
  <c r="F14"/>
  <c r="AA14"/>
  <c r="D77"/>
  <c r="E77"/>
  <c r="F15"/>
  <c r="AA15"/>
  <c r="D79"/>
  <c r="E79"/>
  <c r="F17"/>
  <c r="AA17"/>
  <c r="D81"/>
  <c r="F19"/>
  <c r="AA19"/>
  <c r="F21"/>
  <c r="AA21"/>
  <c r="D85"/>
  <c r="F23"/>
  <c r="AA23"/>
  <c r="F25"/>
  <c r="AA25"/>
  <c r="B88"/>
  <c r="F26"/>
  <c r="AA26"/>
  <c r="B90"/>
  <c r="D91"/>
  <c r="F27"/>
  <c r="AA27"/>
  <c r="B92"/>
  <c r="F28"/>
  <c r="AA28"/>
  <c r="B94"/>
  <c r="F29"/>
  <c r="AA29"/>
  <c r="B96"/>
  <c r="F30"/>
  <c r="AA30"/>
  <c r="B98"/>
  <c r="F31"/>
  <c r="AA31"/>
  <c r="D101"/>
  <c r="F32"/>
  <c r="AA32"/>
  <c r="C33"/>
  <c r="F33"/>
  <c r="AA33"/>
  <c r="F34"/>
  <c r="AA34"/>
  <c r="F35"/>
  <c r="AA35"/>
  <c r="D111"/>
  <c r="E111"/>
  <c r="F111"/>
  <c r="F36"/>
  <c r="AA36"/>
  <c r="D113"/>
  <c r="F37"/>
  <c r="AA37"/>
  <c r="F38"/>
  <c r="AA38"/>
  <c r="F39"/>
  <c r="AA39"/>
  <c r="F40"/>
  <c r="AA40"/>
  <c r="F41"/>
  <c r="AA41"/>
  <c r="D123"/>
  <c r="E123"/>
  <c r="F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R24" i="31"/>
  <c r="B25"/>
  <c r="C25"/>
  <c r="E25"/>
  <c r="G25"/>
  <c r="I25"/>
  <c r="K25"/>
  <c r="M25"/>
  <c r="O25"/>
  <c r="Q25"/>
  <c r="R25"/>
  <c r="S25"/>
  <c r="B26"/>
  <c r="C26"/>
  <c r="E26"/>
  <c r="G26"/>
  <c r="I26"/>
  <c r="K26"/>
  <c r="M26"/>
  <c r="O26"/>
  <c r="Q26"/>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C19" i="78"/>
  <c r="A6" i="1"/>
  <c r="G1" i="15"/>
  <c r="U6" i="1"/>
  <c r="F6" i="15"/>
  <c r="F8"/>
  <c r="F19" i="6"/>
  <c r="E19"/>
  <c r="K6" i="1"/>
  <c r="F7" i="15"/>
  <c r="F9"/>
  <c r="C6"/>
  <c r="C1" i="73"/>
  <c r="L1"/>
  <c r="F4"/>
  <c r="I1"/>
  <c r="B39" i="1"/>
  <c r="F11" i="15"/>
  <c r="C10"/>
  <c r="C5"/>
  <c r="B43" i="1"/>
  <c r="B41"/>
  <c r="F32" i="15"/>
  <c r="C42" i="1"/>
  <c r="C32" i="15"/>
  <c r="F33"/>
  <c r="C3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R6" i="1"/>
  <c r="F35" i="15"/>
  <c r="B52" i="1"/>
  <c r="F34" i="15"/>
  <c r="C34"/>
  <c r="C31"/>
  <c r="M6" i="1"/>
  <c r="S6"/>
  <c r="T6"/>
  <c r="C14" i="15"/>
  <c r="F15"/>
  <c r="C15"/>
  <c r="F16"/>
  <c r="C16"/>
  <c r="F43"/>
  <c r="F17"/>
  <c r="C17"/>
  <c r="F18"/>
  <c r="C18"/>
  <c r="C19"/>
  <c r="F20"/>
  <c r="C20"/>
  <c r="J1" i="73"/>
  <c r="D5"/>
  <c r="B22" i="1"/>
  <c r="E1" i="73"/>
  <c r="K1"/>
  <c r="G1"/>
  <c r="B40" i="1"/>
  <c r="F24" i="15"/>
  <c r="F23"/>
  <c r="C23"/>
  <c r="F26"/>
  <c r="C26"/>
  <c r="F21"/>
  <c r="C24"/>
  <c r="C27"/>
  <c r="F28"/>
  <c r="C28"/>
  <c r="C29"/>
  <c r="F36"/>
  <c r="C36"/>
  <c r="N6" i="1"/>
  <c r="Y6"/>
  <c r="F13" i="15"/>
  <c r="C13"/>
  <c r="F37"/>
  <c r="C37"/>
  <c r="F38"/>
  <c r="C38"/>
  <c r="C30"/>
  <c r="C39"/>
  <c r="F42"/>
  <c r="F40"/>
  <c r="E15" i="4"/>
  <c r="F6" i="1"/>
  <c r="L48" i="15"/>
  <c r="M47"/>
  <c r="B24" i="1"/>
  <c r="J50" i="15"/>
  <c r="J51"/>
  <c r="J53"/>
  <c r="F1"/>
  <c r="AE6" i="1"/>
  <c r="F41" i="15"/>
  <c r="C40"/>
  <c r="M6"/>
  <c r="M8"/>
  <c r="M7"/>
  <c r="M9"/>
  <c r="J6"/>
  <c r="M11"/>
  <c r="J10"/>
  <c r="J5"/>
  <c r="J26"/>
  <c r="J29"/>
  <c r="J60"/>
  <c r="L46"/>
  <c r="B2"/>
  <c r="D19" i="78"/>
  <c r="C17"/>
  <c r="D17"/>
  <c r="C18"/>
  <c r="D18"/>
  <c r="G19"/>
  <c r="C24"/>
  <c r="C32"/>
  <c r="H118"/>
  <c r="H101"/>
  <c r="E107"/>
  <c r="H105"/>
  <c r="H106"/>
  <c r="H103"/>
  <c r="H107"/>
  <c r="M49"/>
  <c r="D45"/>
  <c r="D53"/>
  <c r="D48"/>
  <c r="M52"/>
  <c r="I55"/>
  <c r="D55"/>
  <c r="M53"/>
  <c r="C85"/>
  <c r="B22" i="31"/>
  <c r="I91" i="78"/>
  <c r="C91"/>
  <c r="BB10" i="3"/>
  <c r="BB5"/>
  <c r="BC10"/>
  <c r="BD10"/>
  <c r="BE10"/>
  <c r="BF10"/>
  <c r="BG10"/>
  <c r="BH10"/>
  <c r="BI10"/>
  <c r="BJ10"/>
  <c r="BK10"/>
  <c r="BC5"/>
  <c r="BD5"/>
  <c r="BE5"/>
  <c r="BF5"/>
  <c r="BG5"/>
  <c r="BH5"/>
  <c r="BI5"/>
  <c r="BJ5"/>
  <c r="BK5"/>
  <c r="E8" i="6"/>
  <c r="F27"/>
  <c r="J90" i="78"/>
  <c r="D89"/>
  <c r="C89"/>
  <c r="C87"/>
  <c r="C92"/>
  <c r="D93"/>
  <c r="C93"/>
  <c r="C94"/>
  <c r="C86"/>
  <c r="C95"/>
  <c r="C96"/>
  <c r="C97"/>
  <c r="D58"/>
  <c r="D56"/>
  <c r="M54"/>
  <c r="D59"/>
  <c r="M55"/>
  <c r="K6" i="4"/>
  <c r="M56" i="78"/>
  <c r="N57"/>
  <c r="N59"/>
  <c r="E111"/>
  <c r="H111"/>
  <c r="D126"/>
  <c r="I14" i="74"/>
  <c r="M18" i="78"/>
  <c r="B118"/>
  <c r="B14" i="74"/>
  <c r="J14"/>
  <c r="T18" i="1"/>
  <c r="A8"/>
  <c r="K8"/>
  <c r="L8"/>
  <c r="M8"/>
  <c r="S8"/>
  <c r="T8"/>
  <c r="V28" i="31"/>
  <c r="V26"/>
  <c r="R8" i="1"/>
  <c r="D20" i="6"/>
  <c r="K20"/>
  <c r="L20"/>
  <c r="M20"/>
  <c r="I20"/>
  <c r="H20"/>
  <c r="R20"/>
  <c r="A7" i="1"/>
  <c r="R7"/>
  <c r="AE8"/>
  <c r="AE7"/>
  <c r="B3" i="15"/>
  <c r="C20" i="9"/>
  <c r="C49" i="33"/>
  <c r="B3"/>
  <c r="D20" i="9"/>
  <c r="C17"/>
  <c r="D17"/>
  <c r="C18"/>
  <c r="D18"/>
  <c r="G20"/>
  <c r="D122" i="78"/>
  <c r="G14" i="74"/>
  <c r="M19" i="78"/>
  <c r="C118"/>
  <c r="C14" i="74"/>
  <c r="D14"/>
  <c r="F34" i="68"/>
  <c r="K7" i="1"/>
  <c r="L7"/>
  <c r="M7"/>
  <c r="A9"/>
  <c r="K9"/>
  <c r="M9"/>
  <c r="A10"/>
  <c r="K10"/>
  <c r="M10"/>
  <c r="A11"/>
  <c r="K11"/>
  <c r="M11"/>
  <c r="A12"/>
  <c r="K12"/>
  <c r="M12"/>
  <c r="A13"/>
  <c r="K13"/>
  <c r="M13"/>
  <c r="K14"/>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BM5"/>
  <c r="BN5"/>
  <c r="BO5"/>
  <c r="BP5"/>
  <c r="E5" i="6"/>
  <c r="D9" i="68"/>
  <c r="E6" i="6"/>
  <c r="D10" i="68"/>
  <c r="D19"/>
  <c r="D37"/>
  <c r="E37"/>
  <c r="C37"/>
  <c r="F38"/>
  <c r="C38"/>
  <c r="C33"/>
  <c r="D127" i="78"/>
  <c r="A126"/>
  <c r="E109"/>
  <c r="H109"/>
  <c r="D124"/>
  <c r="D125"/>
  <c r="A124"/>
  <c r="D123"/>
  <c r="A122"/>
  <c r="D120"/>
  <c r="D121"/>
  <c r="A120"/>
  <c r="K120"/>
  <c r="H119"/>
  <c r="D35"/>
  <c r="C35"/>
  <c r="F118"/>
  <c r="F119"/>
  <c r="C34"/>
  <c r="D118"/>
  <c r="D119"/>
  <c r="I118"/>
  <c r="G118"/>
  <c r="E118"/>
  <c r="S2" i="4"/>
  <c r="A118" i="78"/>
  <c r="N61"/>
  <c r="H112"/>
  <c r="H110"/>
  <c r="H108"/>
  <c r="C105"/>
  <c r="H104"/>
  <c r="C104"/>
  <c r="R22" i="31"/>
  <c r="B21"/>
  <c r="D20" i="78"/>
  <c r="D103"/>
  <c r="C20"/>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F48"/>
  <c r="O52"/>
  <c r="E48"/>
  <c r="N52"/>
  <c r="F52"/>
  <c r="D52"/>
  <c r="K49"/>
  <c r="M48"/>
  <c r="M47"/>
  <c r="D34"/>
  <c r="F33"/>
  <c r="D27"/>
  <c r="C25"/>
  <c r="D22"/>
  <c r="L19"/>
  <c r="G21"/>
  <c r="D21"/>
  <c r="C21"/>
  <c r="G20"/>
  <c r="L18"/>
  <c r="L4"/>
  <c r="K4"/>
  <c r="A2"/>
  <c r="H1"/>
  <c r="F29" i="6"/>
  <c r="G29"/>
  <c r="E29"/>
  <c r="K15" i="1"/>
  <c r="K16"/>
  <c r="Q8"/>
  <c r="Q7"/>
  <c r="N8"/>
  <c r="N7"/>
  <c r="J8"/>
  <c r="I8"/>
  <c r="H8"/>
  <c r="J7"/>
  <c r="I7"/>
  <c r="H7"/>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M18"/>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7" i="3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78" i="9"/>
  <c r="D24" i="15"/>
  <c r="O8" i="1"/>
  <c r="P8"/>
  <c r="O13"/>
  <c r="P13"/>
  <c r="F35" i="11"/>
  <c r="F36"/>
  <c r="F38"/>
  <c r="E37"/>
  <c r="F20"/>
  <c r="F21"/>
  <c r="C21"/>
  <c r="F7"/>
  <c r="C7"/>
  <c r="C5"/>
  <c r="F12" i="12"/>
  <c r="F13"/>
  <c r="F15"/>
  <c r="E14"/>
  <c r="E19"/>
  <c r="E20"/>
  <c r="E17"/>
  <c r="F22"/>
  <c r="F23"/>
  <c r="I55" i="9"/>
  <c r="F55"/>
  <c r="O53"/>
  <c r="D89"/>
  <c r="C89"/>
  <c r="C87"/>
  <c r="G12" i="1"/>
  <c r="J55" i="9"/>
  <c r="B31" i="1"/>
  <c r="M20" i="15"/>
  <c r="T4" i="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E101"/>
  <c r="D87"/>
  <c r="E87"/>
  <c r="E85"/>
  <c r="E81"/>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O27" i="31"/>
  <c r="O28"/>
  <c r="M27"/>
  <c r="M28"/>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G123" i="3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O11" i="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22"/>
  <c r="D30"/>
  <c r="D16"/>
  <c r="A7" i="51"/>
  <c r="B7" i="72"/>
  <c r="C4" i="52"/>
  <c r="B45" i="72"/>
  <c r="A10" i="51"/>
  <c r="B9" i="72"/>
  <c r="D27" i="6"/>
  <c r="H27"/>
  <c r="C35" i="11"/>
  <c r="D31" i="6"/>
  <c r="I6"/>
  <c r="R27"/>
  <c r="I5"/>
  <c r="E2" i="70"/>
  <c r="C34" i="69"/>
  <c r="D10"/>
  <c r="C10"/>
  <c r="S16" i="1"/>
  <c r="T16"/>
  <c r="AG6"/>
  <c r="H109" i="9"/>
  <c r="C19"/>
  <c r="B2" i="33"/>
  <c r="D19" i="9"/>
  <c r="G19"/>
  <c r="C32"/>
  <c r="H118"/>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D45" i="9"/>
  <c r="D55"/>
  <c r="M53"/>
  <c r="C85"/>
  <c r="C93"/>
  <c r="C92"/>
  <c r="C94"/>
  <c r="C86"/>
  <c r="C95"/>
  <c r="C96"/>
  <c r="C97"/>
  <c r="D58"/>
  <c r="D56"/>
  <c r="M54"/>
  <c r="D59"/>
  <c r="M55"/>
  <c r="N57"/>
  <c r="N59"/>
  <c r="N61"/>
  <c r="H112"/>
  <c r="D21" i="53"/>
  <c r="B39" i="72"/>
  <c r="H111" i="9"/>
  <c r="D126"/>
  <c r="D19" i="53"/>
  <c r="B38" i="72"/>
  <c r="D20" i="53"/>
  <c r="B40" i="72"/>
  <c r="B8" i="74"/>
  <c r="D127" i="9"/>
  <c r="D13" i="52"/>
  <c r="D12"/>
  <c r="D8" i="74"/>
  <c r="C8"/>
  <c r="AD3" i="71"/>
  <c r="B4" i="62"/>
  <c r="B71" i="72"/>
  <c r="C65" i="40"/>
  <c r="D63"/>
  <c r="G16" i="1"/>
  <c r="C36" i="11"/>
  <c r="C33"/>
  <c r="C39"/>
  <c r="C46"/>
  <c r="C45"/>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64" i="9"/>
  <c r="C63"/>
  <c r="C67"/>
  <c r="C68"/>
  <c r="D54"/>
  <c r="C78"/>
  <c r="C73"/>
  <c r="C72"/>
  <c r="C79"/>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D122" i="9"/>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<sst xmlns="http://schemas.openxmlformats.org/spreadsheetml/2006/main" count="7731" uniqueCount="3160">
  <si>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</si>
  <si>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</si>
  <si>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</si>
  <si>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</si>
  <si>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</si>
  <si>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</si>
  <si>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</si>
  <si>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</si>
  <si>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</si>
  <si>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</si>
  <si>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</si>
  <si>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</si>
  <si>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</si>
  <si>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</si>
  <si>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</si>
  <si>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</si>
  <si>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</si>
  <si>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</si>
  <si>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</si>
  <si>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</si>
  <si>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</si>
  <si>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</si>
  <si>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</si>
  <si>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</si>
  <si>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</si>
  <si>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</si>
  <si>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</si>
  <si>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</si>
  <si>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</si>
  <si>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</si>
  <si>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</si>
  <si>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</si>
  <si>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</si>
  <si>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</si>
  <si>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</si>
  <si>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</si>
  <si>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</si>
  <si>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</si>
  <si>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</si>
  <si>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</si>
  <si>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</si>
  <si>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</si>
  <si>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</si>
  <si>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</si>
  <si>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</si>
  <si>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</si>
  <si>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</si>
  <si>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</si>
  <si>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</si>
  <si>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</si>
  <si>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</si>
  <si>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</si>
  <si>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</si>
  <si>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</si>
  <si>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</si>
  <si>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</si>
  <si>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</si>
  <si>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</si>
  <si>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</si>
  <si>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</si>
  <si>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</si>
  <si>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</si>
  <si>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</si>
  <si>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</si>
  <si>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</si>
  <si>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</si>
  <si>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</si>
  <si>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</si>
  <si>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</si>
  <si>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</si>
  <si>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</si>
  <si>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</si>
  <si>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</si>
  <si>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</si>
  <si>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</si>
  <si>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</si>
  <si>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</si>
  <si>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</si>
  <si>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</si>
  <si>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</si>
  <si>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</si>
  <si>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</si>
  <si>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</si>
  <si>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</si>
  <si>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</si>
  <si>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</si>
  <si>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</si>
  <si>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</si>
  <si>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</si>
  <si>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</si>
  <si>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</si>
  <si>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</si>
  <si>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</si>
  <si>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</si>
  <si>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</si>
  <si>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</si>
  <si>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</si>
  <si>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</si>
  <si>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</si>
  <si>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</si>
  <si>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</si>
  <si>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</si>
  <si>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</si>
  <si>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</si>
  <si>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</si>
  <si>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</si>
  <si>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</si>
  <si>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</si>
  <si>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</si>
  <si>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</si>
  <si>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</si>
  <si>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</si>
  <si>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</si>
  <si>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</si>
  <si>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</si>
  <si>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</si>
  <si>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</si>
  <si>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</si>
  <si>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</si>
  <si>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</si>
  <si>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</si>
  <si>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</si>
  <si>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</si>
  <si>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</si>
  <si>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</si>
  <si>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</si>
  <si>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</si>
  <si>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</si>
  <si>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</si>
  <si>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</si>
  <si>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</si>
  <si>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</si>
  <si>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</si>
  <si>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</si>
  <si>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</si>
  <si>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</si>
  <si>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</si>
  <si>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</si>
  <si>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</si>
  <si>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</si>
  <si>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</si>
  <si>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</si>
  <si>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</si>
  <si>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</si>
  <si>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</si>
  <si>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</si>
  <si>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</si>
  <si>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</si>
  <si>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</si>
  <si>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</si>
  <si>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</si>
  <si>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</si>
  <si>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</si>
  <si>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</si>
  <si>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</si>
  <si>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</si>
  <si>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</si>
  <si>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</si>
  <si>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</si>
  <si>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</si>
  <si>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</si>
  <si>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</si>
  <si>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</si>
  <si>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</si>
  <si>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</si>
  <si>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</si>
  <si>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</si>
  <si>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</si>
  <si>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</si>
  <si>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</si>
  <si>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</si>
  <si>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</si>
  <si>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</si>
  <si>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</si>
  <si>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</si>
  <si>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</si>
  <si>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</si>
  <si>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</si>
  <si>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</si>
  <si>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</si>
  <si>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</si>
  <si>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</si>
  <si>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</si>
  <si>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</si>
  <si>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</si>
  <si>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</si>
  <si>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</si>
  <si>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</si>
  <si>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</si>
  <si>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</si>
  <si>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</si>
  <si>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</si>
  <si>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</si>
  <si>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</si>
  <si>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</si>
  <si>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</si>
  <si>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</si>
  <si>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</si>
  <si>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</si>
  <si>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</si>
  <si>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</si>
  <si>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</si>
  <si>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</si>
  <si>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</si>
  <si>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</si>
  <si>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</si>
  <si>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</si>
  <si>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</si>
  <si>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</si>
  <si>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</si>
  <si>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</si>
  <si>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</si>
  <si>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</si>
  <si>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</si>
  <si>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</si>
  <si>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</si>
  <si>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</si>
  <si>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</si>
  <si>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</si>
  <si>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</si>
  <si>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</si>
  <si>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</si>
  <si>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</si>
  <si>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</si>
  <si>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</si>
  <si>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</si>
  <si>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</si>
  <si>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</si>
  <si>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</si>
  <si>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</si>
  <si>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</si>
  <si>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</si>
  <si>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</si>
  <si>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</si>
  <si>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</si>
  <si>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</si>
  <si>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</si>
  <si>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</si>
  <si>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</si>
  <si>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</si>
  <si>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</si>
  <si>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</si>
  <si>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</si>
  <si>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</si>
  <si>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</si>
  <si>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</si>
  <si>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</si>
  <si>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</si>
  <si>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</si>
  <si>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</si>
  <si>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</si>
  <si>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</si>
  <si>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</si>
  <si>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</si>
  <si>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</si>
  <si>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</si>
  <si>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</si>
  <si>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</si>
  <si>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</si>
  <si>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</si>
  <si>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</si>
  <si>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</si>
  <si>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</si>
  <si>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</si>
  <si>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</si>
  <si>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</si>
  <si>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</si>
  <si>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</si>
  <si>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</si>
  <si>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</si>
  <si>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</si>
  <si>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</si>
  <si>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</si>
  <si>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</si>
  <si>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</si>
  <si>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</si>
  <si>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</si>
  <si>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</si>
  <si>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</si>
  <si>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</si>
  <si>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</si>
  <si>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</si>
  <si>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</si>
  <si>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</si>
  <si>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</si>
  <si>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</si>
  <si>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</si>
  <si>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</si>
  <si>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</si>
  <si>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</si>
  <si>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</si>
  <si>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</si>
  <si>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</si>
  <si>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</si>
  <si>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</si>
  <si>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</si>
  <si>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</si>
  <si>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</si>
  <si>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</si>
  <si>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</si>
  <si>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</si>
  <si>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</si>
  <si>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</si>
  <si>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</si>
  <si>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</si>
  <si>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</si>
  <si>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</si>
  <si>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</si>
  <si>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</si>
  <si>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</si>
  <si>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</si>
  <si>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</si>
  <si>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</si>
  <si>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</si>
  <si>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</si>
  <si>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</si>
  <si>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</si>
  <si>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</si>
  <si>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</si>
  <si>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</si>
  <si>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</si>
  <si>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</si>
  <si>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</si>
  <si>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</si>
  <si>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</si>
  <si>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</si>
  <si>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</si>
  <si>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</si>
  <si>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</si>
  <si>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</si>
  <si>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</si>
  <si>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</si>
  <si>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</si>
  <si>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</si>
  <si>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</si>
  <si>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</si>
  <si>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</si>
  <si>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</si>
  <si>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</si>
  <si>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</si>
  <si>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</si>
  <si>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</si>
  <si>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</si>
  <si>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</si>
  <si>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</si>
  <si>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</si>
  <si>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</si>
  <si>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</si>
  <si>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</si>
  <si>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</si>
  <si>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</si>
  <si>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</si>
  <si>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</si>
  <si>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</si>
  <si>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</si>
  <si>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</si>
  <si>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</si>
  <si>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</si>
  <si>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</si>
  <si>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</si>
  <si>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</si>
  <si>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</si>
  <si>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</si>
  <si>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</si>
  <si>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</si>
  <si>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</si>
  <si>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</si>
  <si>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</si>
  <si>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</si>
  <si>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</si>
  <si>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</si>
  <si>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</si>
  <si>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</si>
  <si>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</si>
  <si>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</si>
  <si>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</si>
  <si>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</si>
  <si>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</si>
  <si>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</si>
  <si>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</si>
  <si>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</si>
  <si>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</si>
  <si>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</si>
  <si>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</si>
  <si>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</si>
  <si>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</si>
  <si>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</si>
  <si>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</si>
  <si>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</si>
  <si>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</si>
  <si>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</si>
  <si>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</si>
  <si>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</si>
  <si>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</si>
  <si>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</si>
  <si>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</si>
  <si>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</si>
  <si>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</si>
  <si>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</si>
  <si>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</si>
  <si>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</si>
  <si>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</si>
  <si>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</si>
  <si>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</si>
  <si>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</si>
  <si>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</si>
  <si>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</si>
  <si>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</si>
  <si>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</si>
  <si>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</si>
  <si>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</si>
  <si>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</si>
  <si>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</si>
  <si>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</si>
  <si>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</si>
  <si>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</si>
  <si>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</si>
  <si>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</si>
  <si>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</si>
  <si>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</si>
  <si>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</si>
  <si>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</si>
  <si>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</si>
  <si>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</si>
  <si>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</si>
  <si>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</si>
  <si>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</si>
  <si>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</si>
  <si>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</si>
  <si>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</si>
  <si>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</si>
  <si>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</si>
  <si>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</si>
  <si>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</si>
  <si>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</si>
  <si>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</si>
  <si>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</si>
  <si>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</si>
  <si>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</si>
  <si>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</si>
  <si>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</si>
  <si>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</si>
  <si>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</si>
  <si>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</si>
  <si>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</si>
  <si>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</si>
  <si>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</si>
  <si>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</si>
  <si>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</si>
  <si>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</si>
  <si>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</si>
  <si>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</si>
  <si>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</si>
  <si>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</si>
  <si>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</si>
  <si>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</si>
  <si>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</si>
  <si>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</si>
  <si>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</si>
  <si>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</si>
  <si>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</si>
  <si>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</si>
  <si>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</si>
  <si>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</si>
  <si>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</si>
  <si>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</si>
  <si>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</si>
  <si>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</si>
  <si>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</si>
  <si>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</si>
  <si>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</si>
  <si>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</si>
  <si>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</si>
  <si>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</si>
  <si>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</si>
  <si>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</si>
  <si>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</si>
  <si>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</si>
  <si>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</si>
  <si>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</si>
  <si>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</si>
  <si>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</si>
  <si>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</si>
  <si>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</si>
  <si>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</si>
  <si>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</si>
  <si>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</si>
  <si>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</si>
  <si>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</si>
  <si>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</si>
  <si>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</si>
  <si>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</si>
  <si>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</si>
  <si>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</si>
  <si>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</si>
  <si>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</si>
  <si>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</si>
  <si>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</si>
  <si>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</si>
  <si>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</si>
  <si>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</si>
  <si>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</si>
  <si>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</si>
  <si>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</si>
  <si>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</si>
  <si>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</si>
  <si>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</si>
  <si>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</si>
  <si>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</si>
  <si>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</si>
  <si>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</si>
  <si>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</si>
  <si>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</si>
  <si>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</si>
  <si>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</si>
  <si>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</si>
  <si>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</si>
  <si>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</si>
  <si>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</si>
  <si>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</si>
  <si>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</si>
  <si>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</si>
  <si>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</si>
  <si>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</si>
  <si>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</si>
  <si>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</si>
  <si>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</si>
  <si>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</si>
  <si>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</si>
  <si>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</si>
  <si>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</si>
  <si>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</si>
  <si>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</si>
  <si>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</si>
  <si>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</si>
  <si>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</si>
  <si>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</si>
  <si>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</si>
  <si>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</si>
  <si>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</si>
  <si>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</si>
  <si>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</si>
  <si>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</si>
  <si>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</si>
  <si>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</si>
  <si>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</si>
  <si>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</si>
  <si>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</si>
  <si>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</si>
  <si>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</si>
  <si>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</si>
  <si>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</si>
  <si>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</si>
  <si>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</si>
  <si>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</si>
  <si>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</si>
  <si>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</si>
  <si>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</si>
  <si>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</si>
  <si>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</si>
  <si>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</si>
  <si>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</si>
  <si>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</si>
  <si>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</si>
  <si>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</si>
  <si>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</si>
  <si>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</si>
  <si>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</si>
  <si>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</si>
  <si>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</si>
  <si>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</si>
  <si>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</si>
  <si>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</si>
  <si>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</si>
  <si>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</si>
  <si>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</si>
  <si>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</si>
  <si>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</si>
  <si>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</si>
  <si>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</si>
  <si>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</si>
  <si>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</si>
  <si>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</si>
  <si>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</si>
  <si>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</si>
  <si>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</si>
  <si>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</si>
  <si>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</si>
  <si>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</si>
  <si>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</si>
  <si>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</si>
  <si>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</si>
  <si>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</si>
  <si>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</si>
  <si>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</si>
  <si>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</si>
  <si>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</si>
  <si>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</si>
  <si>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</si>
  <si>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</si>
  <si>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</si>
  <si>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</si>
  <si>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</si>
  <si>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</si>
  <si>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</si>
  <si>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</si>
  <si>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</si>
  <si>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</si>
  <si>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</si>
  <si>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</si>
  <si>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</si>
  <si>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</si>
  <si>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</si>
  <si>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</si>
  <si>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</si>
  <si>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</si>
  <si>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</si>
  <si>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</si>
  <si>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</si>
  <si>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</si>
  <si>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</si>
  <si>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</si>
  <si>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</si>
  <si>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</si>
  <si>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</si>
  <si>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</si>
  <si>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</si>
  <si>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</si>
  <si>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</si>
  <si>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</si>
  <si>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</si>
  <si>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</si>
  <si>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</si>
  <si>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</si>
  <si>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</si>
  <si>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</si>
  <si>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</si>
  <si>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</si>
  <si>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</si>
  <si>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</si>
  <si>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</si>
  <si>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</si>
  <si>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</si>
  <si>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</si>
  <si>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</si>
  <si>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</si>
  <si>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</si>
  <si>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</si>
  <si>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</si>
  <si>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</si>
  <si>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</si>
  <si>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</si>
  <si>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</si>
  <si>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</si>
  <si>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</si>
  <si>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</si>
  <si>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</si>
  <si>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</si>
  <si>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</si>
  <si>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</si>
  <si>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</si>
  <si>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</si>
  <si>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</si>
  <si>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</si>
  <si>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</si>
  <si>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</si>
  <si>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</si>
  <si>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</si>
  <si>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</si>
  <si>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</si>
  <si>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</si>
  <si>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</si>
  <si>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</si>
  <si>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</si>
  <si>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</si>
  <si>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</si>
  <si>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</si>
  <si>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</si>
  <si>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</si>
  <si>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</si>
  <si>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</si>
  <si>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</si>
  <si>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</si>
  <si>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</si>
  <si>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</si>
  <si>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</si>
  <si>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</si>
  <si>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</si>
  <si>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</si>
  <si>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</si>
  <si>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</si>
  <si>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</si>
  <si>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</si>
  <si>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</si>
  <si>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</si>
  <si>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</si>
  <si>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</si>
  <si>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</si>
  <si>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</si>
  <si>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</si>
  <si>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</si>
  <si>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</si>
  <si>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</si>
  <si>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</si>
  <si>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</si>
  <si>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</si>
  <si>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</si>
  <si>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</si>
  <si>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</si>
  <si>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</si>
  <si>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</si>
  <si>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</si>
  <si>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</si>
  <si>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</si>
  <si>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</si>
  <si>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</si>
  <si>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</si>
  <si>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</si>
  <si>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</si>
  <si>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</si>
  <si>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</si>
  <si>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</si>
  <si>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</si>
  <si>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</si>
  <si>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</si>
  <si>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</si>
  <si>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</si>
  <si>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</si>
  <si>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</si>
  <si>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</si>
  <si>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</si>
  <si>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</si>
  <si>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</si>
  <si>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</si>
  <si>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</si>
  <si>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</si>
  <si>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</si>
  <si>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</si>
  <si>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</si>
  <si>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</si>
  <si>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</si>
  <si>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</si>
  <si>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</si>
  <si>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</si>
  <si>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</si>
  <si>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</si>
  <si>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</si>
  <si>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</si>
  <si>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</si>
  <si>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</si>
  <si>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</si>
  <si>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</si>
  <si>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</si>
  <si>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</si>
  <si>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</si>
  <si>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</si>
  <si>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</si>
  <si>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</si>
  <si>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</si>
  <si>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</si>
  <si>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</si>
  <si>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</si>
  <si>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</si>
  <si>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</si>
  <si>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</si>
  <si>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</si>
  <si>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</si>
  <si>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</si>
  <si>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</si>
  <si>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</si>
  <si>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</si>
  <si>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</si>
  <si>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</si>
  <si>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</si>
  <si>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</si>
  <si>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</si>
  <si>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</si>
  <si>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</si>
  <si>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</si>
  <si>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</si>
  <si>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</si>
  <si>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</si>
  <si>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</si>
  <si>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</si>
  <si>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</si>
  <si>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</si>
  <si>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</si>
  <si>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</si>
  <si>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</si>
  <si>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</si>
  <si>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</si>
  <si>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</si>
  <si>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</si>
  <si>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</si>
  <si>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</si>
  <si>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</si>
  <si>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</si>
  <si>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</si>
  <si>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</si>
  <si>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</si>
  <si>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</si>
  <si>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</si>
  <si>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</si>
  <si>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</si>
  <si>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</si>
  <si>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</si>
  <si>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</si>
  <si>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</si>
  <si>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</si>
  <si>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</si>
  <si>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</si>
  <si>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</si>
  <si>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</si>
  <si>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</si>
  <si>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</si>
  <si>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</si>
  <si>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</si>
  <si>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</si>
  <si>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</si>
  <si>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</si>
  <si>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</si>
  <si>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</si>
  <si>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</si>
  <si>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</si>
  <si>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</si>
  <si>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</si>
  <si>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</si>
  <si>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</si>
  <si>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</si>
  <si>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</si>
  <si>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</si>
  <si>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</si>
  <si>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</si>
  <si>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</si>
  <si>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</si>
  <si>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</si>
  <si>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</si>
  <si>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</si>
  <si>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</si>
  <si>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</si>
  <si>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</si>
  <si>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</si>
  <si>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</si>
  <si>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</si>
  <si>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</si>
  <si>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</si>
  <si>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</si>
  <si>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</si>
  <si>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</si>
  <si>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</si>
  <si>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</si>
  <si>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</si>
  <si>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</si>
  <si>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</si>
  <si>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</si>
  <si>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</si>
  <si>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</si>
  <si>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</si>
  <si>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</si>
  <si>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</si>
  <si>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</si>
  <si>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</si>
  <si>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</si>
  <si>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</si>
  <si>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</si>
  <si>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</si>
  <si>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</si>
  <si>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</si>
  <si>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</si>
  <si>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</si>
  <si>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</si>
  <si>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</si>
  <si>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</si>
  <si>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</si>
  <si>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</si>
  <si>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</si>
  <si>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</si>
  <si>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</si>
  <si>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</si>
  <si>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</si>
  <si>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</si>
  <si>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</si>
  <si>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</si>
  <si>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</si>
  <si>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</si>
  <si>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</si>
  <si>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</si>
  <si>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</si>
  <si>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</si>
  <si>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</si>
  <si>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</si>
  <si>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</si>
  <si>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</si>
  <si>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</si>
  <si>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</si>
  <si>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</si>
  <si>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</si>
  <si>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</si>
  <si>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</si>
  <si>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</si>
  <si>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</si>
  <si>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</si>
  <si>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</si>
  <si>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</si>
  <si>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</si>
  <si>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</si>
  <si>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</si>
  <si>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</si>
  <si>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</si>
  <si>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</si>
  <si>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</si>
  <si>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</si>
  <si>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</si>
  <si>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</si>
  <si>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</si>
  <si>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</si>
  <si>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</si>
  <si>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</si>
  <si>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</si>
  <si>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</si>
  <si>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</si>
  <si>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</si>
  <si>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</si>
  <si>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</si>
  <si>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</si>
  <si>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</si>
  <si>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</si>
  <si>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</si>
  <si>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</si>
  <si>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</si>
  <si>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</si>
  <si>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</si>
  <si>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</si>
  <si>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</si>
  <si>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</si>
  <si>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</si>
  <si>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</si>
  <si>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</si>
  <si>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</si>
  <si>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</si>
  <si>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</si>
  <si>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</si>
  <si>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</si>
  <si>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</si>
  <si>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</si>
  <si>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</si>
  <si>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</si>
  <si>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</si>
  <si>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</si>
  <si>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</si>
  <si>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</si>
  <si>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</si>
  <si>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</si>
  <si>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</si>
  <si>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</si>
  <si>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</si>
  <si>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</si>
  <si>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</si>
  <si>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</si>
  <si>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</si>
  <si>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</si>
  <si>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</si>
  <si>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</si>
  <si>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</si>
  <si>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</si>
  <si>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</si>
  <si>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</si>
  <si>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</si>
  <si>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</si>
  <si>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</si>
  <si>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</si>
  <si>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</si>
  <si>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</si>
  <si>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</si>
  <si>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</si>
  <si>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</si>
  <si>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</si>
  <si>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</si>
  <si>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</si>
  <si>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</si>
  <si>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</si>
  <si>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</si>
  <si>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</si>
  <si>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</si>
  <si>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</si>
  <si>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</si>
  <si>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</si>
  <si>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</si>
  <si>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</si>
  <si>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</si>
  <si>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</si>
  <si>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</si>
  <si>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</si>
  <si>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</si>
  <si>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</si>
  <si>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</si>
  <si>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</si>
  <si>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</si>
  <si>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</si>
  <si>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</si>
  <si>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</si>
  <si>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</si>
  <si>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</si>
  <si>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</si>
  <si>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</si>
  <si>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</si>
  <si>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</si>
  <si>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</si>
  <si>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</si>
  <si>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</si>
  <si>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</si>
  <si>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</si>
  <si>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</si>
  <si>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</si>
  <si>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</si>
  <si>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</si>
  <si>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</si>
  <si>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</si>
  <si>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</si>
  <si>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</si>
  <si>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</si>
  <si>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</si>
  <si>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</si>
  <si>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</si>
  <si>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</si>
  <si>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</si>
  <si>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</si>
  <si>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</si>
  <si>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</si>
  <si>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</si>
  <si>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</si>
  <si>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</si>
  <si>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</si>
  <si>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</si>
  <si>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</si>
  <si>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</si>
  <si>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</si>
  <si>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</si>
  <si>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</si>
  <si>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</si>
  <si>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</si>
  <si>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</si>
  <si>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</si>
  <si>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</si>
  <si>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</si>
  <si>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</si>
  <si>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</si>
  <si>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</si>
  <si>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</si>
  <si>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</si>
  <si>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</si>
  <si>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</si>
  <si>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</si>
  <si>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</si>
  <si>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</si>
  <si>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</si>
  <si>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</si>
  <si>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</si>
  <si>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</si>
  <si>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</si>
  <si>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</si>
  <si>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</si>
  <si>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</si>
  <si>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</si>
  <si>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</si>
  <si>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</si>
  <si>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</si>
  <si>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</si>
  <si>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</si>
  <si>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</si>
  <si>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</si>
  <si>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</si>
  <si>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</si>
  <si>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</si>
  <si>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</si>
  <si>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</si>
  <si>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</si>
  <si>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</si>
  <si>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</si>
  <si>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</si>
  <si>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</si>
  <si>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</si>
  <si>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</si>
  <si>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</si>
  <si>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</si>
  <si>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</si>
  <si>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</si>
  <si>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</si>
  <si>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</si>
  <si>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</si>
  <si>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</si>
  <si>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</si>
  <si>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</si>
  <si>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</si>
  <si>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</si>
  <si>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</si>
  <si>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</si>
  <si>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</si>
  <si>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</si>
  <si>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</si>
  <si>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</si>
  <si>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</si>
  <si>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</si>
  <si>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</si>
  <si>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</si>
  <si>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</si>
  <si>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</si>
  <si>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</si>
  <si>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</si>
  <si>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</si>
  <si>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</si>
  <si>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</si>
  <si>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</si>
  <si>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</si>
  <si>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</si>
  <si>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</si>
  <si>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</si>
  <si>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</si>
  <si>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</si>
  <si>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</si>
  <si>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</si>
  <si>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</si>
  <si>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</si>
  <si>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</si>
  <si>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</si>
  <si>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</si>
  <si>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</si>
  <si>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</si>
  <si>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</si>
  <si>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</si>
  <si>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</si>
  <si>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</si>
  <si>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</si>
  <si>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</si>
  <si>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</si>
  <si>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</si>
  <si>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</si>
  <si>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</si>
  <si>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</si>
  <si>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</si>
  <si>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</si>
  <si>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</si>
  <si>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</si>
  <si>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</si>
  <si>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</si>
  <si>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</si>
  <si>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</si>
  <si>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</si>
  <si>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</si>
  <si>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</si>
  <si>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</si>
  <si>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</si>
  <si>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</si>
  <si>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</si>
  <si>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</si>
  <si>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</si>
  <si>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</si>
  <si>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</si>
  <si>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</si>
  <si>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</si>
  <si>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</si>
  <si>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</si>
  <si>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</si>
  <si>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</si>
  <si>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</si>
  <si>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</si>
  <si>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</si>
  <si>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</si>
  <si>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</si>
  <si>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</si>
  <si>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</si>
  <si>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</si>
  <si>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</si>
  <si>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</si>
  <si>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</si>
  <si>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</si>
  <si>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</si>
  <si>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</si>
  <si>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</si>
  <si>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</si>
  <si>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</si>
  <si>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</si>
  <si>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</si>
  <si>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</si>
  <si>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</si>
  <si>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</si>
  <si>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</si>
  <si>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</si>
  <si>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</si>
  <si>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</si>
  <si>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</si>
  <si>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</si>
  <si>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</si>
  <si>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</si>
  <si>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</si>
  <si>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</si>
  <si>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</si>
  <si>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</si>
  <si>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</si>
  <si>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</si>
  <si>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</si>
  <si>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</si>
  <si>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</si>
  <si>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</si>
  <si>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</si>
  <si>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</si>
  <si>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</si>
  <si>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</si>
  <si>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</si>
  <si>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</si>
  <si>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</si>
  <si>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</si>
  <si>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</si>
  <si>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</si>
  <si>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</si>
  <si>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</si>
  <si>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</si>
  <si>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</si>
  <si>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</si>
  <si>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</si>
  <si>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</si>
  <si>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</si>
  <si>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</si>
  <si>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</si>
  <si>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</si>
  <si>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</si>
  <si>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</si>
  <si>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</si>
  <si>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</si>
  <si>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</si>
  <si>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</si>
  <si>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</si>
  <si>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</si>
  <si>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</si>
  <si>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</si>
  <si>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</si>
  <si>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</si>
  <si>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</si>
  <si>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</si>
  <si>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</si>
  <si>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</si>
  <si>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</si>
  <si>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</si>
  <si>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</si>
  <si>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</si>
  <si>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</si>
  <si>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</si>
  <si>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</si>
  <si>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</si>
  <si>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</si>
  <si>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</si>
  <si>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</si>
  <si>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</si>
  <si>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</si>
  <si>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</si>
  <si>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</si>
  <si>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</si>
  <si>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</si>
  <si>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</si>
  <si>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</si>
  <si>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</si>
  <si>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</si>
  <si>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</si>
  <si>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</si>
  <si>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</si>
  <si>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</si>
  <si>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</si>
  <si>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</si>
  <si>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</si>
  <si>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</si>
  <si>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</si>
  <si>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</si>
  <si>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</si>
  <si>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</si>
  <si>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</si>
  <si>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</si>
  <si>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</si>
  <si>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</si>
  <si>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</si>
  <si>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</si>
  <si>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</si>
  <si>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</si>
  <si>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</si>
  <si>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</si>
  <si>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</si>
  <si>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</si>
  <si>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</si>
  <si>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</si>
  <si>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</si>
  <si>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</si>
  <si>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</si>
  <si>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</si>
  <si>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</si>
  <si>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</si>
  <si>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</si>
  <si>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</si>
  <si>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</si>
  <si>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</si>
  <si>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</si>
  <si>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</si>
  <si>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</si>
  <si>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</si>
  <si>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</si>
  <si>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</si>
  <si>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</si>
  <si>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</si>
  <si>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</si>
  <si>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</si>
  <si>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</si>
  <si>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</si>
  <si>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</si>
  <si>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</si>
  <si>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</si>
  <si>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</si>
  <si>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</si>
  <si>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</si>
  <si>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</si>
  <si>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</si>
  <si>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</si>
  <si>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</si>
  <si>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</si>
  <si>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</si>
  <si>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</si>
  <si>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</si>
  <si>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</si>
  <si>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</si>
  <si>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</si>
  <si>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</si>
  <si>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</si>
  <si>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</si>
  <si>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</si>
  <si>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</si>
  <si>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</si>
  <si>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</si>
  <si>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</si>
  <si>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</si>
  <si>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</si>
  <si>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</si>
  <si>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</si>
  <si>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</si>
  <si>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</si>
  <si>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</si>
  <si>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</si>
  <si>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</si>
  <si>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</si>
  <si>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</si>
  <si>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</si>
  <si>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</si>
  <si>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</si>
  <si>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</si>
  <si>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</si>
  <si>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</si>
  <si>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</si>
  <si>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</si>
  <si>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</si>
  <si>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</si>
  <si>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</si>
  <si>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</si>
  <si>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</si>
  <si>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</si>
  <si>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</si>
  <si>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</si>
  <si>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</si>
  <si>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</si>
  <si>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</si>
  <si>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</si>
  <si>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</si>
  <si>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</si>
  <si>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</si>
  <si>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</si>
  <si>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</si>
  <si>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</si>
  <si>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</si>
  <si>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</si>
  <si>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</si>
  <si>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</si>
  <si>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</si>
  <si>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</si>
  <si>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</si>
  <si>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</si>
  <si>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</si>
  <si>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</si>
  <si>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</si>
  <si>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</si>
  <si>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</si>
  <si>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</si>
  <si>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</si>
  <si>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</si>
  <si>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</si>
  <si>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</si>
  <si>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</si>
  <si>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</si>
  <si>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</si>
  <si>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</si>
  <si>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</si>
  <si>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</si>
  <si>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</si>
  <si>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</si>
  <si>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</si>
  <si>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</si>
  <si>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</si>
  <si>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</si>
  <si>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</si>
  <si>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</si>
  <si>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</si>
  <si>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</si>
  <si>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</si>
  <si>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</si>
  <si>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</si>
  <si>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</si>
  <si>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</si>
  <si>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</si>
  <si>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</si>
  <si>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</si>
  <si>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</si>
  <si>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</si>
  <si>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</si>
  <si>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</si>
  <si>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</si>
  <si>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</si>
  <si>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</si>
  <si>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</si>
  <si>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</si>
  <si>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</si>
  <si>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</si>
  <si>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</si>
  <si>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</si>
  <si>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</si>
  <si>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</si>
  <si>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</si>
  <si>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</si>
  <si>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</si>
  <si>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</si>
  <si>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</si>
  <si>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</si>
  <si>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</si>
  <si>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</si>
  <si>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</si>
  <si>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</si>
  <si>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</si>
  <si>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</si>
  <si>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</si>
  <si>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</si>
  <si>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</si>
  <si>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</si>
  <si>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</si>
  <si>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</si>
  <si>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</si>
  <si>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</si>
  <si>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</si>
  <si>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</si>
  <si>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</si>
  <si>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</si>
  <si>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</si>
  <si>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</si>
  <si>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</si>
  <si>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</si>
  <si>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</si>
  <si>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</si>
  <si>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</si>
  <si>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</si>
  <si>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</si>
  <si>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</si>
  <si>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</si>
  <si>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</si>
  <si>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</si>
  <si>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</si>
  <si>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</si>
  <si>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</si>
  <si>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</si>
  <si>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</si>
  <si>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</si>
  <si>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</si>
  <si>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</si>
  <si>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</si>
  <si>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</si>
  <si>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</si>
  <si>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</si>
  <si>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</si>
  <si>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</si>
  <si>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</si>
  <si>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</si>
  <si>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</si>
  <si>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</si>
  <si>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</si>
  <si>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</si>
  <si>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</si>
  <si>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</si>
  <si>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</si>
  <si>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</si>
  <si>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</si>
  <si>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</si>
  <si>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</si>
  <si>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</si>
  <si>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</si>
  <si>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</si>
  <si>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</si>
  <si>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</si>
  <si>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</si>
  <si>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</si>
  <si>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</si>
  <si>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</si>
  <si>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</si>
  <si>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</si>
  <si>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</si>
  <si>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</si>
  <si>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</si>
  <si>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</si>
  <si>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</si>
  <si>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</si>
  <si>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</si>
  <si>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</si>
  <si>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</si>
  <si>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</si>
  <si>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</si>
  <si>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</si>
  <si>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</si>
  <si>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</si>
  <si>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</si>
  <si>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</si>
  <si>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</si>
  <si>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</si>
  <si>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</si>
  <si>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</si>
  <si>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</si>
  <si>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</si>
  <si>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</si>
  <si>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</si>
  <si>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</si>
  <si>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</si>
  <si>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</si>
  <si>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</si>
  <si>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</si>
  <si>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</si>
  <si>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</si>
  <si>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</si>
  <si>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</si>
  <si>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</si>
  <si>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</si>
  <si>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</si>
  <si>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</si>
  <si>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</si>
  <si>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</si>
  <si>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</si>
  <si>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</si>
  <si>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</si>
  <si>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</si>
  <si>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</si>
  <si>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</si>
  <si>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</si>
  <si>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</si>
  <si>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</si>
  <si>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</si>
  <si>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</si>
  <si>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</si>
  <si>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</si>
  <si>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</si>
  <si>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</si>
  <si>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</si>
  <si>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</si>
  <si>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</si>
  <si>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</si>
  <si>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</si>
  <si>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</si>
  <si>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</si>
  <si>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</si>
  <si>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</si>
  <si>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</si>
  <si>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</si>
  <si>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</si>
  <si>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</si>
  <si>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</si>
  <si>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</si>
  <si>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</si>
  <si>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</si>
  <si>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</si>
  <si>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</si>
  <si>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</si>
  <si>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</si>
  <si>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</si>
  <si>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</si>
  <si>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</si>
  <si>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</si>
  <si>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</si>
  <si>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</si>
  <si>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</si>
  <si>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</si>
  <si>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</si>
  <si>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</si>
  <si>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</si>
  <si>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</si>
  <si>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</si>
  <si>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</si>
  <si>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</si>
  <si>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</si>
  <si>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</si>
  <si>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</si>
  <si>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</si>
  <si>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</si>
  <si>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</si>
  <si>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</si>
  <si>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</si>
  <si>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</si>
  <si>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</si>
  <si>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</si>
  <si>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</si>
  <si>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</si>
  <si>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</si>
  <si>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</si>
  <si>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</si>
  <si>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</si>
  <si>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</si>
  <si>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</si>
  <si>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</si>
  <si>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</si>
  <si>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</si>
  <si>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</si>
  <si>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</si>
  <si>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</si>
  <si>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</si>
  <si>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</si>
  <si>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</si>
  <si>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</si>
  <si>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</si>
  <si>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</si>
  <si>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</si>
  <si>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</si>
  <si>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</si>
  <si>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</si>
  <si>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</si>
  <si>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</si>
  <si>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</si>
  <si>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</si>
  <si>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</si>
  <si>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</si>
  <si>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</si>
  <si>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</si>
  <si>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</si>
  <si>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</si>
  <si>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</si>
  <si>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</si>
  <si>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</si>
  <si>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</si>
  <si>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</si>
  <si>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</si>
  <si>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</si>
  <si>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</si>
  <si>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</si>
  <si>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</si>
  <si>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</si>
  <si>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</si>
  <si>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</si>
  <si>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</si>
  <si>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</si>
  <si>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</si>
  <si>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</si>
  <si>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</si>
  <si>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</si>
  <si>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</si>
  <si>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</si>
  <si>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</si>
  <si>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</si>
  <si>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</si>
  <si>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</si>
  <si>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</si>
  <si>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</si>
  <si>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</si>
  <si>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</si>
  <si>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</si>
  <si>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</si>
  <si>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</si>
  <si>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</si>
  <si>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</si>
  <si>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</si>
  <si>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</si>
  <si>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</si>
  <si>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</si>
  <si>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</si>
  <si>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</si>
  <si>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</si>
  <si>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</si>
  <si>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</si>
  <si>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</si>
  <si>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</si>
  <si>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</si>
  <si>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</si>
  <si>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</si>
  <si>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</si>
  <si>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</si>
  <si>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</si>
  <si>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</si>
  <si>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</si>
  <si>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</si>
  <si>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</si>
  <si>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</si>
  <si>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</si>
  <si>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</si>
  <si>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</si>
  <si>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</si>
  <si>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</si>
  <si>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</si>
  <si>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</si>
  <si>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</si>
  <si>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</si>
  <si>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</si>
  <si>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</si>
  <si>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</si>
  <si>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</si>
  <si>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</si>
  <si>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</si>
  <si>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</si>
  <si>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</si>
  <si>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</si>
  <si>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</si>
  <si>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</si>
  <si>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</si>
  <si>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</si>
  <si>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</si>
  <si>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</si>
  <si>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</si>
  <si>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</si>
  <si>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</si>
  <si>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</si>
  <si>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</si>
  <si>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</si>
  <si>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</si>
  <si>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</si>
  <si>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</si>
  <si>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</si>
  <si>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</si>
  <si>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</si>
  <si>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</si>
  <si>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</si>
  <si>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</si>
  <si>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</si>
  <si>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</si>
  <si>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</si>
  <si>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</si>
  <si>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</si>
  <si>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</si>
  <si>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</si>
  <si>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</si>
  <si>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</si>
  <si>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</si>
  <si>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</si>
  <si>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</si>
  <si>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</si>
  <si>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</si>
  <si>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</si>
  <si>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</si>
  <si>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</si>
  <si>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</si>
  <si>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</si>
  <si>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</si>
  <si>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</si>
  <si>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</si>
  <si>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</si>
  <si>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</si>
  <si>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</si>
  <si>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</si>
  <si>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</si>
  <si>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</si>
  <si>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</si>
  <si>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</si>
  <si>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</si>
  <si>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</si>
  <si>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</si>
  <si>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</si>
  <si>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</si>
  <si>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</si>
  <si>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</si>
  <si>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</si>
  <si>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</si>
  <si>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</si>
  <si>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</si>
  <si>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</si>
  <si>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</si>
  <si>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</si>
  <si>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</si>
  <si>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</si>
  <si>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</si>
  <si>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</si>
  <si>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</si>
  <si>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</si>
  <si>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</si>
  <si>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</si>
  <si>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</si>
  <si>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</si>
  <si>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</si>
  <si>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</si>
  <si>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</si>
  <si>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</si>
  <si>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</si>
  <si>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</si>
  <si>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</si>
  <si>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</si>
  <si>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</si>
  <si>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</si>
  <si>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</si>
  <si>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</si>
  <si>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</si>
  <si>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</si>
  <si>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</si>
  <si>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</si>
  <si>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</si>
  <si>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</si>
  <si>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</si>
  <si>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</si>
  <si>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</si>
  <si>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</si>
  <si>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</si>
  <si>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</si>
  <si>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</si>
  <si>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</si>
  <si>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</si>
  <si>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</si>
  <si>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</si>
  <si>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</si>
  <si>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</si>
  <si>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</si>
  <si>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</si>
  <si>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</si>
  <si>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</si>
  <si>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</si>
  <si>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</si>
  <si>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</si>
  <si>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</si>
  <si>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</si>
  <si>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</si>
  <si>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</si>
  <si>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</si>
  <si>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</si>
  <si>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</si>
  <si>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</si>
  <si>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</si>
  <si>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</si>
  <si>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</si>
  <si>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</si>
  <si>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</si>
  <si>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</si>
  <si>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</si>
  <si>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</si>
  <si>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</si>
  <si>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</si>
  <si>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</si>
  <si>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</si>
  <si>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</si>
  <si>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</si>
  <si>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</si>
  <si>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</si>
  <si>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</si>
  <si>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</si>
  <si>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</si>
  <si>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</si>
  <si>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</si>
  <si>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</si>
  <si>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</si>
  <si>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</si>
  <si>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</si>
  <si>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</si>
  <si>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</si>
  <si>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</si>
  <si>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</si>
  <si>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</si>
  <si>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</si>
  <si>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</si>
  <si>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</si>
  <si>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</si>
  <si>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</si>
  <si>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</si>
  <si>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</si>
  <si>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</si>
  <si>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</si>
  <si>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</si>
  <si>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</si>
  <si>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</si>
  <si>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</si>
  <si>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</si>
  <si>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</si>
  <si>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</si>
  <si>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</si>
  <si>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</si>
  <si>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</si>
  <si>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</si>
  <si>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</si>
  <si>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</si>
  <si>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</si>
  <si>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</si>
  <si>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</si>
  <si>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</si>
  <si>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</si>
  <si>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</si>
  <si>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</si>
  <si>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</si>
  <si>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</si>
  <si>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</si>
  <si>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</si>
  <si>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</si>
  <si>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</si>
  <si>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</si>
  <si>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</si>
  <si>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</si>
  <si>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</si>
  <si>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</si>
  <si>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</si>
  <si>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</si>
  <si>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</si>
  <si>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</si>
  <si>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</si>
  <si>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</si>
  <si>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</si>
  <si>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</si>
  <si>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</si>
  <si>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</si>
  <si>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</si>
  <si>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</si>
  <si>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</si>
  <si>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</si>
  <si>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</si>
  <si>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</si>
  <si>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</si>
  <si>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</si>
  <si>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</si>
  <si>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</si>
  <si>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</si>
  <si>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</si>
  <si>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</si>
  <si>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</si>
  <si>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</si>
  <si>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</si>
  <si>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</si>
  <si>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</si>
  <si>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</si>
  <si>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</si>
  <si>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</si>
  <si>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</si>
  <si>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</si>
  <si>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</si>
  <si>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</si>
  <si>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</si>
  <si>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</si>
  <si>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</si>
  <si>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</si>
  <si>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</si>
  <si>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</si>
  <si>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</si>
  <si>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</si>
  <si>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</si>
  <si>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</si>
  <si>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</si>
  <si>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</si>
  <si>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</si>
  <si>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</si>
  <si>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</si>
  <si>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</si>
  <si>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</si>
  <si>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</si>
  <si>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</si>
  <si>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</si>
  <si>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</si>
  <si>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</si>
  <si>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</si>
  <si>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</si>
  <si>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</si>
  <si>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</si>
  <si>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</si>
  <si>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</si>
  <si>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</si>
  <si>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</si>
  <si>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</si>
  <si>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</si>
  <si>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</si>
  <si>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</si>
  <si>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</si>
  <si>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</si>
  <si>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</si>
  <si>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</si>
  <si>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</si>
  <si>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</si>
  <si>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</si>
  <si>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</si>
  <si>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</si>
  <si>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</si>
  <si>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</si>
  <si>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</si>
  <si>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</si>
  <si>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</si>
  <si>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</si>
  <si>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</si>
  <si>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</si>
  <si>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</si>
  <si>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</si>
  <si>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</si>
  <si>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</si>
  <si>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</si>
  <si>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</si>
  <si>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</si>
  <si>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</si>
  <si>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</si>
  <si>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</si>
  <si>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</si>
  <si>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</si>
  <si>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</si>
  <si>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</si>
  <si>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</si>
  <si>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</si>
  <si>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</si>
  <si>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</si>
  <si>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</si>
  <si>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</si>
  <si>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</si>
  <si>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</si>
  <si>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</si>
  <si>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</si>
  <si>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</si>
  <si>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</si>
  <si>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</si>
  <si>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</si>
  <si>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</si>
  <si>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</si>
  <si>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</si>
  <si>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</si>
  <si>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</si>
  <si>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</si>
  <si>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</si>
  <si>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</si>
  <si>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</si>
  <si>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</si>
  <si>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</si>
  <si>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</si>
  <si>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</si>
  <si>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</si>
  <si>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</si>
  <si>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</si>
  <si>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</si>
  <si>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</si>
  <si>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</si>
  <si>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</si>
  <si>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</si>
  <si>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</si>
  <si>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</si>
  <si>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</si>
  <si>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</si>
  <si>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</si>
  <si>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</si>
  <si>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</si>
  <si>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</si>
  <si>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</si>
  <si>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</si>
  <si>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</si>
  <si>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</si>
  <si>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</si>
  <si>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</si>
  <si>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</si>
  <si>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</si>
  <si>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</si>
  <si>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</si>
  <si>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</si>
  <si>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</si>
  <si>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</si>
  <si>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</si>
  <si>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</si>
  <si>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</si>
  <si>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</si>
  <si>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</si>
  <si>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</si>
  <si>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</si>
  <si>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</si>
  <si>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</si>
  <si>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</si>
  <si>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</si>
  <si>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</si>
  <si>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</si>
  <si>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</si>
  <si>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</si>
  <si>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</si>
  <si>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</si>
  <si>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</si>
  <si>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</si>
  <si>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</si>
  <si>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</si>
  <si>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</si>
  <si>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</si>
  <si>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</si>
  <si>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</si>
  <si>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</si>
  <si>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</si>
  <si>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</si>
  <si>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</si>
  <si>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</si>
  <si>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</si>
  <si>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</si>
  <si>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</si>
  <si>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</si>
  <si>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</si>
  <si>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</si>
  <si>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</si>
  <si>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</si>
  <si>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</si>
  <si>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</si>
  <si>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</si>
  <si>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</si>
  <si>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</si>
  <si>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</si>
  <si>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</si>
  <si>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</si>
  <si>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</si>
  <si>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</si>
  <si>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</si>
  <si>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</si>
  <si>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</si>
  <si>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</si>
  <si>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</si>
  <si>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</si>
  <si>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</si>
  <si>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</si>
  <si>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</si>
  <si>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</si>
  <si>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</si>
  <si>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</si>
  <si>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</si>
  <si>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</si>
  <si>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</si>
  <si>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</si>
  <si>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</si>
  <si>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</si>
  <si>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</si>
  <si>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</si>
  <si>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</si>
  <si>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</si>
  <si>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</si>
  <si>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</si>
  <si>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</si>
  <si>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</si>
  <si>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</si>
  <si>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</si>
  <si>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</si>
  <si>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</si>
  <si>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</si>
  <si>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</si>
  <si>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</si>
  <si>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</si>
  <si>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</si>
  <si>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</si>
  <si>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</si>
  <si>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</si>
  <si>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</si>
  <si>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</si>
  <si>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</si>
  <si>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</si>
  <si>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</si>
  <si>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</si>
  <si>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</si>
  <si>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</si>
  <si>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</si>
  <si>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</si>
  <si>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</si>
  <si>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</si>
  <si>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</si>
  <si>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</si>
  <si>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</si>
  <si>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</si>
  <si>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</si>
  <si>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</si>
  <si>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</si>
  <si>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</si>
  <si>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</si>
  <si>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</si>
  <si>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</si>
  <si>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</si>
  <si>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</si>
  <si>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</si>
  <si>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</si>
  <si>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</si>
  <si>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</si>
  <si>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</si>
  <si>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</si>
  <si>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</si>
  <si>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</si>
  <si>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</si>
  <si>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</si>
  <si>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</si>
  <si>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</si>
  <si>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</si>
  <si>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</si>
  <si>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</si>
  <si>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</si>
  <si>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</si>
  <si>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</si>
  <si>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</si>
  <si>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</si>
  <si>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</si>
  <si>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</si>
  <si>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</si>
  <si>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</si>
  <si>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</si>
  <si>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</si>
  <si>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</si>
  <si>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</si>
  <si>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</si>
  <si>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</si>
  <si>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</si>
  <si>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</si>
  <si>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</si>
  <si>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</si>
  <si>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</si>
  <si>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</si>
  <si>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</si>
  <si>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</si>
  <si>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</si>
  <si>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</si>
  <si>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</si>
  <si>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</si>
  <si>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</si>
  <si>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</si>
  <si>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</si>
  <si>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</si>
  <si>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</si>
  <si>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</si>
  <si>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</si>
  <si>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</si>
  <si>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</si>
  <si>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</si>
  <si>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</si>
  <si>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</si>
  <si>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</si>
  <si>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</si>
  <si>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</si>
  <si>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</si>
  <si>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</si>
  <si>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</si>
  <si>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</si>
  <si>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</si>
  <si>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</si>
  <si>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</si>
  <si>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</si>
  <si>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</si>
  <si>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</si>
  <si>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</si>
  <si>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</si>
  <si>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</si>
  <si>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</si>
  <si>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</si>
  <si>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</si>
  <si>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</si>
  <si>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</si>
  <si>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</si>
  <si>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</si>
  <si>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</si>
  <si>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</si>
  <si>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</si>
  <si>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</si>
  <si>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</si>
  <si>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</si>
  <si>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</si>
  <si>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</si>
  <si>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</si>
  <si>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</si>
  <si>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</si>
  <si>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</si>
  <si>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</si>
  <si>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</si>
  <si>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</si>
  <si>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</si>
  <si>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</si>
  <si>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</si>
  <si>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</si>
  <si>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</si>
  <si>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</si>
  <si>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</si>
  <si>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</si>
  <si>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</si>
  <si>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</si>
  <si>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</si>
  <si>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</si>
  <si>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</si>
  <si>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</si>
  <si>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</si>
  <si>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</si>
  <si>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</si>
  <si>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</si>
  <si>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</si>
  <si>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</si>
  <si>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</si>
  <si>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</si>
  <si>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</si>
  <si>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</si>
  <si>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</si>
  <si>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</si>
  <si>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</si>
  <si>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</si>
  <si>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</si>
  <si>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</si>
  <si>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</si>
  <si>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</si>
  <si>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</si>
  <si>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</si>
  <si>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</si>
  <si>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</si>
  <si>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</si>
  <si>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</si>
  <si>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</si>
  <si>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</si>
  <si>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</si>
  <si>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</si>
  <si>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</si>
  <si>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</si>
  <si>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</si>
  <si>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</si>
  <si>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</si>
  <si>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</si>
  <si>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</si>
  <si>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</si>
  <si>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</si>
  <si>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</si>
  <si>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</si>
  <si>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</si>
  <si>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</si>
  <si>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</si>
  <si>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</si>
  <si>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</si>
  <si>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</si>
  <si>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</si>
  <si>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</si>
  <si>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</si>
  <si>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</si>
  <si>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</si>
  <si>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</si>
  <si>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</si>
  <si>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</si>
  <si>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</si>
  <si>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</si>
  <si>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</si>
  <si>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</si>
  <si>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</si>
  <si>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</si>
  <si>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</si>
  <si>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</si>
  <si>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</si>
  <si>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</si>
  <si>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</si>
  <si>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</si>
  <si>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</si>
  <si>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</si>
  <si>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</si>
  <si>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</si>
  <si>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</si>
  <si>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</si>
  <si>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</si>
  <si>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</si>
  <si>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</si>
  <si>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</si>
  <si>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</si>
  <si>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</si>
  <si>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</si>
  <si>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</si>
  <si>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</si>
  <si>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</si>
  <si>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</si>
  <si>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</si>
  <si>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</si>
  <si>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</si>
  <si>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</si>
  <si>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</si>
  <si>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</si>
  <si>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</si>
  <si>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</si>
  <si>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</si>
  <si>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</si>
  <si>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</si>
  <si>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</si>
  <si>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</si>
  <si>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</si>
  <si>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</si>
  <si>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</si>
  <si>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</si>
  <si>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</si>
  <si>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</si>
  <si>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</si>
  <si>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</si>
  <si>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</si>
  <si>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</si>
  <si>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</si>
  <si>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</si>
  <si>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</si>
  <si>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</si>
  <si>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</si>
  <si>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</si>
  <si>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</si>
  <si>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</si>
  <si>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</si>
  <si>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</si>
  <si>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</si>
  <si>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</si>
  <si>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</si>
  <si>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</si>
  <si>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</si>
  <si>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</si>
  <si>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</si>
  <si>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</si>
  <si>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</si>
  <si>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</si>
  <si>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</si>
  <si>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</si>
  <si>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</si>
  <si>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</si>
  <si>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</si>
  <si>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</si>
  <si>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</si>
  <si>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</si>
  <si>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</si>
  <si>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</si>
  <si>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</si>
  <si>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</si>
  <si>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</si>
  <si>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</si>
  <si>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</si>
  <si>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</si>
  <si>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</si>
  <si>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</si>
  <si>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</si>
  <si>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</si>
  <si>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</si>
  <si>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</si>
  <si>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</si>
  <si>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</si>
  <si>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</si>
  <si>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</si>
  <si>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</si>
  <si>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</si>
  <si>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</si>
  <si>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</si>
  <si>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</si>
  <si>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</si>
  <si>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</si>
  <si>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</si>
  <si>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</si>
  <si>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</si>
  <si>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</si>
  <si>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</si>
  <si>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</si>
  <si>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</si>
  <si>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</si>
  <si>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</si>
  <si>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</si>
  <si>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</si>
  <si>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</si>
  <si>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</si>
  <si>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</si>
  <si>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</si>
  <si>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</si>
  <si>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</si>
  <si>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</si>
  <si>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</si>
  <si>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</si>
  <si>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</si>
  <si>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</si>
  <si>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</si>
  <si>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</si>
  <si>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</si>
  <si>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</si>
  <si>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</si>
  <si>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</si>
  <si>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</si>
  <si>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</si>
  <si>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</si>
  <si>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</si>
  <si>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</si>
  <si>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</si>
  <si>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</si>
  <si>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</si>
  <si>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</si>
  <si>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</si>
  <si>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</si>
  <si>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</si>
  <si>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</si>
  <si>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</si>
  <si>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</si>
  <si>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</si>
  <si>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</si>
  <si>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</si>
  <si>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</si>
  <si>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</si>
  <si>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</si>
  <si>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</si>
  <si>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</si>
  <si>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</si>
  <si>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</si>
  <si>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</si>
  <si>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</si>
  <si>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</si>
  <si>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</si>
  <si>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</si>
  <si>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</si>
  <si>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</si>
  <si>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</si>
  <si>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</si>
  <si>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</si>
  <si>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</si>
  <si>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</si>
  <si>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</si>
  <si>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</si>
  <si>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</si>
  <si>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</si>
  <si>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</si>
  <si>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</si>
  <si>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</si>
  <si>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</si>
  <si>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</si>
  <si>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</si>
  <si>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</si>
  <si>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</si>
  <si>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</si>
  <si>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</si>
  <si>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</si>
  <si>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</si>
  <si>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</si>
  <si>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</si>
  <si>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</si>
  <si>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</si>
  <si>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</si>
  <si>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</si>
  <si>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</si>
  <si>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</si>
  <si>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</si>
  <si>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</si>
  <si>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</si>
  <si>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</si>
  <si>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</si>
  <si>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</si>
  <si>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</si>
  <si>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</si>
  <si>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</si>
  <si>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</si>
  <si>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</si>
  <si>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</si>
  <si>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</si>
  <si>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</si>
  <si>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</si>
  <si>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</si>
  <si>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</si>
  <si>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</si>
  <si>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</si>
  <si>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</si>
  <si>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</si>
  <si>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</si>
  <si>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</si>
  <si>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</si>
  <si>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</si>
  <si>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</si>
  <si>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</si>
  <si>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</si>
  <si>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</si>
  <si>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</si>
  <si>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</si>
  <si>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</si>
  <si>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</si>
  <si>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</si>
  <si>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</si>
  <si>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</si>
  <si>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</si>
  <si>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</si>
  <si>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</si>
  <si>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</si>
  <si>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</si>
  <si>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</si>
  <si>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</si>
  <si>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</si>
  <si>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</si>
  <si>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</si>
  <si>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</si>
  <si>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</si>
  <si>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</si>
  <si>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</si>
  <si>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</si>
  <si>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</si>
  <si>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</si>
  <si>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</si>
  <si>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</si>
  <si>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</si>
  <si>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</si>
  <si>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</si>
  <si>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</si>
  <si>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</si>
  <si>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</si>
  <si>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</si>
  <si>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</si>
  <si>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</si>
  <si>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</si>
  <si>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</si>
  <si>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</si>
  <si>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</si>
  <si>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</si>
  <si>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</si>
  <si>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</si>
  <si>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</si>
  <si>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</si>
  <si>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</si>
  <si>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</si>
  <si>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</si>
  <si>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</si>
  <si>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</si>
  <si>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</si>
  <si>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</si>
  <si>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</si>
  <si>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</si>
  <si>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</si>
  <si>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</si>
  <si>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</si>
  <si>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</si>
  <si>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</si>
  <si>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</si>
  <si>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</si>
  <si>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</si>
  <si>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</si>
  <si>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</si>
  <si>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</si>
  <si>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</si>
  <si>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</si>
  <si>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</si>
  <si>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</si>
  <si>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</si>
  <si>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</si>
  <si>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</si>
  <si>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</si>
  <si>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</si>
  <si>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</si>
  <si>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</si>
  <si>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</si>
  <si>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</si>
  <si>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</si>
  <si>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</si>
  <si>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</si>
  <si>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</si>
  <si>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</si>
  <si>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</si>
  <si>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</si>
  <si>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</si>
  <si>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</si>
  <si>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</si>
  <si>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</si>
  <si>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</si>
  <si>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</si>
  <si>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</si>
  <si>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</si>
  <si>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</si>
  <si>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</si>
  <si>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</si>
  <si>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</si>
  <si>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</si>
  <si>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</si>
  <si>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</si>
  <si>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</si>
  <si>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</si>
  <si>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</si>
  <si>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</si>
  <si>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</si>
  <si>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</si>
  <si>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</si>
  <si>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</si>
  <si>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</si>
  <si>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</si>
  <si>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</si>
  <si>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</si>
  <si>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</si>
  <si>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</si>
  <si>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</si>
  <si>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</si>
  <si>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</si>
  <si>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</si>
  <si>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</si>
  <si>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</si>
  <si>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</si>
  <si>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</si>
  <si>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</si>
  <si>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</si>
  <si>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</si>
  <si>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</si>
  <si>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</si>
  <si>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</si>
  <si>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</si>
  <si>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</si>
  <si>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</si>
  <si>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</si>
  <si>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</si>
  <si>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</si>
  <si>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</si>
  <si>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</si>
  <si>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</si>
  <si>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</si>
  <si>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</si>
  <si>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</si>
  <si>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</si>
  <si>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</si>
  <si>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</si>
  <si>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</si>
  <si>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</si>
  <si>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</si>
  <si>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</si>
  <si>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</si>
  <si>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</si>
  <si>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</si>
  <si>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</si>
  <si>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</si>
  <si>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</si>
  <si>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</si>
  <si>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</si>
  <si>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</si>
  <si>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</si>
  <si>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</si>
  <si>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</si>
  <si>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</si>
  <si>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</si>
  <si>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</si>
  <si>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</si>
  <si>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</si>
  <si>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</si>
  <si>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</si>
  <si>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</si>
  <si>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</si>
  <si>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</si>
  <si>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</si>
  <si>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</si>
  <si>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</si>
  <si>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</si>
  <si>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</si>
  <si>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</si>
  <si>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</si>
  <si>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</si>
  <si>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</si>
  <si>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</si>
  <si>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</si>
  <si>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</si>
  <si>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</si>
  <si>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</si>
  <si>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</si>
  <si>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</si>
  <si>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</si>
  <si>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</si>
  <si>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</si>
  <si>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</si>
  <si>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</si>
  <si>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</si>
  <si>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</si>
  <si>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</si>
  <si>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</si>
  <si>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</si>
  <si>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</si>
  <si>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</si>
  <si>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</si>
  <si>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</si>
  <si>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</si>
  <si>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</si>
  <si>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</si>
  <si>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</si>
  <si>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</si>
  <si>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</si>
  <si>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</si>
  <si>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</si>
  <si>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</si>
  <si>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</si>
  <si>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</si>
  <si>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</si>
  <si>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</si>
  <si>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</si>
  <si>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</si>
  <si>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</si>
  <si>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</si>
  <si>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</si>
  <si>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</si>
  <si>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</si>
  <si>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</si>
  <si>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</si>
  <si>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</si>
  <si>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</si>
  <si>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</si>
  <si>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</si>
  <si>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</si>
  <si>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</si>
  <si>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</si>
  <si>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</si>
  <si>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</si>
  <si>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</si>
  <si>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</si>
  <si>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</si>
  <si>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</si>
  <si>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</si>
  <si>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</si>
  <si>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</si>
  <si>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</si>
  <si>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</si>
  <si>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</si>
  <si>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</si>
  <si>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</si>
  <si>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</si>
  <si>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</si>
  <si>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</si>
  <si>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</si>
  <si>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</si>
  <si>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</si>
  <si>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</si>
  <si>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</si>
  <si>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</si>
  <si>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</si>
  <si>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</si>
  <si>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</si>
  <si>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</si>
  <si>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</si>
  <si>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</si>
  <si>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</si>
  <si>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</si>
  <si>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</si>
  <si>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</si>
  <si>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</si>
  <si>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</si>
  <si>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</si>
  <si>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</si>
  <si>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</si>
  <si>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</si>
  <si>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</si>
  <si>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</si>
  <si>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</si>
  <si>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</si>
  <si>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</si>
  <si>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</si>
  <si>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</si>
  <si>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</si>
  <si>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</si>
  <si>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</si>
  <si>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</si>
  <si>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</si>
  <si>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</si>
  <si>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</si>
  <si>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</si>
  <si>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</si>
  <si>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</si>
  <si>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</si>
  <si>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</si>
  <si>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</si>
  <si>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</si>
  <si>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</si>
  <si>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</si>
  <si>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</si>
  <si>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</si>
  <si>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</si>
  <si>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</si>
  <si>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</si>
  <si>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</si>
  <si>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</si>
  <si>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</si>
  <si>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</si>
  <si>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</si>
  <si>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</si>
  <si>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</si>
  <si>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</si>
  <si>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</si>
  <si>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</si>
  <si>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</si>
  <si>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</si>
  <si>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</si>
  <si>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</si>
  <si>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</si>
  <si>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</si>
  <si>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</si>
  <si>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</si>
  <si>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</si>
  <si>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</si>
  <si>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</si>
  <si>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</si>
  <si>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</si>
  <si>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</si>
  <si>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</si>
  <si>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</si>
  <si>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</si>
  <si>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</si>
  <si>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</si>
  <si>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</si>
  <si>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</si>
  <si>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</si>
  <si>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</si>
  <si>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</si>
  <si>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</si>
  <si>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</si>
  <si>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</si>
  <si>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</si>
  <si>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</si>
  <si>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</si>
  <si>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</si>
  <si>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</si>
  <si>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</si>
  <si>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</si>
  <si>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</si>
  <si>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</si>
  <si>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</si>
  <si>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</si>
  <si>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</si>
  <si>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</si>
  <si>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</si>
  <si>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</si>
  <si>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</si>
  <si>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</si>
  <si>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</si>
  <si>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</si>
  <si>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</si>
  <si>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</si>
  <si>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</si>
  <si>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</si>
  <si>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</si>
  <si>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</si>
  <si>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</si>
  <si>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</si>
  <si>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</si>
  <si>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</si>
  <si>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</si>
  <si>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</si>
  <si>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</si>
  <si>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</si>
  <si>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</si>
  <si>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</si>
  <si>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</si>
  <si>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</si>
  <si>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</si>
  <si>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</si>
  <si>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</si>
  <si>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</si>
  <si>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</si>
  <si>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</si>
  <si>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</si>
  <si>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</si>
  <si>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</si>
  <si>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</si>
  <si>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</si>
  <si>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</si>
  <si>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</si>
  <si>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</si>
  <si>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</si>
  <si>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</si>
  <si>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</si>
  <si>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</si>
  <si>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</si>
  <si>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</si>
  <si>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</si>
  <si>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</si>
  <si>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</si>
  <si>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</si>
  <si>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</si>
  <si>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</si>
  <si>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</si>
  <si>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</si>
  <si>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</si>
  <si>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</si>
  <si>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</si>
  <si>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</si>
  <si>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</si>
  <si>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</si>
  <si>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</si>
  <si>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</si>
  <si>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</si>
  <si>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</si>
  <si>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</si>
  <si>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</si>
  <si>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</si>
  <si>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</si>
  <si>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</si>
  <si>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</si>
  <si>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</si>
  <si>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</si>
  <si>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</si>
  <si>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</si>
  <si>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</si>
  <si>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</si>
  <si>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</si>
  <si>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</si>
  <si>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</si>
  <si>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</si>
  <si>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</si>
  <si>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</si>
  <si>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</si>
  <si>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</si>
  <si>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</si>
  <si>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</si>
  <si>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</si>
  <si>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</si>
  <si>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</si>
  <si>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</si>
  <si>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</si>
  <si>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</si>
  <si>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</si>
  <si>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</si>
  <si>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</si>
  <si>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</si>
  <si>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</si>
  <si>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</si>
  <si>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</si>
  <si>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</si>
  <si>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</si>
  <si>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</si>
  <si>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</si>
  <si>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</si>
  <si>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</si>
  <si>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</si>
  <si>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</si>
  <si>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</si>
  <si>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</si>
  <si>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</si>
  <si>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</si>
  <si>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</si>
  <si>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</si>
  <si>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</si>
  <si>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</si>
  <si>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</si>
  <si>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</si>
  <si>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</si>
  <si>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</si>
  <si>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</si>
  <si>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</si>
  <si>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</si>
  <si>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</si>
  <si>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</si>
  <si>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</si>
  <si>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</si>
  <si>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</si>
  <si>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</si>
  <si>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</si>
  <si>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</si>
  <si>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</si>
  <si>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</si>
  <si>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</si>
  <si>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</si>
  <si>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</si>
  <si>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</si>
  <si>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</si>
  <si>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</si>
  <si>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</si>
  <si>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</si>
  <si>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</si>
  <si>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</si>
  <si>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</si>
  <si>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</si>
  <si>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</si>
  <si>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</si>
  <si>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</si>
  <si>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</si>
  <si>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</si>
  <si>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</si>
  <si>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</si>
  <si>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</si>
  <si>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</si>
  <si>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</si>
  <si>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</si>
  <si>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</si>
  <si>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</si>
  <si>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</si>
  <si>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</si>
  <si>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</si>
  <si>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</si>
  <si>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</si>
  <si>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</si>
  <si>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</si>
  <si>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</si>
  <si>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</si>
  <si>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</si>
  <si>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</si>
  <si>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</si>
  <si>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</si>
  <si>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</si>
  <si>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</si>
  <si>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</si>
  <si>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</si>
  <si>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</si>
  <si>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</si>
  <si>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</si>
  <si>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</si>
  <si>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</si>
  <si>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</si>
  <si>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</si>
  <si>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</si>
  <si>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</si>
  <si>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</si>
  <si>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</si>
  <si>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</si>
  <si>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</si>
  <si>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</si>
  <si>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</si>
  <si>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</si>
  <si>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</si>
  <si>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</si>
  <si>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</si>
  <si>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</si>
  <si>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</si>
  <si>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</si>
  <si>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</si>
  <si>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</si>
  <si>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</si>
  <si>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</si>
  <si>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</si>
  <si>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</si>
  <si>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</si>
  <si>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</si>
  <si>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</si>
  <si>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</si>
  <si>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</si>
  <si>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</si>
  <si>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</si>
  <si>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</si>
  <si>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</si>
  <si>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</si>
  <si>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</si>
  <si>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</si>
  <si>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</si>
  <si>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</si>
  <si>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</si>
  <si>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</si>
  <si>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</si>
  <si>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</si>
  <si>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</si>
  <si>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</si>
  <si>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</si>
  <si>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</si>
  <si>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</si>
  <si>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</si>
  <si>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</si>
  <si>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</si>
  <si>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</si>
  <si>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</si>
  <si>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</si>
  <si>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</si>
  <si>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</si>
  <si>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</si>
  <si>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</si>
  <si>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</si>
  <si>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</si>
  <si>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</si>
  <si>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</si>
  <si>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</si>
  <si>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</si>
  <si>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</si>
  <si>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</si>
  <si>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</si>
  <si>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</si>
  <si>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</si>
  <si>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</si>
  <si>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</si>
  <si>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</si>
  <si>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</si>
  <si>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</si>
  <si>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</si>
  <si>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</si>
  <si>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</si>
  <si>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</si>
  <si>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</si>
  <si>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</si>
  <si>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</si>
  <si>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</si>
  <si>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</si>
  <si>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</si>
  <si>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</si>
  <si>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</si>
  <si>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</si>
  <si>
    <t>仅用作基准比较</t>
    <phoneticPr fontId="25"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</si>
</sst>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06" fillId="2" borderId="61" xfId="0" applyNumberFormat="1" applyFont="1" applyFill="1" applyBorder="1" applyAlignment="1" applyProtection="1">
      <alignment horizontal="center" vertical="center"/>
      <protection locked="0"/>
    </xf>
    <xf numFmtId="0" fontId="19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106" fillId="0" borderId="2"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估价对象为北京市出让国有建设用地使用权及在建建筑物房地产，为所有。根据《国有土地使用证》[]，估价对象（分摊）出让国有建设用地使用权面积为0平方米，建筑面积为708.8平方米。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2020年3月24日</v>
      </c>
    </row>
    <row r="13" spans="1:2" s="1592" customFormat="1">
      <c r="A13" s="1590" t="s">
        <v>1222</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232</v>
      </c>
    </row>
    <row r="21" spans="1:2" s="1592" customFormat="1">
      <c r="A21" s="1590" t="s">
        <v>1230</v>
      </c>
      <c r="B21" s="1591">
        <f ca="1">'预评函-2'!D7</f>
        <v>3273</v>
      </c>
    </row>
    <row r="22" spans="1:2" s="1592" customFormat="1">
      <c r="A22" s="1590" t="s">
        <v>1231</v>
      </c>
      <c r="B22" s="1591" t="str">
        <f ca="1">'预评函-2'!D6</f>
        <v>贰佰叁拾贰万元整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232</v>
      </c>
    </row>
    <row r="31" spans="1:2" s="1592" customFormat="1">
      <c r="A31" s="1590" t="s">
        <v>1269</v>
      </c>
      <c r="B31" s="1591">
        <f ca="1">'预评函-2'!D15</f>
        <v>3273</v>
      </c>
    </row>
    <row r="32" spans="1:2" s="1592" customFormat="1">
      <c r="A32" s="1590" t="s">
        <v>1236</v>
      </c>
      <c r="B32" s="1591" t="str">
        <f ca="1">'预评函-2'!D14</f>
        <v>贰佰叁拾贰万元整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100</v>
      </c>
    </row>
    <row r="39" spans="1:2" s="1592" customFormat="1">
      <c r="A39" s="1590" t="s">
        <v>1238</v>
      </c>
      <c r="B39" s="1591">
        <f ca="1">'预评函-2'!D21</f>
        <v>1411</v>
      </c>
    </row>
    <row r="40" spans="1:2" s="1592" customFormat="1">
      <c r="A40" s="1590" t="s">
        <v>1239</v>
      </c>
      <c r="B40" s="1591" t="str">
        <f ca="1">'预评函-2'!D20</f>
        <v>壹佰万元整</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708.8</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6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20" t="s">
        <v>860</v>
      </c>
      <c r="C54" s="2017" t="s">
        <v>1276</v>
      </c>
    </row>
    <row r="55" spans="1:4">
      <c r="A55" s="3067"/>
      <c r="B55" s="2020" t="s">
        <v>861</v>
      </c>
      <c r="C55" s="2017" t="s">
        <v>1277</v>
      </c>
    </row>
    <row r="56" spans="1:4">
      <c r="A56" s="3067"/>
      <c r="B56" s="2020" t="s">
        <v>862</v>
      </c>
      <c r="C56" s="2017" t="s">
        <v>1281</v>
      </c>
    </row>
    <row r="57" spans="1:4">
      <c r="A57" s="306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68"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69"/>
      <c r="D1" s="3069"/>
      <c r="E1" s="3069"/>
      <c r="F1" s="3069"/>
      <c r="G1" s="3069"/>
      <c r="H1" s="3069"/>
      <c r="I1" s="3070"/>
      <c r="J1" s="2024"/>
      <c r="K1" s="2025"/>
      <c r="L1" s="2026"/>
      <c r="M1" s="2026"/>
      <c r="N1" s="2027"/>
      <c r="O1" s="2028"/>
      <c r="P1" s="2027"/>
      <c r="Q1" s="2027"/>
      <c r="R1" s="2027"/>
      <c r="S1" s="2029"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3" t="s">
        <v>1772</v>
      </c>
      <c r="B3" s="2034"/>
      <c r="C3" s="2035" t="s">
        <v>1773</v>
      </c>
      <c r="D3" s="2034">
        <v>43914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3122</v>
      </c>
      <c r="C8" s="2054"/>
      <c r="D8" s="3071" t="s">
        <v>1779</v>
      </c>
      <c r="E8" s="2055" t="s">
        <v>3121</v>
      </c>
      <c r="F8" s="2056"/>
      <c r="G8" s="2024"/>
      <c r="H8" s="2024"/>
      <c r="I8" s="2024"/>
      <c r="J8" s="2040"/>
      <c r="K8" s="2041"/>
      <c r="L8" s="2026"/>
      <c r="M8" s="2026"/>
      <c r="N8" s="2027"/>
      <c r="O8" s="2028"/>
      <c r="P8" s="2027"/>
      <c r="Q8" s="2027"/>
      <c r="R8" s="2027"/>
    </row>
    <row r="9" spans="1:19" ht="18" customHeight="1" thickBot="1">
      <c r="A9" s="2038" t="s">
        <v>1780</v>
      </c>
      <c r="B9" s="2057" t="s">
        <v>3121</v>
      </c>
      <c r="C9" s="2058"/>
      <c r="D9" s="3072"/>
      <c r="E9" s="2057" t="s">
        <v>1280</v>
      </c>
      <c r="F9" s="2059"/>
      <c r="G9" s="2060"/>
      <c r="H9" s="2060"/>
      <c r="I9" s="2060"/>
      <c r="J9" s="2040"/>
      <c r="K9" s="2052"/>
      <c r="L9" s="2026"/>
      <c r="M9" s="2026"/>
      <c r="N9" s="2027"/>
      <c r="O9" s="2028"/>
      <c r="P9" s="2027"/>
      <c r="Q9" s="2027"/>
      <c r="R9" s="2027"/>
    </row>
    <row r="10" spans="1:19" ht="18" customHeight="1" thickTop="1">
      <c r="A10" s="2061" t="s">
        <v>1781</v>
      </c>
      <c r="B10" s="2062" t="s">
        <v>3103</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3104</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3105</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55536</v>
      </c>
      <c r="F13" s="2078"/>
      <c r="G13" s="2078"/>
      <c r="H13" s="2078"/>
      <c r="I13" s="1046"/>
      <c r="J13" s="2040"/>
      <c r="K13" s="2052"/>
      <c r="L13" s="2026"/>
      <c r="M13" s="2026"/>
      <c r="N13" s="2027"/>
      <c r="O13" s="2028"/>
      <c r="P13" s="2027"/>
      <c r="Q13" s="2027"/>
      <c r="R13" s="2027"/>
    </row>
    <row r="14" spans="1:19" ht="18" customHeight="1">
      <c r="A14" s="2075"/>
      <c r="B14" s="2076"/>
      <c r="C14" s="2077" t="s">
        <v>1793</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1794</v>
      </c>
      <c r="D15" s="1048" t="str">
        <f>IF(B12="出让",IF(D13="","",ROUNDDOWN(MIN((D13-$D$3)/365,D14),2)),D14)</f>
        <v/>
      </c>
      <c r="E15" s="1048">
        <f>IF(B12="出让",IF(E13="","",ROUNDDOWN(MIN((E13-$D$3)/365,E14),2)),E14)</f>
        <v>31.84</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1795</v>
      </c>
      <c r="B16" s="3078"/>
      <c r="C16" s="3079"/>
      <c r="D16" s="3080"/>
      <c r="E16" s="2084" t="s">
        <v>1796</v>
      </c>
      <c r="F16" s="3081"/>
      <c r="G16" s="3082"/>
      <c r="H16" s="3082"/>
      <c r="I16" s="3083"/>
      <c r="J16" s="2027"/>
      <c r="K16" s="2081"/>
      <c r="L16" s="2082"/>
      <c r="M16" s="2082"/>
      <c r="N16" s="2083"/>
      <c r="O16" s="2082"/>
      <c r="P16" s="2083"/>
      <c r="Q16" s="2027"/>
      <c r="R16" s="2027"/>
    </row>
    <row r="17" spans="1:22" ht="18" customHeight="1">
      <c r="A17" s="2085" t="s">
        <v>1797</v>
      </c>
      <c r="B17" s="2033" t="s">
        <v>1798</v>
      </c>
      <c r="C17" s="1053">
        <f>'数据-汇总表'!E3</f>
        <v>708.8</v>
      </c>
      <c r="D17" s="2086" t="s">
        <v>1799</v>
      </c>
      <c r="E17" s="3084" t="s">
        <v>1800</v>
      </c>
      <c r="F17" s="3085"/>
      <c r="G17" s="3085"/>
      <c r="H17" s="3085"/>
      <c r="I17" s="3086"/>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0</v>
      </c>
      <c r="D18" s="2089" t="s">
        <v>1799</v>
      </c>
      <c r="E18" s="3087" t="s">
        <v>1803</v>
      </c>
      <c r="F18" s="3088"/>
      <c r="G18" s="3088"/>
      <c r="H18" s="3088"/>
      <c r="I18" s="3089"/>
      <c r="J18" s="2027"/>
      <c r="K18" s="2087"/>
      <c r="L18" s="2082"/>
      <c r="M18" s="2082"/>
      <c r="N18" s="2083"/>
      <c r="O18" s="2082"/>
      <c r="P18" s="2083"/>
      <c r="Q18" s="2027"/>
      <c r="R18" s="2027"/>
      <c r="S18" s="2027"/>
      <c r="T18" s="2027"/>
      <c r="U18" s="2027"/>
      <c r="V18" s="2027"/>
    </row>
    <row r="19" spans="1:22" ht="37.5" customHeight="1" thickTop="1" thickBot="1">
      <c r="A19" s="372" t="s">
        <v>1804</v>
      </c>
      <c r="B19" s="351"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74" t="s">
        <v>1808</v>
      </c>
      <c r="C20" s="3075"/>
      <c r="D20" s="3076" t="s">
        <v>1809</v>
      </c>
      <c r="E20" s="3077"/>
      <c r="F20" s="2096" t="s">
        <v>1810</v>
      </c>
      <c r="G20" s="2040"/>
      <c r="H20" s="2040"/>
      <c r="I20" s="2040"/>
      <c r="J20" s="2040"/>
      <c r="K20" s="3073"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73"/>
      <c r="L22" s="747"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2" t="s">
        <v>1818</v>
      </c>
      <c r="C23" s="2105"/>
      <c r="D23" s="2106" t="s">
        <v>1818</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1819</v>
      </c>
      <c r="C24" s="2110"/>
      <c r="D24" s="2104" t="s">
        <v>1819</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91"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91"/>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91"/>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92"/>
      <c r="B30" s="2033" t="s">
        <v>1827</v>
      </c>
      <c r="C30" s="3093"/>
      <c r="D30" s="309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95"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9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9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90" t="s">
        <v>1837</v>
      </c>
      <c r="T34" s="2133" t="str">
        <f>NUMBERSTRING(7-K34,1)&amp;"通"</f>
        <v>七通</v>
      </c>
      <c r="U34" s="2027"/>
      <c r="V34" s="2027"/>
    </row>
    <row r="35" spans="1:22" ht="18" customHeight="1">
      <c r="A35" s="2134"/>
      <c r="B35" s="3097" t="s">
        <v>1838</v>
      </c>
      <c r="C35" s="3097"/>
      <c r="D35" s="3097"/>
      <c r="E35" s="309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0"/>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D23" sqref="D2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708.8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0"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3106</v>
      </c>
      <c r="J9" s="980"/>
      <c r="K9" s="2190"/>
      <c r="L9" s="980"/>
      <c r="M9" s="2190"/>
      <c r="N9" s="980"/>
      <c r="O9" s="2190"/>
      <c r="P9" s="980"/>
      <c r="Q9" s="2190"/>
      <c r="R9" s="980"/>
      <c r="S9" s="2190"/>
      <c r="T9" s="980"/>
      <c r="U9" s="2190"/>
      <c r="V9" s="980"/>
      <c r="W9" s="2190"/>
      <c r="X9" s="2191"/>
      <c r="Y9" s="2190"/>
      <c r="Z9" s="980"/>
      <c r="AA9" s="2190"/>
      <c r="AB9" s="980"/>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1372</v>
      </c>
      <c r="J10" s="980"/>
      <c r="K10" s="2196"/>
      <c r="L10" s="980"/>
      <c r="M10" s="2196"/>
      <c r="N10" s="980"/>
      <c r="O10" s="2196"/>
      <c r="P10" s="980"/>
      <c r="Q10" s="2196"/>
      <c r="R10" s="980"/>
      <c r="S10" s="2196"/>
      <c r="T10" s="980"/>
      <c r="U10" s="2196"/>
      <c r="V10" s="980"/>
      <c r="W10" s="2196"/>
      <c r="X10" s="980"/>
      <c r="Y10" s="2196"/>
      <c r="Z10" s="980"/>
      <c r="AA10" s="2196"/>
      <c r="AB10" s="980"/>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3107</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-201</v>
      </c>
      <c r="D13" s="2212" t="s">
        <v>3108</v>
      </c>
      <c r="E13" s="16">
        <f>IF($C$3="是",ROUND($A$3*G13/$B$3,2),ROUND($A$3*(G13-AT13)/$B$3,2))</f>
        <v>0</v>
      </c>
      <c r="F13" s="32"/>
      <c r="G13" s="33">
        <f>H13+AC13+AT13</f>
        <v>296.95999999999998</v>
      </c>
      <c r="H13" s="20">
        <f>SUMIF(I$12:AB$12,"总值",I13:AB13)</f>
        <v>296.95999999999998</v>
      </c>
      <c r="I13" s="2213">
        <v>296.95999999999998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-201</v>
      </c>
      <c r="AY13" s="1805">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v>-202</v>
      </c>
      <c r="D14" s="2212" t="s">
        <v>3108</v>
      </c>
      <c r="E14" s="16">
        <f>IF($C$3="是",ROUND($A$3*G14/$B$3,2),ROUND($A$3*(G14-AT14)/$B$3,2))</f>
        <v>0</v>
      </c>
      <c r="F14" s="32"/>
      <c r="G14" s="33">
        <f>H14+AC14+AT14</f>
        <v>411.84</v>
      </c>
      <c r="H14" s="20">
        <f>SUMIF(I$12:AB$12,"总值",I14:AB14)</f>
        <v>411.84</v>
      </c>
      <c r="I14" s="2213">
        <v>411.84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-202</v>
      </c>
      <c r="AY14" s="1805">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9" t="s">
        <v>1934</v>
      </c>
      <c r="B2" s="3109"/>
      <c r="C2" s="3109"/>
      <c r="D2" s="966" t="s">
        <v>1910</v>
      </c>
      <c r="E2" s="2226" t="s">
        <v>1911</v>
      </c>
      <c r="F2" s="1391"/>
      <c r="G2" s="2227"/>
      <c r="H2" s="2228"/>
      <c r="I2" s="2229" t="s">
        <v>1935</v>
      </c>
      <c r="J2" s="1391"/>
      <c r="K2" s="1391"/>
      <c r="L2" s="1391"/>
      <c r="M2" s="1391"/>
      <c r="N2" s="1426"/>
      <c r="O2" s="1391"/>
      <c r="P2" s="1391"/>
    </row>
    <row r="3" spans="1:16" ht="15.75" thickBot="1">
      <c r="A3" s="3110" t="s">
        <v>1908</v>
      </c>
      <c r="B3" s="3110"/>
      <c r="C3" s="3110"/>
      <c r="D3" s="46">
        <f>'数据-基础表'!AY6</f>
        <v>0</v>
      </c>
      <c r="E3" s="46">
        <f>'数据-基础表'!AZ5</f>
        <v>708.8</v>
      </c>
      <c r="F3" s="1391"/>
      <c r="G3" s="1398"/>
      <c r="H3" s="1246" t="s">
        <v>1909</v>
      </c>
      <c r="I3" s="55" t="e">
        <f>ROUND('数据-基础表'!B3/'数据-基础表'!A3,2)</f>
        <v>#DIV/0!</v>
      </c>
      <c r="J3" s="1391"/>
      <c r="K3" s="1391"/>
      <c r="L3" s="1391"/>
      <c r="M3" s="1391"/>
      <c r="N3" s="1426"/>
      <c r="O3" s="1391"/>
      <c r="P3" s="1391"/>
    </row>
    <row r="4" spans="1:16" ht="15">
      <c r="A4" s="3111"/>
      <c r="B4" s="3112"/>
      <c r="C4" s="3113"/>
      <c r="D4" s="2230" t="s">
        <v>1910</v>
      </c>
      <c r="E4" s="2231" t="s">
        <v>1911</v>
      </c>
      <c r="F4" s="1391"/>
      <c r="G4" s="2232" t="s">
        <v>1936</v>
      </c>
      <c r="H4" s="1246" t="s">
        <v>1916</v>
      </c>
      <c r="I4" s="55" t="e">
        <f>ROUND(SUMIF('数据-基础表'!I9:AS9,"地上",'数据-基础表'!I5:AS5)/'数据-基础表'!A3,2)</f>
        <v>#DIV/0!</v>
      </c>
      <c r="J4" s="1391"/>
      <c r="K4" s="1391"/>
      <c r="L4" s="1391"/>
      <c r="M4" s="1391"/>
      <c r="N4" s="1426"/>
      <c r="O4" s="1391"/>
      <c r="P4" s="1391"/>
    </row>
    <row r="5" spans="1:16">
      <c r="A5" s="47" t="s">
        <v>1912</v>
      </c>
      <c r="B5" s="3114" t="s">
        <v>1913</v>
      </c>
      <c r="C5" s="3114"/>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33"/>
      <c r="B6" s="3114" t="s">
        <v>1914</v>
      </c>
      <c r="C6" s="3114"/>
      <c r="D6" s="48">
        <f>ROUND($D$3*E6/$E$3,2)</f>
        <v>0</v>
      </c>
      <c r="E6" s="49">
        <f>E3-E5</f>
        <v>708.8</v>
      </c>
      <c r="F6" s="1391"/>
      <c r="G6" s="2234" t="s">
        <v>1915</v>
      </c>
      <c r="H6" s="1398" t="s">
        <v>1916</v>
      </c>
      <c r="I6" s="938" t="e">
        <f>ROUND(F31/D31,2)</f>
        <v>#DIV/0!</v>
      </c>
      <c r="J6" s="1391"/>
      <c r="K6" s="1391"/>
      <c r="L6" s="1391"/>
      <c r="M6" s="1391"/>
      <c r="N6" s="1391"/>
      <c r="O6" s="1391"/>
      <c r="P6" s="1391"/>
    </row>
    <row r="7" spans="1:16" ht="15">
      <c r="A7" s="3106"/>
      <c r="B7" s="3107"/>
      <c r="C7" s="3108"/>
      <c r="D7" s="2230" t="s">
        <v>1910</v>
      </c>
      <c r="E7" s="2235" t="s">
        <v>1917</v>
      </c>
      <c r="F7" s="1391"/>
      <c r="G7" s="2227" t="s">
        <v>1918</v>
      </c>
      <c r="H7" s="64"/>
      <c r="I7" s="419"/>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708.8</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0</v>
      </c>
      <c r="E16" s="53">
        <f>SUM(E8:E15)</f>
        <v>708.8</v>
      </c>
      <c r="F16" s="1391"/>
      <c r="G16" s="2236"/>
      <c r="H16" s="2239" t="s">
        <v>1938</v>
      </c>
      <c r="I16" s="2240"/>
      <c r="J16" s="1391"/>
      <c r="K16" s="3103" t="s">
        <v>1938</v>
      </c>
      <c r="L16" s="3104"/>
      <c r="M16" s="3104"/>
      <c r="N16" s="3104"/>
      <c r="O16" s="3104"/>
      <c r="P16" s="3105"/>
    </row>
    <row r="17" spans="1:19" ht="15">
      <c r="A17" s="2241" t="s">
        <v>1939</v>
      </c>
      <c r="B17" s="2242" t="s">
        <v>1940</v>
      </c>
      <c r="C17" s="2243" t="s">
        <v>1941</v>
      </c>
      <c r="D17" s="2244" t="s">
        <v>1929</v>
      </c>
      <c r="E17" s="2245" t="s">
        <v>1930</v>
      </c>
      <c r="F17" s="2246"/>
      <c r="G17" s="2247"/>
      <c r="H17" s="2248" t="s">
        <v>1942</v>
      </c>
      <c r="I17" s="2249" t="s">
        <v>1927</v>
      </c>
      <c r="J17" s="1391"/>
      <c r="K17" s="3100" t="s">
        <v>1943</v>
      </c>
      <c r="L17" s="3101"/>
      <c r="M17" s="3102"/>
      <c r="N17" s="3100" t="s">
        <v>1944</v>
      </c>
      <c r="O17" s="3101"/>
      <c r="P17" s="3102"/>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5" t="s">
        <v>1953</v>
      </c>
      <c r="N18" s="1261" t="s">
        <v>1951</v>
      </c>
      <c r="O18" s="2257" t="s">
        <v>1952</v>
      </c>
      <c r="P18" s="1045" t="s">
        <v>1953</v>
      </c>
      <c r="R18" s="1246" t="s">
        <v>1954</v>
      </c>
      <c r="S18" s="1246" t="s">
        <v>1955</v>
      </c>
    </row>
    <row r="19" spans="1:19">
      <c r="A19" s="2258"/>
      <c r="B19" s="50" t="s">
        <v>1928</v>
      </c>
      <c r="C19" s="3021" t="s">
        <v>3158</v>
      </c>
      <c r="D19" s="48">
        <f>ROUND($D$3*E19/$E$3,2)</f>
        <v>0</v>
      </c>
      <c r="E19" s="56">
        <f t="shared" ref="E19:E26" si="1">SUM(F19:G19)</f>
        <v>708.8</v>
      </c>
      <c r="F19" s="57">
        <f>'数据-基础表'!I13+'数据-基础表'!I14</f>
        <v>708.8</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0</v>
      </c>
      <c r="S19" s="1247">
        <f t="shared" si="5"/>
        <v>708.8</v>
      </c>
    </row>
    <row r="20" spans="1:19">
      <c r="A20" s="2262"/>
      <c r="B20" s="50" t="s">
        <v>1956</v>
      </c>
      <c r="C20" s="2259">
        <v>-202</v>
      </c>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2">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0</v>
      </c>
      <c r="E27" s="1393">
        <f>IF(SUM(E19:E26)='数据-基础表'!BA5,SUM(E19:E26),IF(F27="地上面积有误","面积有误","地下面积有误"))</f>
        <v>708.8</v>
      </c>
      <c r="F27" s="1392">
        <f>IF(SUM(F19:F26)=E8,SUM(F19:F26),"地上面积有误")</f>
        <v>708.8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708.8</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1961</v>
      </c>
      <c r="D31" s="728">
        <f>D27+D30</f>
        <v>0</v>
      </c>
      <c r="E31" s="728">
        <f>E27+E30</f>
        <v>708.8</v>
      </c>
      <c r="F31" s="729">
        <f>F27+F30</f>
        <v>708.8</v>
      </c>
      <c r="G31" s="730">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AK6" activePane="bottomRight" state="frozen"/>
      <selection activeCell="C50" sqref="C50"/>
      <selection pane="topRight" activeCell="C50" sqref="C50"/>
      <selection pane="bottomLeft" activeCell="C50" sqref="C50"/>
      <selection pane="bottomRight" activeCell="AN16" sqref="AN1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43914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3110</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1372</v>
      </c>
      <c r="D6" s="1050">
        <f>SUMIF(项目基本情况!D$12:I$12,C6,项目基本情况!D$14:I$14)</f>
        <v>40</v>
      </c>
      <c r="E6" s="1047">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1">
        <v>0.05</v>
      </c>
      <c r="I6" s="801">
        <v>5.5E-2</v>
      </c>
      <c r="J6" s="74">
        <v>8.5000000000000006E-2</v>
      </c>
      <c r="K6" s="1250">
        <f>SUMIF('数据-汇总表'!C$19:C$33,A6,'数据-汇总表'!E$19:E$33)</f>
        <v>708.8</v>
      </c>
      <c r="L6" s="802">
        <v>3000</v>
      </c>
      <c r="M6" s="75">
        <f t="shared" ref="M6:M14" si="0">ROUND(K6*L6/10000,0)</f>
        <v>213</v>
      </c>
      <c r="N6" s="800">
        <f>ROUND(1-(2020-2018)/60,3)</f>
        <v>0.96699999999999997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3.5*0.5</f>
        <v>1.75</v>
      </c>
      <c r="V6" s="79">
        <v>2.5000000000000001E-2</v>
      </c>
      <c r="W6" s="79">
        <v>0.1</v>
      </c>
      <c r="X6" s="1260"/>
      <c r="Y6" s="80">
        <f>N6</f>
        <v>0.96699999999999997</v>
      </c>
      <c r="Z6" s="81"/>
      <c r="AA6" s="74"/>
      <c r="AB6" s="74"/>
      <c r="AC6" s="1260"/>
      <c r="AD6" s="82"/>
      <c r="AE6" s="1261">
        <f ca="1">IF(AN6="",0,SUMIF(INDIRECT("'"&amp;AN6&amp;"'"&amp;"!E:E"),$AE$5,INDIRECT("'"&amp;AN6&amp;"'"&amp;"!F:F")))</f>
        <v>31.84</v>
      </c>
      <c r="AF6" s="1803"/>
      <c r="AG6" s="146">
        <f>IF(AF6="",0,AE6-AF6)</f>
        <v>0</v>
      </c>
      <c r="AH6" s="83"/>
      <c r="AI6" s="85">
        <v>365</v>
      </c>
      <c r="AJ6" s="86"/>
      <c r="AK6" s="87">
        <v>1.4999999999999999E-2</v>
      </c>
      <c r="AL6" s="88">
        <v>1.5E-3</v>
      </c>
      <c r="AM6" s="89">
        <v>0.01</v>
      </c>
      <c r="AN6" s="2308" t="s">
        <v>3109</v>
      </c>
      <c r="AO6" s="55">
        <f ca="1">SUMIF(INDIRECT("'"&amp;AN6&amp;"'"&amp;"!A:A"),"总价",INDIRECT("'"&amp;AN6&amp;"'"&amp;"!B:B"))</f>
        <v>581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-202</v>
      </c>
      <c r="B7" s="2306" t="str">
        <f t="shared" ref="B7:B13" si="1">IF(A7=0,"","经营性")</f>
        <v>经营性</v>
      </c>
      <c r="C7" s="2307" t="s">
        <v>1372</v>
      </c>
      <c r="D7" s="1050">
        <f>SUMIF(项目基本情况!D$12:I$12,C7,项目基本情况!D$14:I$14)</f>
        <v>40</v>
      </c>
      <c r="E7" s="1047">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1">
        <f>H6</f>
        <v>0.05</v>
      </c>
      <c r="I7" s="801">
        <f>I6</f>
        <v>5.5E-2</v>
      </c>
      <c r="J7" s="74">
        <f>J6</f>
        <v>8.5000000000000006E-2</v>
      </c>
      <c r="K7" s="1250">
        <f>SUMIF('数据-汇总表'!C$19:C$33,A7,'数据-汇总表'!E$19:E$33)</f>
        <v>0</v>
      </c>
      <c r="L7" s="802">
        <f>L6</f>
        <v>3000</v>
      </c>
      <c r="M7" s="75">
        <f t="shared" si="0"/>
        <v>0</v>
      </c>
      <c r="N7" s="800">
        <f>N6</f>
        <v>0.96699999999999997</v>
      </c>
      <c r="O7" s="75" t="str">
        <f t="shared" ref="O7:O14" si="3">IF($N$5="成新度","——",ROUND(M7*N7,0))</f>
        <v>——</v>
      </c>
      <c r="P7" s="76" t="str">
        <f t="shared" ref="P7:P14" si="4">IF($N$5="成新度","——",M7-O7)</f>
        <v>——</v>
      </c>
      <c r="Q7" s="803">
        <f>Q6</f>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t="s">
        <v>1372</v>
      </c>
      <c r="D8" s="1050">
        <f>SUMIF(项目基本情况!D$12:I$12,C8,项目基本情况!D$14:I$14)</f>
        <v>40</v>
      </c>
      <c r="E8" s="1047" t="str">
        <f>IF(B8="","",SUMIF(项目基本情况!D$12:I$12,C8,项目基本情况!D$13:I$13))</f>
        <v/>
      </c>
      <c r="F8" s="72">
        <f>SUMIF(项目基本情况!D$12:I$12,C8,项目基本情况!D$15:I$15)</f>
        <v>31.84</v>
      </c>
      <c r="G8" s="73">
        <f t="shared" si="2"/>
        <v>0.91900000000000004</v>
      </c>
      <c r="H8" s="801">
        <f>H6</f>
        <v>0.05</v>
      </c>
      <c r="I8" s="801">
        <f>I6</f>
        <v>5.5E-2</v>
      </c>
      <c r="J8" s="74">
        <f>J6</f>
        <v>8.5000000000000006E-2</v>
      </c>
      <c r="K8" s="1250">
        <f>SUMIF('数据-汇总表'!C$19:C$33,A8,'数据-汇总表'!E$19:E$33)</f>
        <v>0</v>
      </c>
      <c r="L8" s="802">
        <f>L6</f>
        <v>3000</v>
      </c>
      <c r="M8" s="75">
        <f>ROUND(K8*L8/10000,0)</f>
        <v>0</v>
      </c>
      <c r="N8" s="800">
        <f>N6</f>
        <v>0.96699999999999997</v>
      </c>
      <c r="O8" s="75" t="str">
        <f t="shared" si="3"/>
        <v>——</v>
      </c>
      <c r="P8" s="76" t="str">
        <f t="shared" si="4"/>
        <v>——</v>
      </c>
      <c r="Q8" s="803">
        <f>Q6</f>
        <v>0.15</v>
      </c>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4"/>
      <c r="D16" s="2313"/>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7"/>
      <c r="L18" s="167"/>
      <c r="M18" s="1580"/>
      <c r="N18" s="1580"/>
      <c r="O18" s="1580"/>
      <c r="P18" s="1580"/>
      <c r="Q18" s="1580"/>
      <c r="R18" s="1580"/>
      <c r="S18" s="1580"/>
      <c r="T18" s="1580">
        <f>3.5*0.6</f>
        <v>2.1</v>
      </c>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7"/>
      <c r="L20" s="167"/>
      <c r="M20" s="1580"/>
      <c r="N20" s="1580"/>
      <c r="O20" s="1580"/>
      <c r="P20" s="1580"/>
      <c r="Q20" s="1580">
        <v>3</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7"/>
      <c r="L21" s="167"/>
      <c r="M21" s="1580"/>
      <c r="N21" s="1580"/>
      <c r="O21" s="1580"/>
      <c r="P21" s="1580"/>
      <c r="Q21" s="1580">
        <v>3.5</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7"/>
      <c r="L22" s="167"/>
      <c r="M22" s="1580"/>
      <c r="N22" s="1580"/>
      <c r="O22" s="1580"/>
      <c r="P22" s="1580"/>
      <c r="Q22" s="1580">
        <v>4</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c r="C27" s="1763" t="s">
        <v>2026</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2027</v>
      </c>
      <c r="B28" s="119"/>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2028</v>
      </c>
      <c r="B29" s="121"/>
      <c r="C29" s="1763" t="s">
        <v>2029</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2030</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2031</v>
      </c>
      <c r="B31" s="120">
        <f>B30-B32</f>
        <v>200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2032</v>
      </c>
      <c r="B32" s="724">
        <v>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2033</v>
      </c>
      <c r="B33" s="725">
        <v>0.03</v>
      </c>
      <c r="C33" s="1762" t="s">
        <v>2034</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2035</v>
      </c>
      <c r="B34" s="122"/>
      <c r="C34" s="1762" t="s">
        <v>2036</v>
      </c>
      <c r="D34" s="2277" t="s">
        <v>2037</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2038</v>
      </c>
      <c r="B35" s="119">
        <v>200</v>
      </c>
      <c r="C35" s="1762" t="s">
        <v>2039</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2040</v>
      </c>
      <c r="B36" s="123">
        <v>1.4999999999999999E-2</v>
      </c>
      <c r="C36" s="1762" t="s">
        <v>2041</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5.5000000000000007E-2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5.000000000000001E-3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3022">
        <v>0.05</v>
      </c>
      <c r="C44" s="1762" t="s">
        <v>2052</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8"/>
      <c r="C47" s="1763" t="s">
        <v>2058</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29">
        <v>0.03</v>
      </c>
      <c r="C48" s="1770" t="s">
        <v>2060</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c r="C53" s="1426" t="s">
        <v>2067</v>
      </c>
      <c r="D53" s="2336" t="s">
        <v>2068</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15" t="s">
        <v>2079</v>
      </c>
      <c r="B1" s="3116"/>
      <c r="C1" s="3116"/>
      <c r="D1" s="3116"/>
      <c r="E1" s="3116"/>
      <c r="F1" s="3116"/>
      <c r="G1" s="311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4" t="s">
        <v>2082</v>
      </c>
      <c r="B3" s="1267" t="s">
        <v>2083</v>
      </c>
      <c r="C3" s="2368" t="s">
        <v>2084</v>
      </c>
      <c r="D3" s="2369"/>
      <c r="E3" s="430" t="s">
        <v>2082</v>
      </c>
      <c r="F3" s="2370" t="s">
        <v>2085</v>
      </c>
      <c r="G3" s="2371" t="s">
        <v>2086</v>
      </c>
      <c r="H3" s="2366"/>
      <c r="I3" s="2366"/>
      <c r="J3" s="2366"/>
      <c r="K3" s="2366"/>
      <c r="L3" s="2366"/>
      <c r="M3" s="2366"/>
      <c r="N3" s="2366"/>
      <c r="O3" s="2366"/>
      <c r="P3" s="2366"/>
      <c r="Q3" s="2366"/>
      <c r="R3" s="2366"/>
    </row>
    <row r="4" spans="1:29" ht="40.5">
      <c r="A4" s="430"/>
      <c r="B4" s="1794" t="s">
        <v>2087</v>
      </c>
      <c r="C4" s="3018" t="s">
        <v>3149</v>
      </c>
      <c r="D4" s="2369"/>
      <c r="E4" s="2373"/>
      <c r="F4" s="42" t="s">
        <v>2088</v>
      </c>
      <c r="G4" s="2374" t="s">
        <v>2089</v>
      </c>
      <c r="H4" s="2366"/>
      <c r="I4" s="2366"/>
      <c r="J4" s="2366"/>
      <c r="K4" s="2366"/>
      <c r="L4" s="2366"/>
      <c r="M4" s="2366"/>
      <c r="N4" s="2366"/>
      <c r="O4" s="2366"/>
      <c r="P4" s="2366"/>
      <c r="Q4" s="2366"/>
      <c r="R4" s="2366"/>
    </row>
    <row r="5" spans="1:29" ht="41.25">
      <c r="A5" s="430"/>
      <c r="B5" s="1794" t="s">
        <v>2090</v>
      </c>
      <c r="C5" s="2372" t="s">
        <v>2091</v>
      </c>
      <c r="D5" s="2369"/>
      <c r="E5" s="2373"/>
      <c r="F5" s="1794" t="s">
        <v>2092</v>
      </c>
      <c r="G5" s="2374" t="s">
        <v>2093</v>
      </c>
      <c r="H5" s="2366"/>
      <c r="I5" s="2366"/>
      <c r="J5" s="2366"/>
      <c r="K5" s="2366"/>
      <c r="L5" s="2366"/>
      <c r="M5" s="2366"/>
      <c r="N5" s="2366"/>
      <c r="O5" s="2366"/>
      <c r="P5" s="2366"/>
      <c r="Q5" s="2366"/>
      <c r="R5" s="2366"/>
    </row>
    <row r="6" spans="1:29" ht="54">
      <c r="A6" s="430"/>
      <c r="B6" s="1794" t="s">
        <v>2094</v>
      </c>
      <c r="C6" s="2374" t="s">
        <v>2089</v>
      </c>
      <c r="D6" s="2369"/>
      <c r="E6" s="2373"/>
      <c r="F6" s="1794" t="s">
        <v>2095</v>
      </c>
      <c r="G6" s="2374" t="s">
        <v>2096</v>
      </c>
      <c r="H6" s="2366"/>
      <c r="I6" s="2366"/>
      <c r="J6" s="2366"/>
      <c r="K6" s="2366"/>
      <c r="L6" s="2366"/>
      <c r="M6" s="2366"/>
      <c r="N6" s="2366"/>
      <c r="O6" s="2366"/>
      <c r="P6" s="2366"/>
      <c r="Q6" s="2366"/>
      <c r="R6" s="2366"/>
    </row>
    <row r="7" spans="1:29" ht="41.25" thickBot="1">
      <c r="A7" s="430"/>
      <c r="B7" s="1794" t="s">
        <v>2092</v>
      </c>
      <c r="C7" s="2374" t="s">
        <v>2093</v>
      </c>
      <c r="D7" s="2375"/>
      <c r="E7" s="2376"/>
      <c r="F7" s="2377" t="s">
        <v>2097</v>
      </c>
      <c r="G7" s="2378" t="s">
        <v>2098</v>
      </c>
      <c r="H7" s="2366"/>
      <c r="I7" s="2366"/>
      <c r="J7" s="2366"/>
      <c r="K7" s="2366"/>
      <c r="L7" s="2366"/>
      <c r="M7" s="2366"/>
      <c r="N7" s="2366"/>
      <c r="O7" s="2366"/>
      <c r="P7" s="2366"/>
      <c r="Q7" s="2366"/>
      <c r="R7" s="2366"/>
    </row>
    <row r="8" spans="1:29" ht="27">
      <c r="A8" s="430"/>
      <c r="B8" s="1794" t="s">
        <v>2095</v>
      </c>
      <c r="C8" s="2374" t="s">
        <v>2096</v>
      </c>
      <c r="D8" s="2375"/>
      <c r="E8" s="2375"/>
      <c r="F8" s="1132"/>
      <c r="G8" s="1132"/>
      <c r="H8" s="2366"/>
      <c r="I8" s="2366"/>
      <c r="J8" s="2366"/>
      <c r="K8" s="2366"/>
      <c r="L8" s="2366"/>
      <c r="M8" s="2366"/>
      <c r="N8" s="2366"/>
      <c r="O8" s="2366"/>
      <c r="P8" s="2366"/>
      <c r="Q8" s="2366"/>
      <c r="R8" s="2366"/>
    </row>
    <row r="9" spans="1:29" ht="27">
      <c r="A9" s="430"/>
      <c r="B9" s="1794" t="s">
        <v>2099</v>
      </c>
      <c r="C9" s="2372" t="s">
        <v>2100</v>
      </c>
      <c r="D9" s="2369"/>
      <c r="E9" s="2375"/>
      <c r="F9" s="1132"/>
      <c r="G9" s="1132"/>
      <c r="H9" s="2366"/>
      <c r="I9" s="2366"/>
      <c r="J9" s="2366"/>
      <c r="K9" s="2366"/>
      <c r="L9" s="2366"/>
      <c r="M9" s="2366"/>
      <c r="N9" s="2366"/>
      <c r="O9" s="2366"/>
      <c r="P9" s="2366"/>
      <c r="Q9" s="2366"/>
      <c r="R9" s="2366"/>
    </row>
    <row r="10" spans="1:29" s="117" customFormat="1" ht="15.75" thickBot="1">
      <c r="A10" s="2379"/>
      <c r="B10" s="2380" t="s">
        <v>2101</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6" t="s">
        <v>2083</v>
      </c>
      <c r="C15" s="2401" t="str">
        <f>C3</f>
        <v>估价对象周边居住用地比例、居住小区规模和社区发展完善程度，综合评价居住社区成熟度一般</v>
      </c>
      <c r="D15" s="2369"/>
      <c r="E15" s="2402" t="s">
        <v>2106</v>
      </c>
      <c r="F15" s="1266" t="s">
        <v>2107</v>
      </c>
      <c r="G15" s="134" t="str">
        <f>G3</f>
        <v>估价对象位于XX开发区，园区建设成熟度XX，产业集聚程度XX</v>
      </c>
    </row>
    <row r="16" spans="1:29" ht="42.75">
      <c r="A16" s="644"/>
      <c r="B16" s="2403" t="s">
        <v>2087</v>
      </c>
      <c r="C16" s="2404" t="str">
        <f>C4</f>
        <v>估价对象位于顺义商圈，周边商业氛围成熟，人流量大，商业繁华度好</v>
      </c>
      <c r="D16" s="2369"/>
      <c r="E16" s="2405"/>
      <c r="F16" s="2406" t="s">
        <v>2088</v>
      </c>
      <c r="G16" s="135" t="str">
        <f>G4</f>
        <v>估价对象周边道路状况、公共交通通达情况、停车便捷程度，综合评价交通便捷度较好</v>
      </c>
    </row>
    <row r="17" spans="1:18" ht="42.75">
      <c r="A17" s="644"/>
      <c r="B17" s="2403" t="s">
        <v>2090</v>
      </c>
      <c r="C17" s="2404" t="str">
        <f>C5</f>
        <v>估价对象位于XX商圈，周边办公楼项目较多，入驻率高，办公集聚程度较好</v>
      </c>
      <c r="D17" s="2375"/>
      <c r="E17" s="2405"/>
      <c r="F17" s="2406" t="s">
        <v>2108</v>
      </c>
      <c r="G17" s="1568"/>
    </row>
    <row r="18" spans="1:18" ht="57">
      <c r="A18" s="644"/>
      <c r="B18" s="2406" t="s">
        <v>2094</v>
      </c>
      <c r="C18" s="135" t="str">
        <f>C6</f>
        <v>估价对象周边道路状况、公共交通通达情况、停车便捷程度，综合评价交通便捷度较好</v>
      </c>
      <c r="D18" s="2375"/>
      <c r="E18" s="2405"/>
      <c r="F18" s="2406" t="s">
        <v>2097</v>
      </c>
      <c r="G18" s="135" t="str">
        <f>G7</f>
        <v>该园区内是否有污染型企业，绿化情况，卫生条件，整体环境状况判断</v>
      </c>
    </row>
    <row r="19" spans="1:18" ht="28.5">
      <c r="A19" s="644"/>
      <c r="B19" s="2406" t="s">
        <v>2109</v>
      </c>
      <c r="C19" s="1568"/>
      <c r="D19" s="2369"/>
      <c r="E19" s="2405"/>
      <c r="F19" s="1794" t="s">
        <v>2092</v>
      </c>
      <c r="G19" s="135" t="str">
        <f>G5</f>
        <v>估价对象所在区域公共配套设施齐备情况</v>
      </c>
    </row>
    <row r="20" spans="1:18" ht="28.5">
      <c r="A20" s="644"/>
      <c r="B20" s="2406" t="s">
        <v>2110</v>
      </c>
      <c r="C20" s="2404" t="str">
        <f>C9</f>
        <v>区域自然环境：；人文环境；综合评价环境状况一般</v>
      </c>
      <c r="D20" s="2375"/>
      <c r="E20" s="2405"/>
      <c r="F20" s="1794" t="s">
        <v>2111</v>
      </c>
      <c r="G20" s="135" t="str">
        <f>G6</f>
        <v>估价对象所在区域基础设施水平</v>
      </c>
    </row>
    <row r="21" spans="1:18" ht="28.5">
      <c r="A21" s="644"/>
      <c r="B21" s="1794" t="s">
        <v>2092</v>
      </c>
      <c r="C21" s="135" t="str">
        <f>C7</f>
        <v>估价对象所在区域公共配套设施齐备情况</v>
      </c>
      <c r="D21" s="2369"/>
      <c r="E21" s="2405"/>
      <c r="F21" s="2406" t="s">
        <v>2112</v>
      </c>
      <c r="G21" s="2407"/>
    </row>
    <row r="22" spans="1:18" ht="13.5" customHeight="1">
      <c r="A22" s="644"/>
      <c r="B22" s="1794" t="s">
        <v>2095</v>
      </c>
      <c r="C22" s="135" t="str">
        <f>C8</f>
        <v>估价对象所在区域基础设施水平</v>
      </c>
      <c r="D22" s="2369"/>
      <c r="E22" s="2405"/>
      <c r="F22" s="2406" t="s">
        <v>2101</v>
      </c>
      <c r="G22" s="1568"/>
    </row>
    <row r="23" spans="1:18" s="2366" customFormat="1" ht="15.75" thickBot="1">
      <c r="A23" s="644"/>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I19" sqref="I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708.8</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43914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912</v>
      </c>
      <c r="C5" s="1742">
        <f ca="1">ROUND(B5*10000/$B$1,0)</f>
        <v>12867</v>
      </c>
      <c r="D5" s="1742" t="e">
        <f ca="1">ROUND(B5*10000/$B$2,0)</f>
        <v>#DIV/0!</v>
      </c>
      <c r="E5" s="1741"/>
      <c r="F5" s="1739"/>
      <c r="G5" s="1739"/>
    </row>
    <row r="6" spans="1:10" ht="16.5">
      <c r="A6" s="1742" t="s">
        <v>1351</v>
      </c>
      <c r="B6" s="1742">
        <f ca="1">SUM(G14:G23)</f>
        <v>912</v>
      </c>
      <c r="C6" s="1742">
        <f ca="1">ROUND(B6*10000/$B$1,0)</f>
        <v>12867</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 ca="1">SUM(I14:I23)</f>
        <v>805</v>
      </c>
      <c r="C8" s="1742">
        <f ca="1">ROUND(B8*10000/$B$1,0)</f>
        <v>11357</v>
      </c>
      <c r="D8" s="1742" t="e">
        <f ca="1">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708.8</v>
      </c>
      <c r="C14" s="1740">
        <f>结果表!C118</f>
        <v>0</v>
      </c>
      <c r="D14" s="1740">
        <f ca="1">结果表!H118</f>
        <v>912</v>
      </c>
      <c r="E14" s="1740">
        <f ca="1">ROUND(D14*10000/B14,0)</f>
        <v>12867</v>
      </c>
      <c r="F14" s="1740" t="e">
        <f ca="1">ROUND(D14*10000/C14,0)</f>
        <v>#DIV/0!</v>
      </c>
      <c r="G14" s="1740">
        <f ca="1">结果表!D122</f>
        <v>912</v>
      </c>
      <c r="H14" s="1740" t="str">
        <f>'结果表（1）'!D124</f>
        <v>——</v>
      </c>
      <c r="I14" s="1740">
        <f ca="1">结果表!D126</f>
        <v>805</v>
      </c>
      <c r="J14" s="1739">
        <f ca="1">ROUND(I14/B14*10000,0)</f>
        <v>11357</v>
      </c>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c r="J16" s="1739"/>
    </row>
    <row r="17" spans="1:10" ht="16.5">
      <c r="A17" s="1738" t="s">
        <v>1342</v>
      </c>
      <c r="B17" s="1745"/>
      <c r="C17" s="1745"/>
      <c r="D17" s="1745"/>
      <c r="E17" s="1740" t="e">
        <f t="shared" si="0"/>
        <v>#DIV/0!</v>
      </c>
      <c r="F17" s="1740" t="e">
        <f t="shared" si="1"/>
        <v>#DIV/0!</v>
      </c>
      <c r="G17" s="1746"/>
      <c r="H17" s="1746"/>
      <c r="I17" s="1745"/>
      <c r="J17" s="1739"/>
    </row>
    <row r="18" spans="1:10" ht="16.5">
      <c r="A18" s="1738" t="s">
        <v>1341</v>
      </c>
      <c r="B18" s="1745"/>
      <c r="C18" s="1745"/>
      <c r="D18" s="1745"/>
      <c r="E18" s="1740" t="e">
        <f t="shared" si="0"/>
        <v>#DIV/0!</v>
      </c>
      <c r="F18" s="1740" t="e">
        <f t="shared" si="1"/>
        <v>#DIV/0!</v>
      </c>
      <c r="G18" s="1745"/>
      <c r="H18" s="1745"/>
      <c r="I18" s="1745"/>
    </row>
    <row r="19" spans="1:10" ht="16.5">
      <c r="A19" s="1738" t="s">
        <v>1340</v>
      </c>
      <c r="B19" s="1745"/>
      <c r="C19" s="1745"/>
      <c r="D19" s="1745"/>
      <c r="E19" s="1740" t="e">
        <f t="shared" si="0"/>
        <v>#DIV/0!</v>
      </c>
      <c r="F19" s="1740" t="e">
        <f t="shared" si="1"/>
        <v>#DIV/0!</v>
      </c>
      <c r="G19" s="1745"/>
      <c r="H19" s="1745"/>
      <c r="I19" s="1745"/>
    </row>
    <row r="20" spans="1:10" ht="16.5">
      <c r="A20" s="1738" t="s">
        <v>1339</v>
      </c>
      <c r="B20" s="1745"/>
      <c r="C20" s="1745"/>
      <c r="D20" s="1745"/>
      <c r="E20" s="1740" t="e">
        <f t="shared" si="0"/>
        <v>#DIV/0!</v>
      </c>
      <c r="F20" s="1740" t="e">
        <f t="shared" si="1"/>
        <v>#DIV/0!</v>
      </c>
      <c r="G20" s="1745"/>
      <c r="H20" s="1745"/>
      <c r="I20" s="1745"/>
    </row>
    <row r="21" spans="1:10" ht="16.5">
      <c r="A21" s="1738" t="s">
        <v>1338</v>
      </c>
      <c r="B21" s="1745"/>
      <c r="C21" s="1745"/>
      <c r="D21" s="1745"/>
      <c r="E21" s="1740" t="e">
        <f t="shared" si="0"/>
        <v>#DIV/0!</v>
      </c>
      <c r="F21" s="1740" t="e">
        <f t="shared" si="1"/>
        <v>#DIV/0!</v>
      </c>
      <c r="G21" s="1745"/>
      <c r="H21" s="1745"/>
      <c r="I21" s="1745"/>
    </row>
    <row r="22" spans="1:10" ht="16.5">
      <c r="A22" s="1738" t="s">
        <v>1337</v>
      </c>
      <c r="B22" s="1745"/>
      <c r="C22" s="1745"/>
      <c r="D22" s="1745"/>
      <c r="E22" s="1740" t="e">
        <f t="shared" si="0"/>
        <v>#DIV/0!</v>
      </c>
      <c r="F22" s="1740" t="e">
        <f t="shared" si="1"/>
        <v>#DIV/0!</v>
      </c>
      <c r="G22" s="1745"/>
      <c r="H22" s="1745"/>
      <c r="I22" s="1745"/>
    </row>
    <row r="23" spans="1:10" ht="16.5">
      <c r="A23" s="1738" t="s">
        <v>1336</v>
      </c>
      <c r="B23" s="1745"/>
      <c r="C23" s="1745"/>
      <c r="D23" s="1745"/>
      <c r="E23" s="1742" t="e">
        <f t="shared" si="0"/>
        <v>#DIV/0!</v>
      </c>
      <c r="F23" s="1742"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J108" sqref="J10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2115</v>
      </c>
      <c r="B1" s="2417"/>
      <c r="C1" s="2418"/>
      <c r="D1" s="2417"/>
      <c r="E1" s="2417"/>
      <c r="F1" s="2419" t="s">
        <v>2116</v>
      </c>
      <c r="G1" s="2069" t="s">
        <v>2117</v>
      </c>
      <c r="H1" s="2420" t="str">
        <f>IF(G1="现房","——","估价对象范围")</f>
        <v>估价对象范围</v>
      </c>
      <c r="I1" s="2421"/>
    </row>
    <row r="2" spans="1:12" ht="21.75" customHeight="1" thickBot="1">
      <c r="A2" s="3121" t="str">
        <f>项目基本情况!S2</f>
        <v>北京市出让国有建设用地使用权及在建建筑物房地产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4" t="s">
        <v>2119</v>
      </c>
      <c r="B4" s="2425" t="s">
        <v>2120</v>
      </c>
      <c r="C4" s="2426" t="s">
        <v>3118</v>
      </c>
      <c r="D4" s="2426" t="s">
        <v>3109</v>
      </c>
      <c r="E4" s="3126" t="s">
        <v>2121</v>
      </c>
      <c r="F4" s="3127"/>
      <c r="G4" s="3127"/>
      <c r="H4" s="3127"/>
      <c r="I4" s="3128"/>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7" t="s">
        <v>2122</v>
      </c>
      <c r="B5" s="3090">
        <v>25</v>
      </c>
      <c r="C5" s="3118"/>
      <c r="D5" s="3120"/>
      <c r="E5" s="139" t="s">
        <v>2123</v>
      </c>
      <c r="F5" s="2428"/>
      <c r="G5" s="2428"/>
      <c r="H5" s="2428"/>
      <c r="I5" s="1830"/>
    </row>
    <row r="6" spans="1:12" ht="12.75">
      <c r="A6" s="3117"/>
      <c r="B6" s="3090"/>
      <c r="C6" s="3129"/>
      <c r="D6" s="3120"/>
      <c r="E6" s="139" t="s">
        <v>2124</v>
      </c>
      <c r="F6" s="2428"/>
      <c r="G6" s="2428"/>
      <c r="H6" s="2428"/>
      <c r="I6" s="1830"/>
    </row>
    <row r="7" spans="1:12" ht="12.75">
      <c r="A7" s="3117"/>
      <c r="B7" s="3090"/>
      <c r="C7" s="3119"/>
      <c r="D7" s="3120"/>
      <c r="E7" s="139" t="s">
        <v>2125</v>
      </c>
      <c r="F7" s="2428"/>
      <c r="G7" s="2428"/>
      <c r="H7" s="2428"/>
      <c r="I7" s="1830"/>
    </row>
    <row r="8" spans="1:12" ht="12.75">
      <c r="A8" s="3117" t="s">
        <v>2126</v>
      </c>
      <c r="B8" s="3090">
        <v>15</v>
      </c>
      <c r="C8" s="3118"/>
      <c r="D8" s="3120"/>
      <c r="E8" s="139" t="s">
        <v>2127</v>
      </c>
      <c r="F8" s="2428"/>
      <c r="G8" s="2428"/>
      <c r="H8" s="2428"/>
      <c r="I8" s="1830"/>
    </row>
    <row r="9" spans="1:12" ht="12.75">
      <c r="A9" s="3117"/>
      <c r="B9" s="3090"/>
      <c r="C9" s="3119"/>
      <c r="D9" s="3120"/>
      <c r="E9" s="139" t="s">
        <v>2128</v>
      </c>
      <c r="F9" s="2428"/>
      <c r="G9" s="2428"/>
      <c r="H9" s="2428"/>
      <c r="I9" s="1830"/>
    </row>
    <row r="10" spans="1:12" ht="12.75">
      <c r="A10" s="3117" t="s">
        <v>2129</v>
      </c>
      <c r="B10" s="3090">
        <v>15</v>
      </c>
      <c r="C10" s="3118"/>
      <c r="D10" s="3120"/>
      <c r="E10" s="139" t="s">
        <v>2130</v>
      </c>
      <c r="F10" s="2428"/>
      <c r="G10" s="2428"/>
      <c r="H10" s="2428"/>
      <c r="I10" s="1830"/>
    </row>
    <row r="11" spans="1:12" ht="12.75">
      <c r="A11" s="3117"/>
      <c r="B11" s="3090"/>
      <c r="C11" s="3119"/>
      <c r="D11" s="3120"/>
      <c r="E11" s="139" t="s">
        <v>2131</v>
      </c>
      <c r="F11" s="2428"/>
      <c r="G11" s="2428"/>
      <c r="H11" s="2428"/>
      <c r="I11" s="1830"/>
    </row>
    <row r="12" spans="1:12" ht="12.75">
      <c r="A12" s="3117" t="s">
        <v>2132</v>
      </c>
      <c r="B12" s="3090">
        <v>15</v>
      </c>
      <c r="C12" s="3118"/>
      <c r="D12" s="3120"/>
      <c r="E12" s="139" t="s">
        <v>2133</v>
      </c>
      <c r="F12" s="2428"/>
      <c r="G12" s="2428"/>
      <c r="H12" s="2428"/>
      <c r="I12" s="1830"/>
    </row>
    <row r="13" spans="1:12" ht="12.75">
      <c r="A13" s="3117"/>
      <c r="B13" s="3090"/>
      <c r="C13" s="3119"/>
      <c r="D13" s="3120"/>
      <c r="E13" s="139" t="s">
        <v>2134</v>
      </c>
      <c r="F13" s="2428"/>
      <c r="G13" s="2428"/>
      <c r="H13" s="2428"/>
      <c r="I13" s="1830"/>
    </row>
    <row r="14" spans="1:12" ht="12.75">
      <c r="A14" s="3117" t="s">
        <v>2135</v>
      </c>
      <c r="B14" s="3090">
        <v>30</v>
      </c>
      <c r="C14" s="3143">
        <v>7</v>
      </c>
      <c r="D14" s="3146">
        <v>3</v>
      </c>
      <c r="E14" s="139" t="s">
        <v>2136</v>
      </c>
      <c r="F14" s="2428"/>
      <c r="G14" s="2428"/>
      <c r="H14" s="2428"/>
      <c r="I14" s="1830"/>
    </row>
    <row r="15" spans="1:12" ht="12.75">
      <c r="A15" s="3117"/>
      <c r="B15" s="3090"/>
      <c r="C15" s="3144"/>
      <c r="D15" s="3146"/>
      <c r="E15" s="139" t="s">
        <v>2137</v>
      </c>
      <c r="F15" s="2428"/>
      <c r="G15" s="2428"/>
      <c r="H15" s="2428"/>
      <c r="I15" s="1830"/>
    </row>
    <row r="16" spans="1:12" ht="12.75">
      <c r="A16" s="3117"/>
      <c r="B16" s="3090"/>
      <c r="C16" s="3145"/>
      <c r="D16" s="3146"/>
      <c r="E16" s="139" t="s">
        <v>2138</v>
      </c>
      <c r="F16" s="2428"/>
      <c r="G16" s="2428"/>
      <c r="H16" s="2428"/>
      <c r="I16" s="1830"/>
    </row>
    <row r="17" spans="1:35" ht="15">
      <c r="A17" s="2429" t="s">
        <v>2139</v>
      </c>
      <c r="B17" s="64"/>
      <c r="C17" s="140">
        <f>SUM(C5:C16)</f>
        <v>7</v>
      </c>
      <c r="D17" s="140">
        <f>SUM(D5:D16)</f>
        <v>3</v>
      </c>
      <c r="E17" s="137"/>
      <c r="F17" s="137"/>
      <c r="G17" s="137"/>
      <c r="H17" s="137"/>
      <c r="I17" s="137"/>
      <c r="K17" s="2427"/>
      <c r="L17" s="2430" t="s">
        <v>2140</v>
      </c>
      <c r="M17" s="2430" t="s">
        <v>2141</v>
      </c>
    </row>
    <row r="18" spans="1:35" ht="15.75" thickBot="1">
      <c r="A18" s="2431" t="s">
        <v>2142</v>
      </c>
      <c r="B18" s="2432"/>
      <c r="C18" s="141">
        <f>ROUND(C17/SUM(C17:D17),2)</f>
        <v>0.7</v>
      </c>
      <c r="D18" s="141">
        <f>1-C18</f>
        <v>0.30000000000000004</v>
      </c>
      <c r="E18" s="137"/>
      <c r="F18" s="137"/>
      <c r="G18" s="137"/>
      <c r="H18" s="137"/>
      <c r="I18" s="137"/>
      <c r="K18" s="2427" t="s">
        <v>2143</v>
      </c>
      <c r="L18" s="2427">
        <f>IF(C1="",'数据-汇总表'!E3,SUMIF(项目类型,C1,'数据-汇总表'!E17:E26)+SUMIF(项目类型,C1,'数据-汇总表'!I17:I26))</f>
        <v>708.8</v>
      </c>
      <c r="M18" s="2427">
        <f>IF(C1="",'数据-汇总表'!E3,SUMIF(项目类型,C1,'数据-汇总表'!E17:E26))</f>
        <v>708.8</v>
      </c>
    </row>
    <row r="19" spans="1:35" ht="15">
      <c r="A19" s="2433" t="s">
        <v>2144</v>
      </c>
      <c r="B19" s="2434" t="s">
        <v>2145</v>
      </c>
      <c r="C19" s="142">
        <f ca="1">SUMIF(INDIRECT("'"&amp;C4&amp;"'"&amp;"!A:A"),结果表!B19,INDIRECT("'"&amp;C4&amp;"'"&amp;"!B:B"))</f>
        <v>1054</v>
      </c>
      <c r="D19" s="143">
        <f ca="1">SUMIF(INDIRECT("'"&amp;D4&amp;"'"&amp;"!A:A"),结果表!B19,INDIRECT("'"&amp;D4&amp;"'"&amp;"!B:B"))</f>
        <v>581</v>
      </c>
      <c r="E19" s="2433" t="s">
        <v>2146</v>
      </c>
      <c r="F19" s="2434" t="s">
        <v>2145</v>
      </c>
      <c r="G19" s="144">
        <f ca="1">ROUND(C19*$C$18+D19*$D$18,0)</f>
        <v>912</v>
      </c>
      <c r="H19" s="2435" t="s">
        <v>2147</v>
      </c>
      <c r="I19" s="137"/>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6" t="s">
        <v>2149</v>
      </c>
      <c r="C20" s="145">
        <f ca="1">SUMIF(INDIRECT("'"&amp;C4&amp;"'"&amp;"!A:A"),结果表!B20,INDIRECT("'"&amp;C4&amp;"'"&amp;"!B:B"))</f>
        <v>10480</v>
      </c>
      <c r="D20" s="146">
        <f ca="1">SUMIF(INDIRECT("'"&amp;D4&amp;"'"&amp;"!A:A"),结果表!B20,INDIRECT("'"&amp;D4&amp;"'"&amp;"!B:B"))</f>
        <v>8197</v>
      </c>
      <c r="E20" s="2436"/>
      <c r="F20" s="1246" t="s">
        <v>2149</v>
      </c>
      <c r="G20" s="147">
        <f ca="1">ROUND(C20*$C$18+D20*$D$18,0)</f>
        <v>9795</v>
      </c>
      <c r="H20" s="979" t="s">
        <v>2150</v>
      </c>
      <c r="I20" s="137"/>
    </row>
    <row r="21" spans="1:35" ht="15" customHeight="1" thickBot="1">
      <c r="A21" s="999"/>
      <c r="B21" s="2437" t="s">
        <v>2151</v>
      </c>
      <c r="C21" s="788" t="e">
        <f ca="1">ROUND(C19*10000/L19,0)</f>
        <v>#DIV/0!</v>
      </c>
      <c r="D21" s="789" t="e">
        <f ca="1">ROUND(D19*10000/L19,0)</f>
        <v>#DIV/0!</v>
      </c>
      <c r="E21" s="999"/>
      <c r="F21" s="2437" t="s">
        <v>2151</v>
      </c>
      <c r="G21" s="148" t="e">
        <f ca="1">ROUND(G19*10000/L19,0)</f>
        <v>#DIV/0!</v>
      </c>
      <c r="H21" s="2438" t="s">
        <v>2150</v>
      </c>
      <c r="I21" s="137"/>
    </row>
    <row r="22" spans="1:35" ht="15" thickBot="1">
      <c r="A22" s="2280" t="s">
        <v>2152</v>
      </c>
      <c r="B22" s="2439"/>
      <c r="C22" s="2440"/>
      <c r="D22" s="790">
        <f ca="1">IF(C19&lt;D19,D19/C19-1,C19/D19-1)</f>
        <v>0.81411359724612731</v>
      </c>
      <c r="E22" s="137"/>
      <c r="F22" s="137"/>
      <c r="G22" s="137"/>
      <c r="H22" s="137"/>
      <c r="I22" s="137"/>
    </row>
    <row r="23" spans="1:35" ht="13.5" thickBot="1">
      <c r="A23" s="2417"/>
      <c r="B23" s="2417"/>
      <c r="C23" s="2417"/>
      <c r="D23" s="2417"/>
      <c r="E23" s="137"/>
      <c r="F23" s="137"/>
      <c r="G23" s="137"/>
      <c r="H23" s="137"/>
      <c r="I23" s="137"/>
    </row>
    <row r="24" spans="1:35" ht="14.25">
      <c r="A24" s="3130" t="s">
        <v>2153</v>
      </c>
      <c r="B24" s="2434" t="s">
        <v>2145</v>
      </c>
      <c r="C24" s="144">
        <f>IF(B30=0,0,D30)</f>
        <v>0</v>
      </c>
      <c r="D24" s="2441"/>
      <c r="E24" s="137"/>
      <c r="F24" s="137"/>
      <c r="G24" s="137"/>
      <c r="H24" s="137"/>
      <c r="I24" s="137"/>
    </row>
    <row r="25" spans="1:35" ht="14.25">
      <c r="A25" s="3131"/>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912</v>
      </c>
      <c r="D32" s="2448" t="s">
        <v>2160</v>
      </c>
      <c r="E32" s="137"/>
      <c r="F32" s="137"/>
      <c r="G32" s="137"/>
      <c r="H32" s="137"/>
      <c r="I32" s="137"/>
    </row>
    <row r="33" spans="1:15" ht="15">
      <c r="A33" s="956" t="s">
        <v>2161</v>
      </c>
      <c r="B33" s="2449"/>
      <c r="C33" s="2450"/>
      <c r="D33" s="2451"/>
      <c r="E33" s="2452" t="s">
        <v>2162</v>
      </c>
      <c r="F33" s="2955" t="str">
        <f>IF(D32="楼面单价","取值（单价）","取值（总价）")</f>
        <v>取值（总价）</v>
      </c>
      <c r="G33" s="137"/>
      <c r="H33" s="137"/>
      <c r="I33" s="137"/>
    </row>
    <row r="34" spans="1:15" ht="15">
      <c r="A34" s="2454"/>
      <c r="B34" s="2455"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2164</v>
      </c>
      <c r="F34" s="1735"/>
      <c r="G34" s="137"/>
      <c r="H34" s="137"/>
      <c r="I34" s="137"/>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2"/>
      <c r="G35" s="137"/>
      <c r="H35" s="137"/>
      <c r="I35" s="137"/>
    </row>
    <row r="36" spans="1:15" ht="15.75" thickBot="1">
      <c r="A36" s="3132" t="s">
        <v>2167</v>
      </c>
      <c r="B36" s="2460" t="s">
        <v>2168</v>
      </c>
      <c r="C36" s="153"/>
      <c r="D36" s="2461"/>
      <c r="E36" s="2462"/>
      <c r="F36" s="2463"/>
      <c r="G36" s="137"/>
      <c r="H36" s="137"/>
      <c r="I36" s="137"/>
    </row>
    <row r="37" spans="1:15" ht="15.75" thickBot="1">
      <c r="A37" s="3133"/>
      <c r="B37" s="2266" t="s">
        <v>2169</v>
      </c>
      <c r="C37" s="155"/>
      <c r="D37" s="1391"/>
      <c r="E37" s="1391"/>
      <c r="F37" s="2463"/>
      <c r="G37" s="137"/>
      <c r="H37" s="137"/>
      <c r="I37" s="137"/>
    </row>
    <row r="38" spans="1:15" ht="15.75" thickBot="1">
      <c r="A38" s="3134"/>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5" t="s">
        <v>2181</v>
      </c>
      <c r="B45" s="3136"/>
      <c r="C45" s="3137"/>
      <c r="D45" s="163">
        <f ca="1">ROUND(H101*F45,0)</f>
        <v>912</v>
      </c>
      <c r="E45" s="164" t="s">
        <v>2182</v>
      </c>
      <c r="F45" s="165">
        <v>1</v>
      </c>
      <c r="G45" s="166" t="s">
        <v>2183</v>
      </c>
      <c r="H45" s="137"/>
      <c r="I45" s="137"/>
      <c r="J45" s="3138" t="s">
        <v>2184</v>
      </c>
      <c r="K45" s="3138"/>
      <c r="L45" s="3138"/>
      <c r="M45" s="3138"/>
      <c r="N45" s="3138"/>
      <c r="O45" s="3138"/>
    </row>
    <row r="46" spans="1:15" ht="14.25" customHeight="1">
      <c r="A46" s="3139" t="s">
        <v>2185</v>
      </c>
      <c r="B46" s="3140"/>
      <c r="C46" s="3140"/>
      <c r="D46" s="3140"/>
      <c r="E46" s="3140"/>
      <c r="F46" s="3140"/>
      <c r="G46" s="3141"/>
      <c r="H46" s="2479"/>
      <c r="I46" s="167"/>
      <c r="J46" s="2965">
        <v>1</v>
      </c>
      <c r="K46" s="3138" t="s">
        <v>2186</v>
      </c>
      <c r="L46" s="3138"/>
      <c r="M46" s="3142"/>
      <c r="N46" s="3142"/>
      <c r="O46" s="3142"/>
    </row>
    <row r="47" spans="1:15" ht="12" customHeight="1">
      <c r="A47" s="168" t="s">
        <v>2187</v>
      </c>
      <c r="B47" s="169"/>
      <c r="C47" s="170"/>
      <c r="D47" s="171" t="s">
        <v>2188</v>
      </c>
      <c r="E47" s="24" t="s">
        <v>2189</v>
      </c>
      <c r="F47" s="172" t="s">
        <v>2190</v>
      </c>
      <c r="G47" s="173" t="s">
        <v>2191</v>
      </c>
      <c r="H47" s="2479"/>
      <c r="I47" s="167"/>
      <c r="J47" s="2965">
        <v>2</v>
      </c>
      <c r="K47" s="3138" t="s">
        <v>2192</v>
      </c>
      <c r="L47" s="3138"/>
      <c r="M47" s="3147">
        <f>'数据-取费表'!B2</f>
        <v>43914</v>
      </c>
      <c r="N47" s="3147"/>
      <c r="O47" s="3147"/>
    </row>
    <row r="48" spans="1:15" ht="25.5">
      <c r="A48" s="3148" t="s">
        <v>2193</v>
      </c>
      <c r="B48" s="3149"/>
      <c r="C48" s="3149"/>
      <c r="D48" s="139">
        <f ca="1">IF(H48="情况1",0,IF(H48="情况2",D52,IF(H48="情况3",D53,IF(H48="情况4",D54))))</f>
        <v>48</v>
      </c>
      <c r="E48" s="2959" t="str">
        <f>IF(H48="情况4","(销售额-原购置价)×税（费）率","销售额×税（费）率")</f>
        <v>销售额×税（费）率</v>
      </c>
      <c r="F48" s="174">
        <f>IF(H48="情况1","免征",'数据-取费表'!B41)</f>
        <v>5.5000000000000007E-2</v>
      </c>
      <c r="G48" s="2480" t="s">
        <v>2194</v>
      </c>
      <c r="H48" s="2481" t="s">
        <v>3123</v>
      </c>
      <c r="I48" s="2479"/>
      <c r="J48" s="2965">
        <v>3</v>
      </c>
      <c r="K48" s="3138" t="s">
        <v>2196</v>
      </c>
      <c r="L48" s="3138"/>
      <c r="M48" s="3150">
        <f ca="1">H101</f>
        <v>912</v>
      </c>
      <c r="N48" s="3150"/>
      <c r="O48" s="3150"/>
    </row>
    <row r="49" spans="1:35" ht="25.5" customHeight="1">
      <c r="A49" s="175" t="s">
        <v>2197</v>
      </c>
      <c r="B49" s="3151" t="s">
        <v>2198</v>
      </c>
      <c r="C49" s="3151"/>
      <c r="D49" s="176">
        <v>0</v>
      </c>
      <c r="E49" s="23" t="s">
        <v>2199</v>
      </c>
      <c r="F49" s="28" t="s">
        <v>34</v>
      </c>
      <c r="G49" s="3152"/>
      <c r="H49" s="137"/>
      <c r="I49" s="2482"/>
      <c r="J49" s="2965">
        <v>4</v>
      </c>
      <c r="K49" s="3138" t="str">
        <f>IF(项目基本情况!E8="房地产抵押价值","房地产抵押价值","抵押担保权已注销时的房地产抵押价值")</f>
        <v>房地产抵押价值</v>
      </c>
      <c r="L49" s="3138"/>
      <c r="M49" s="3150">
        <f ca="1">IF(项目基本情况!E8="房地产抵押价值",H107,H109)</f>
        <v>912</v>
      </c>
      <c r="N49" s="3150"/>
      <c r="O49" s="3150"/>
    </row>
    <row r="50" spans="1:35" ht="25.5" customHeight="1">
      <c r="A50" s="177"/>
      <c r="B50" s="3151" t="s">
        <v>2200</v>
      </c>
      <c r="C50" s="3151"/>
      <c r="D50" s="178"/>
      <c r="E50" s="31"/>
      <c r="F50" s="179"/>
      <c r="G50" s="3153"/>
      <c r="H50" s="137"/>
      <c r="I50" s="2482"/>
      <c r="J50" s="3138" t="s">
        <v>2201</v>
      </c>
      <c r="K50" s="3138"/>
      <c r="L50" s="3138"/>
      <c r="M50" s="3138"/>
      <c r="N50" s="3138"/>
      <c r="O50" s="3138"/>
    </row>
    <row r="51" spans="1:35" ht="12" customHeight="1">
      <c r="A51" s="180"/>
      <c r="B51" s="3151" t="s">
        <v>2202</v>
      </c>
      <c r="C51" s="3151"/>
      <c r="D51" s="181"/>
      <c r="E51" s="30"/>
      <c r="F51" s="179"/>
      <c r="G51" s="3154"/>
      <c r="H51" s="137"/>
      <c r="I51" s="2482"/>
      <c r="J51" s="2964" t="s">
        <v>2203</v>
      </c>
      <c r="K51" s="3138" t="s">
        <v>2204</v>
      </c>
      <c r="L51" s="3138"/>
      <c r="M51" s="2964" t="s">
        <v>2205</v>
      </c>
      <c r="N51" s="2964" t="s">
        <v>2206</v>
      </c>
      <c r="O51" s="2964" t="s">
        <v>2207</v>
      </c>
    </row>
    <row r="52" spans="1:35" ht="24" customHeight="1">
      <c r="A52" s="182" t="s">
        <v>2208</v>
      </c>
      <c r="B52" s="3151" t="s">
        <v>2209</v>
      </c>
      <c r="C52" s="3151"/>
      <c r="D52" s="181">
        <f ca="1">ROUND(D45*'数据-取费表'!B41/(1+'数据-取费表'!C42),0)</f>
        <v>48</v>
      </c>
      <c r="E52" s="11" t="s">
        <v>2210</v>
      </c>
      <c r="F52" s="183">
        <f>'数据-取费表'!B41</f>
        <v>5.5000000000000007E-2</v>
      </c>
      <c r="G52" s="2484"/>
      <c r="H52" s="137"/>
      <c r="I52" s="2482"/>
      <c r="J52" s="2965">
        <v>1</v>
      </c>
      <c r="K52" s="3157" t="s">
        <v>2211</v>
      </c>
      <c r="L52" s="3157"/>
      <c r="M52" s="1750">
        <f ca="1">D48</f>
        <v>48</v>
      </c>
      <c r="N52" s="2965" t="str">
        <f>E48</f>
        <v>销售额×税（费）率</v>
      </c>
      <c r="O52" s="1751">
        <f>F48</f>
        <v>5.5000000000000007E-2</v>
      </c>
    </row>
    <row r="53" spans="1:35" ht="12" customHeight="1">
      <c r="A53" s="182" t="s">
        <v>2212</v>
      </c>
      <c r="B53" s="3155" t="s">
        <v>2213</v>
      </c>
      <c r="C53" s="3156"/>
      <c r="D53" s="181">
        <f ca="1">ROUND(D45*'数据-取费表'!B41/(1+'数据-取费表'!C42),0)</f>
        <v>48</v>
      </c>
      <c r="E53" s="11" t="s">
        <v>2210</v>
      </c>
      <c r="F53" s="183">
        <f>'数据-取费表'!B41</f>
        <v>5.5000000000000007E-2</v>
      </c>
      <c r="G53" s="2484"/>
      <c r="H53" s="137"/>
      <c r="I53" s="2482"/>
      <c r="J53" s="2965">
        <v>2</v>
      </c>
      <c r="K53" s="3157" t="s">
        <v>2214</v>
      </c>
      <c r="L53" s="3157"/>
      <c r="M53" s="1750">
        <f t="shared" ref="M53:O54" ca="1" si="0">D55</f>
        <v>0</v>
      </c>
      <c r="N53" s="2965" t="str">
        <f t="shared" si="0"/>
        <v>销售额×税（费）率</v>
      </c>
      <c r="O53" s="1751">
        <f t="shared" si="0"/>
        <v>5.0000000000000001E-4</v>
      </c>
    </row>
    <row r="54" spans="1:35" ht="12" customHeight="1">
      <c r="A54" s="182" t="s">
        <v>2215</v>
      </c>
      <c r="B54" s="3155" t="s">
        <v>2216</v>
      </c>
      <c r="C54" s="3156"/>
      <c r="D54" s="181">
        <f ca="1">C68</f>
        <v>48</v>
      </c>
      <c r="E54" s="30" t="s">
        <v>2217</v>
      </c>
      <c r="F54" s="183">
        <f>'数据-取费表'!B41</f>
        <v>5.5000000000000007E-2</v>
      </c>
      <c r="G54" s="2484"/>
      <c r="H54" s="2485"/>
      <c r="I54" s="2482"/>
      <c r="J54" s="2965">
        <v>3</v>
      </c>
      <c r="K54" s="3157" t="s">
        <v>2218</v>
      </c>
      <c r="L54" s="3157"/>
      <c r="M54" s="1750">
        <f t="shared" ca="1" si="0"/>
        <v>59</v>
      </c>
      <c r="N54" s="2965" t="str">
        <f t="shared" si="0"/>
        <v>增值额×税（费）率</v>
      </c>
      <c r="O54" s="1752" t="str">
        <f t="shared" si="0"/>
        <v>——</v>
      </c>
    </row>
    <row r="55" spans="1:35" ht="24" customHeight="1">
      <c r="A55" s="3158" t="s">
        <v>2219</v>
      </c>
      <c r="B55" s="3149"/>
      <c r="C55" s="3149"/>
      <c r="D55" s="184">
        <f ca="1">IF(H55="个人住宅",0,ROUND(D45*I55,0))</f>
        <v>0</v>
      </c>
      <c r="E55" s="11" t="s">
        <v>2220</v>
      </c>
      <c r="F55" s="183">
        <f>IF(H55="正常",I55,"免征")</f>
        <v>5.0000000000000001E-4</v>
      </c>
      <c r="G55" s="2484"/>
      <c r="H55" s="2481" t="s">
        <v>2221</v>
      </c>
      <c r="I55" s="185">
        <f>'数据-取费表'!B49</f>
        <v>5.0000000000000001E-4</v>
      </c>
      <c r="J55" s="2965" t="str">
        <f>IF(H59="非个人房产","",4)</f>
        <v/>
      </c>
      <c r="K55" s="3157" t="str">
        <f>IF(H59="非个人房产","——","个人所得税")</f>
        <v>——</v>
      </c>
      <c r="L55" s="3157"/>
      <c r="M55" s="1753" t="str">
        <f>D59</f>
        <v>——</v>
      </c>
      <c r="N55" s="2966" t="str">
        <f>E59</f>
        <v>——</v>
      </c>
      <c r="O55" s="1754" t="str">
        <f>F59</f>
        <v>——</v>
      </c>
    </row>
    <row r="56" spans="1:35" ht="24.75">
      <c r="A56" s="3158" t="s">
        <v>2222</v>
      </c>
      <c r="B56" s="3149"/>
      <c r="C56" s="3149"/>
      <c r="D56" s="184">
        <f ca="1">IF(H56="个人住宅",D57,D58)</f>
        <v>59</v>
      </c>
      <c r="E56" s="11" t="s">
        <v>2223</v>
      </c>
      <c r="F56" s="183" t="str">
        <f>IF(H56="正常",F58,"免征")</f>
        <v>——</v>
      </c>
      <c r="G56" s="2486" t="s">
        <v>2224</v>
      </c>
      <c r="H56" s="2487" t="s">
        <v>2221</v>
      </c>
      <c r="I56" s="2488"/>
      <c r="J56" s="2965" t="str">
        <f>IF(项目基本情况!K6="上海银行",IF(J55="",4,J55+1),"")</f>
        <v/>
      </c>
      <c r="K56" s="3159" t="str">
        <f>IF(项目基本情况!K6="上海银行","其他处置费用","")</f>
        <v/>
      </c>
      <c r="L56" s="3160"/>
      <c r="M56" s="1750" t="str">
        <f>IF(项目基本情况!K6="上海银行",M69,"")</f>
        <v/>
      </c>
      <c r="N56" s="3167" t="str">
        <f>IF(项目基本情况!K6="上海银行","包含处置中涉及的律师、诉讼、拍卖、评估等费用","")</f>
        <v/>
      </c>
      <c r="O56" s="3168"/>
    </row>
    <row r="57" spans="1:35" ht="12.75">
      <c r="A57" s="182" t="s">
        <v>2197</v>
      </c>
      <c r="B57" s="3126" t="s">
        <v>2225</v>
      </c>
      <c r="C57" s="3128"/>
      <c r="D57" s="186">
        <v>0</v>
      </c>
      <c r="E57" s="23" t="s">
        <v>2199</v>
      </c>
      <c r="F57" s="154"/>
      <c r="G57" s="2484"/>
      <c r="H57" s="2488"/>
      <c r="I57" s="2488"/>
      <c r="J57" s="3157">
        <f>IF(AND(J55="",J56=""),4,IF(项目基本情况!K6="上海银行",结果表!J56+1,结果表!J55+1))</f>
        <v>4</v>
      </c>
      <c r="K57" s="3157" t="s">
        <v>2226</v>
      </c>
      <c r="L57" s="2489" t="s">
        <v>2227</v>
      </c>
      <c r="M57" s="1755"/>
      <c r="N57" s="1756">
        <f ca="1">SUMIF(M52:M56,"&lt;9e307")</f>
        <v>107</v>
      </c>
      <c r="O57" s="2490"/>
      <c r="P57" s="1749">
        <f ca="1">N57/M49</f>
        <v>0.11732456140350878</v>
      </c>
    </row>
    <row r="58" spans="1:35" ht="24.75">
      <c r="A58" s="182" t="s">
        <v>2208</v>
      </c>
      <c r="B58" s="3126" t="s">
        <v>2228</v>
      </c>
      <c r="C58" s="3127"/>
      <c r="D58" s="184">
        <f ca="1">IF(H58="转让取得",C81,C97)</f>
        <v>59</v>
      </c>
      <c r="E58" s="11" t="s">
        <v>2223</v>
      </c>
      <c r="F58" s="24" t="s">
        <v>34</v>
      </c>
      <c r="G58" s="2484"/>
      <c r="H58" s="2487" t="s">
        <v>2229</v>
      </c>
      <c r="I58" s="2488"/>
      <c r="J58" s="3157"/>
      <c r="K58" s="3157"/>
      <c r="L58" s="2489" t="s">
        <v>2230</v>
      </c>
      <c r="M58" s="1757"/>
      <c r="N58" s="2491" t="str">
        <f ca="1">NUMBERSTRING(INT(N57*10000),2)&amp;"元整"</f>
        <v>壹佰零柒万元整</v>
      </c>
      <c r="O58" s="2492"/>
    </row>
    <row r="59" spans="1:35" ht="24.75" thickBot="1">
      <c r="A59" s="3169" t="s">
        <v>2231</v>
      </c>
      <c r="B59" s="3170"/>
      <c r="C59" s="3170"/>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171">
        <f>J57+1</f>
        <v>5</v>
      </c>
      <c r="K59" s="3157" t="s">
        <v>2233</v>
      </c>
      <c r="L59" s="2965" t="s">
        <v>2227</v>
      </c>
      <c r="M59" s="1758"/>
      <c r="N59" s="1759">
        <f ca="1">M49-N57</f>
        <v>805</v>
      </c>
      <c r="O59" s="2494"/>
    </row>
    <row r="60" spans="1:35" ht="12" customHeight="1">
      <c r="A60" s="2495"/>
      <c r="B60" s="2417"/>
      <c r="C60" s="2417"/>
      <c r="D60" s="2417"/>
      <c r="E60" s="2165"/>
      <c r="F60" s="2488"/>
      <c r="G60" s="2488"/>
      <c r="H60" s="2496"/>
      <c r="I60" s="137"/>
      <c r="J60" s="3172"/>
      <c r="K60" s="3157"/>
      <c r="L60" s="2489" t="s">
        <v>2230</v>
      </c>
      <c r="M60" s="1757"/>
      <c r="N60" s="2491" t="str">
        <f ca="1">NUMBERSTRING(INT(N59*10000),2)&amp;"元整"</f>
        <v>捌佰零伍万元整</v>
      </c>
      <c r="O60" s="2492"/>
    </row>
    <row r="61" spans="1:35" ht="13.5" thickBot="1">
      <c r="A61" s="3161" t="s">
        <v>2234</v>
      </c>
      <c r="B61" s="3161"/>
      <c r="C61" s="3161"/>
      <c r="D61" s="3161"/>
      <c r="E61" s="3161"/>
      <c r="F61" s="2488"/>
      <c r="G61" s="2488"/>
      <c r="H61" s="2496"/>
      <c r="I61" s="137"/>
      <c r="J61" s="2965">
        <f>J59+1</f>
        <v>6</v>
      </c>
      <c r="K61" s="3157" t="s">
        <v>2235</v>
      </c>
      <c r="L61" s="3157"/>
      <c r="M61" s="1760"/>
      <c r="N61" s="1761">
        <f ca="1">ROUND(N59*10000/'数据-汇总表'!E3,0)</f>
        <v>11357</v>
      </c>
      <c r="O61" s="2497"/>
    </row>
    <row r="62" spans="1:35" ht="12.75">
      <c r="A62" s="3162" t="s">
        <v>2236</v>
      </c>
      <c r="B62" s="3163"/>
      <c r="C62" s="2962"/>
      <c r="D62" s="2962" t="s">
        <v>2237</v>
      </c>
      <c r="E62" s="191" t="s">
        <v>2238</v>
      </c>
      <c r="F62" s="2488"/>
      <c r="G62" s="2488"/>
      <c r="H62" s="2496"/>
      <c r="I62" s="137"/>
    </row>
    <row r="63" spans="1:35" ht="12.75">
      <c r="A63" s="202" t="s">
        <v>775</v>
      </c>
      <c r="B63" s="192" t="s">
        <v>2239</v>
      </c>
      <c r="C63" s="193">
        <f ca="1">ROUND((C64+C65)/(1+'数据-取费表'!C42),0)</f>
        <v>869</v>
      </c>
      <c r="D63" s="194"/>
      <c r="E63" s="195"/>
      <c r="F63" s="2488"/>
      <c r="G63" s="2488"/>
      <c r="H63" s="2496"/>
      <c r="I63" s="137"/>
      <c r="J63" s="3164" t="s">
        <v>2240</v>
      </c>
      <c r="K63" s="2967" t="s">
        <v>2241</v>
      </c>
      <c r="L63" s="1748">
        <f ca="1">IF(M49&gt;10000,M49*0.5%,IF(AND(M49&gt;1000,M49&lt;=10000),M49*1%,IF(AND(M49&gt;100,M49&lt;=1000),M49*3%,IF(AND(M49&gt;10,M49&lt;=100),M49*5%,M49*8%))))</f>
        <v>27.36</v>
      </c>
      <c r="M63" s="24">
        <f ca="1">ROUND(L63,1)</f>
        <v>27.4</v>
      </c>
      <c r="Z63" s="2422"/>
      <c r="AI63" s="2423"/>
    </row>
    <row r="64" spans="1:35" ht="14.25" customHeight="1">
      <c r="A64" s="196" t="s">
        <v>770</v>
      </c>
      <c r="B64" s="197" t="s">
        <v>2242</v>
      </c>
      <c r="C64" s="198">
        <f ca="1">D45</f>
        <v>912</v>
      </c>
      <c r="D64" s="199" t="s">
        <v>32</v>
      </c>
      <c r="E64" s="200"/>
      <c r="F64" s="2488"/>
      <c r="G64" s="2488"/>
      <c r="H64" s="2496"/>
      <c r="I64" s="137"/>
      <c r="J64" s="3164"/>
      <c r="K64" s="2967" t="s">
        <v>2243</v>
      </c>
      <c r="L64" s="1748">
        <f ca="1">IF(M49&gt;2000,M49*0.5%,IF(AND(M49&gt;1000,M49&lt;=2000),M49*0.6%,IF(AND(M49&gt;500,M49&lt;=1000),M49*0.7%,IF(AND(M49&gt;200,M49&lt;=500),M49*0.8%,IF(AND(M49&gt;100,M49&lt;=200),M49*0.9%,IF(AND(M49&gt;50,M49&lt;=100),M49*1%,IF(AND(M49&gt;20,M49&lt;=50),M49*1.5%,IF(AND(M49&gt;10,M49&lt;=20),M49*2%,IF(AND(M49&gt;1,M49&lt;=10),M49*2.5%)))))))))</f>
        <v>6.3839999999999995</v>
      </c>
      <c r="M64" s="24">
        <f t="shared" ref="M64:M65" ca="1" si="1">ROUND(L64,1)</f>
        <v>6.4</v>
      </c>
      <c r="N64" s="137" t="s">
        <v>2244</v>
      </c>
      <c r="Z64" s="2422"/>
      <c r="AI64" s="2423"/>
    </row>
    <row r="65" spans="1:35" ht="14.25" customHeight="1">
      <c r="A65" s="196" t="s">
        <v>771</v>
      </c>
      <c r="B65" s="197" t="s">
        <v>2245</v>
      </c>
      <c r="C65" s="201"/>
      <c r="D65" s="199"/>
      <c r="E65" s="200"/>
      <c r="F65" s="2488"/>
      <c r="G65" s="2488"/>
      <c r="H65" s="2496"/>
      <c r="I65" s="137"/>
      <c r="J65" s="3164"/>
      <c r="K65" s="2967" t="s">
        <v>2246</v>
      </c>
      <c r="L65" s="1748">
        <f ca="1">IF(M49&gt;1000,M49*0.1%,IF(AND(M49&gt;500,M49&lt;=1000),M49*0.5%,IF(AND(M49&gt;50,M49&lt;=500),M49*1%,IF(AND(M49&gt;1,M49&lt;=50),M49*1.5%))))</f>
        <v>4.5600000000000005</v>
      </c>
      <c r="M65" s="24">
        <f t="shared" ca="1" si="1"/>
        <v>4.5999999999999996</v>
      </c>
      <c r="N65" s="137" t="s">
        <v>2244</v>
      </c>
      <c r="Z65" s="2422"/>
      <c r="AI65" s="2423"/>
    </row>
    <row r="66" spans="1:35" ht="14.25" customHeight="1">
      <c r="A66" s="202" t="s">
        <v>772</v>
      </c>
      <c r="B66" s="203" t="s">
        <v>2247</v>
      </c>
      <c r="C66" s="204"/>
      <c r="D66" s="205" t="s">
        <v>32</v>
      </c>
      <c r="E66" s="1772" t="s">
        <v>1366</v>
      </c>
      <c r="F66" s="2488"/>
      <c r="G66" s="2488"/>
      <c r="H66" s="2496"/>
      <c r="I66" s="137"/>
      <c r="J66" s="3164"/>
      <c r="K66" s="2967" t="s">
        <v>2248</v>
      </c>
      <c r="L66" s="1748">
        <f ca="1">M49*0.5%</f>
        <v>4.5600000000000005</v>
      </c>
      <c r="M66" s="24">
        <f ca="1">IF(L66&gt;0.5,0.5,ROUND(L66,0))</f>
        <v>0.5</v>
      </c>
      <c r="N66" s="137" t="s">
        <v>2249</v>
      </c>
      <c r="Z66" s="2422"/>
      <c r="AI66" s="2423"/>
    </row>
    <row r="67" spans="1:35" ht="14.25" customHeight="1">
      <c r="A67" s="202" t="s">
        <v>773</v>
      </c>
      <c r="B67" s="203" t="s">
        <v>2250</v>
      </c>
      <c r="C67" s="206">
        <f ca="1">C63-C66</f>
        <v>869</v>
      </c>
      <c r="D67" s="199" t="s">
        <v>32</v>
      </c>
      <c r="E67" s="200"/>
      <c r="F67" s="2488"/>
      <c r="G67" s="2488"/>
      <c r="H67" s="2496"/>
      <c r="I67" s="137"/>
      <c r="J67" s="3164"/>
      <c r="K67" s="2967" t="s">
        <v>2251</v>
      </c>
      <c r="L67" s="1748">
        <f ca="1">IF(M49&gt;=10000,(8.25+(M49-10000)*0.01%),IF(AND(M49&gt;=8000,M49&lt;10000),(7.85+(M49-8000)*0.02%),IF(AND(M49&gt;=5000,M49&lt;8000),(6.65+(M49-5000)*0.04%),IF(AND(M49&gt;=2000,M49&lt;5000),(4.25+(PM49-2000)*0.08%),IF(AND(M49&gt;=1000,M49&lt;2000),(2.75+(M49-1000)*0.15%),IF(AND(M49&gt;=100,M49&lt;1000),(0.5+(M49-100)*0.25%),IF(AND(M49&gt;0,M49&lt;100),M49*0.5%)))))))</f>
        <v>2.5300000000000002</v>
      </c>
      <c r="M67" s="24">
        <f ca="1">ROUND(L67*0.9,1)</f>
        <v>2.2999999999999998</v>
      </c>
      <c r="Z67" s="2422"/>
      <c r="AI67" s="2423"/>
    </row>
    <row r="68" spans="1:35" ht="14.25" customHeight="1" thickBot="1">
      <c r="A68" s="207" t="s">
        <v>774</v>
      </c>
      <c r="B68" s="208" t="s">
        <v>2252</v>
      </c>
      <c r="C68" s="209">
        <f ca="1">IF(C67&lt;=0,0,ROUND(C67*D68,0))</f>
        <v>48</v>
      </c>
      <c r="D68" s="210">
        <f>'数据-取费表'!B41</f>
        <v>5.5000000000000007E-2</v>
      </c>
      <c r="E68" s="211"/>
      <c r="F68" s="2488"/>
      <c r="G68" s="2488"/>
      <c r="H68" s="2496"/>
      <c r="I68" s="137"/>
      <c r="J68" s="3164"/>
      <c r="K68" s="2967" t="s">
        <v>2253</v>
      </c>
      <c r="L68" s="1748">
        <f ca="1">IF(M49&gt;10000,M49*0.5%,IF(AND(M49&gt;5000,M49&lt;=10000),M49*1%,IF(AND(M49&gt;1000,M49&lt;=5000),M49*2%,IF(AND(M49&gt;200,M49&lt;=1000),M49*3%,M49*5%))))</f>
        <v>27.36</v>
      </c>
      <c r="M68" s="24">
        <f ca="1">ROUND(L68,1)</f>
        <v>27.4</v>
      </c>
      <c r="Z68" s="2422"/>
      <c r="AI68" s="2423"/>
    </row>
    <row r="69" spans="1:35" s="2445" customFormat="1" ht="16.5" customHeight="1">
      <c r="A69" s="2499"/>
      <c r="B69" s="2500"/>
      <c r="C69" s="2501"/>
      <c r="D69" s="2502"/>
      <c r="E69" s="2503"/>
      <c r="F69" s="2165"/>
      <c r="G69" s="2165"/>
      <c r="H69" s="2164"/>
      <c r="I69" s="2417"/>
      <c r="J69" s="3164"/>
      <c r="K69" s="2967" t="s">
        <v>2254</v>
      </c>
      <c r="L69" s="2504"/>
      <c r="M69" s="24">
        <f ca="1">ROUND(SUM(M63:M68),0)</f>
        <v>69</v>
      </c>
      <c r="N69" s="1749">
        <f ca="1">M69/M49</f>
        <v>7.5657894736842105E-2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65" t="s">
        <v>2255</v>
      </c>
      <c r="B70" s="3166"/>
      <c r="C70" s="3166"/>
      <c r="D70" s="3166"/>
      <c r="E70" s="3166"/>
      <c r="F70" s="3166"/>
      <c r="G70" s="3166"/>
      <c r="H70" s="316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2" t="s">
        <v>2236</v>
      </c>
      <c r="B71" s="3163"/>
      <c r="C71" s="2962"/>
      <c r="D71" s="2962"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869</v>
      </c>
      <c r="D72" s="199" t="s">
        <v>32</v>
      </c>
      <c r="E72" s="2961"/>
      <c r="F72" s="2956"/>
      <c r="G72" s="295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4</v>
      </c>
      <c r="D73" s="199" t="s">
        <v>32</v>
      </c>
      <c r="E73" s="2961"/>
      <c r="F73" s="2956"/>
      <c r="G73" s="295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2961"/>
      <c r="F74" s="2956"/>
      <c r="G74" s="295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55" t="s">
        <v>2264</v>
      </c>
      <c r="F76" s="3151"/>
      <c r="G76" s="3151"/>
      <c r="H76" s="318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2968" t="s">
        <v>2266</v>
      </c>
      <c r="F77" s="223"/>
      <c r="G77" s="2512" t="s">
        <v>2267</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4</v>
      </c>
      <c r="D78" s="225">
        <f>'数据-取费表'!B43</f>
        <v>5.000000000000001E-3</v>
      </c>
      <c r="E78" s="3173" t="s">
        <v>2269</v>
      </c>
      <c r="F78" s="3174"/>
      <c r="G78" s="3174"/>
      <c r="H78" s="31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865</v>
      </c>
      <c r="D79" s="199" t="s">
        <v>32</v>
      </c>
      <c r="E79" s="2961"/>
      <c r="F79" s="2956"/>
      <c r="G79" s="295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216.25</v>
      </c>
      <c r="D80" s="199"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518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5" t="s">
        <v>2273</v>
      </c>
      <c r="B83" s="3166"/>
      <c r="C83" s="3166"/>
      <c r="D83" s="3166"/>
      <c r="E83" s="3166"/>
      <c r="F83" s="3166"/>
      <c r="G83" s="3166"/>
      <c r="H83" s="316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2" t="s">
        <v>2236</v>
      </c>
      <c r="B84" s="3163"/>
      <c r="C84" s="2962"/>
      <c r="D84" s="2962"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869</v>
      </c>
      <c r="D85" s="199" t="s">
        <v>32</v>
      </c>
      <c r="E85" s="2961"/>
      <c r="F85" s="2956"/>
      <c r="G85" s="2956"/>
      <c r="H85" s="233"/>
      <c r="I85" s="2511"/>
      <c r="J85" s="2507">
        <v>32960.910000000003</v>
      </c>
      <c r="K85" s="2507">
        <v>133057.29</v>
      </c>
      <c r="L85" s="2507">
        <v>9841.5499999999993</v>
      </c>
      <c r="M85" s="2507">
        <v>10568.17</v>
      </c>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671</v>
      </c>
      <c r="D86" s="234"/>
      <c r="E86" s="2961"/>
      <c r="F86" s="2956"/>
      <c r="G86" s="295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178</v>
      </c>
      <c r="D87" s="225"/>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f>J90</f>
        <v>173</v>
      </c>
      <c r="D88" s="225"/>
      <c r="E88" s="236" t="s">
        <v>2276</v>
      </c>
      <c r="F88" s="2958"/>
      <c r="G88" s="237" t="s">
        <v>2277</v>
      </c>
      <c r="H88" s="2516" t="s">
        <v>3120</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5</v>
      </c>
      <c r="D89" s="225">
        <f>'数据-取费表'!B48+'数据-取费表'!B49</f>
        <v>3.0499999999999999E-2</v>
      </c>
      <c r="E89" s="236" t="s">
        <v>2278</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2958"/>
      <c r="G90" s="2958"/>
      <c r="H90" s="2960"/>
      <c r="I90" s="2511"/>
      <c r="J90" s="2507">
        <f>ROUND(J85*L85/K85*'数据-汇总表'!F27/10000,0)</f>
        <v>173</v>
      </c>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 ca="1">IF(H91="——",成本法!C33,I91)</f>
        <v>335</v>
      </c>
      <c r="D91" s="225"/>
      <c r="E91" s="3173" t="s">
        <v>2282</v>
      </c>
      <c r="F91" s="3174"/>
      <c r="G91" s="3174"/>
      <c r="H91" s="2517" t="s">
        <v>3157</v>
      </c>
      <c r="I91" s="2518">
        <f ca="1">ROUND(收益法!C19/收益法!F7*典型户型修正!B22,0)</f>
        <v>335</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 ca="1">ROUND((C87+C90+C91)*D92,0)</f>
        <v>51</v>
      </c>
      <c r="D92" s="225">
        <v>0.1</v>
      </c>
      <c r="E92" s="3173" t="s">
        <v>2286</v>
      </c>
      <c r="F92" s="3174"/>
      <c r="G92" s="3174"/>
      <c r="H92" s="31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4</v>
      </c>
      <c r="D93" s="225">
        <f>'数据-取费表'!B43</f>
        <v>5.000000000000001E-3</v>
      </c>
      <c r="E93" s="3173" t="s">
        <v>2269</v>
      </c>
      <c r="F93" s="3174"/>
      <c r="G93" s="3174"/>
      <c r="H93" s="31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 ca="1">ROUND((C87+C90+C91)*D94,0)</f>
        <v>103</v>
      </c>
      <c r="D94" s="225">
        <v>0.2</v>
      </c>
      <c r="E94" s="3176" t="s">
        <v>2290</v>
      </c>
      <c r="F94" s="3177"/>
      <c r="G94" s="3177"/>
      <c r="H94" s="317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198</v>
      </c>
      <c r="D95" s="199" t="s">
        <v>32</v>
      </c>
      <c r="E95" s="2961"/>
      <c r="F95" s="2956"/>
      <c r="G95" s="295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0.29508196721311475</v>
      </c>
      <c r="D96" s="199"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6"/>
      <c r="G96" s="295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59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111" t="s">
        <v>2292</v>
      </c>
      <c r="B100" s="3112"/>
      <c r="C100" s="3112"/>
      <c r="D100" s="3179"/>
      <c r="E100" s="3112" t="s">
        <v>2293</v>
      </c>
      <c r="F100" s="3112"/>
      <c r="G100" s="3112"/>
      <c r="H100" s="3179"/>
      <c r="I100" s="137"/>
    </row>
    <row r="101" spans="1:35" ht="18.75" customHeight="1">
      <c r="A101" s="3180" t="s">
        <v>2294</v>
      </c>
      <c r="B101" s="3181"/>
      <c r="C101" s="735" t="str">
        <f>C4</f>
        <v>典型户型修正</v>
      </c>
      <c r="D101" s="736" t="str">
        <f>D4</f>
        <v>收益法</v>
      </c>
      <c r="E101" s="3182" t="s">
        <v>2295</v>
      </c>
      <c r="F101" s="3183"/>
      <c r="G101" s="2519" t="s">
        <v>2296</v>
      </c>
      <c r="H101" s="1044">
        <f ca="1">H118</f>
        <v>912</v>
      </c>
      <c r="I101" s="137"/>
    </row>
    <row r="102" spans="1:35" ht="18.75" customHeight="1">
      <c r="A102" s="3184" t="s">
        <v>2297</v>
      </c>
      <c r="B102" s="2519" t="s">
        <v>2296</v>
      </c>
      <c r="C102" s="735">
        <f ca="1">C19</f>
        <v>1054</v>
      </c>
      <c r="D102" s="736">
        <f ca="1">D19</f>
        <v>581</v>
      </c>
      <c r="E102" s="3182"/>
      <c r="F102" s="3183"/>
      <c r="G102" s="2519" t="s">
        <v>2298</v>
      </c>
      <c r="H102" s="370">
        <f ca="1">I118</f>
        <v>12867</v>
      </c>
      <c r="I102" s="137"/>
    </row>
    <row r="103" spans="1:35" ht="42.75" customHeight="1">
      <c r="A103" s="3184"/>
      <c r="B103" s="2519" t="s">
        <v>2298</v>
      </c>
      <c r="C103" s="737">
        <f ca="1">C20</f>
        <v>10480</v>
      </c>
      <c r="D103" s="738">
        <f ca="1">D20</f>
        <v>8197</v>
      </c>
      <c r="E103" s="3185" t="s">
        <v>2299</v>
      </c>
      <c r="F103" s="3186"/>
      <c r="G103" s="2520" t="s">
        <v>2300</v>
      </c>
      <c r="H103" s="1044">
        <f>IF(D36="正常操作",H104+H105+H106,H105+H106)</f>
        <v>0</v>
      </c>
      <c r="I103" s="137"/>
    </row>
    <row r="104" spans="1:35" ht="18.75" customHeight="1">
      <c r="A104" s="3184" t="s">
        <v>2301</v>
      </c>
      <c r="B104" s="2521" t="s">
        <v>2296</v>
      </c>
      <c r="C104" s="739">
        <f ca="1">H118</f>
        <v>912</v>
      </c>
      <c r="D104" s="740"/>
      <c r="E104" s="2266" t="s">
        <v>2302</v>
      </c>
      <c r="F104" s="2257"/>
      <c r="G104" s="2520" t="s">
        <v>2300</v>
      </c>
      <c r="H104" s="1045">
        <f>IF(D36="同一抵押权人同一抵押物续贷",C36&amp;"（未扣减，详见特别提示）",C36)</f>
        <v>0</v>
      </c>
      <c r="I104" s="137"/>
    </row>
    <row r="105" spans="1:35" ht="18.75" customHeight="1" thickBot="1">
      <c r="A105" s="3193"/>
      <c r="B105" s="2522" t="s">
        <v>2298</v>
      </c>
      <c r="C105" s="741">
        <f ca="1">I118</f>
        <v>12867</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194" t="str">
        <f>IF(项目基本情况!E8="已注销","——","3.房地产抵押价值")</f>
        <v>3.房地产抵押价值</v>
      </c>
      <c r="F107" s="3183"/>
      <c r="G107" s="2519" t="s">
        <v>2296</v>
      </c>
      <c r="H107" s="1044">
        <f ca="1">IF(E107="——","——",H101-H103)</f>
        <v>912</v>
      </c>
      <c r="I107" s="137"/>
    </row>
    <row r="108" spans="1:35" ht="18.75" customHeight="1">
      <c r="A108" s="137"/>
      <c r="B108" s="137"/>
      <c r="C108" s="137"/>
      <c r="D108" s="137"/>
      <c r="E108" s="3194"/>
      <c r="F108" s="3183"/>
      <c r="G108" s="2519" t="s">
        <v>2298</v>
      </c>
      <c r="H108" s="370">
        <f ca="1">ROUND(H107*10000/'数据-汇总表'!E3,0)</f>
        <v>12867</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83"/>
      <c r="G109" s="2519" t="s">
        <v>2296</v>
      </c>
      <c r="H109" s="347" t="str">
        <f>IF(E109="——","——",H101-H105-H106)</f>
        <v>——</v>
      </c>
      <c r="I109" s="137"/>
    </row>
    <row r="110" spans="1:35" ht="18.75" customHeight="1">
      <c r="A110" s="137"/>
      <c r="B110" s="137"/>
      <c r="C110" s="137"/>
      <c r="D110" s="137"/>
      <c r="E110" s="3194"/>
      <c r="F110" s="3183"/>
      <c r="G110" s="2519" t="s">
        <v>2298</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4.抵押净值</v>
      </c>
      <c r="F111" s="3196"/>
      <c r="G111" s="2519" t="s">
        <v>2296</v>
      </c>
      <c r="H111" s="1044">
        <f ca="1">IF(E111="——","——",N59)</f>
        <v>805</v>
      </c>
      <c r="I111" s="137"/>
    </row>
    <row r="112" spans="1:35" ht="18.75" customHeight="1" thickBot="1">
      <c r="A112" s="137"/>
      <c r="B112" s="137"/>
      <c r="C112" s="137"/>
      <c r="D112" s="137"/>
      <c r="E112" s="3197"/>
      <c r="F112" s="3198"/>
      <c r="G112" s="2524" t="s">
        <v>2298</v>
      </c>
      <c r="H112" s="789">
        <f ca="1">IF(E111="——","——",N61)</f>
        <v>11357</v>
      </c>
      <c r="I112" s="137"/>
    </row>
    <row r="113" spans="1:11" ht="18.75" customHeight="1">
      <c r="A113" s="137"/>
      <c r="B113" s="137"/>
      <c r="C113" s="137"/>
      <c r="D113" s="137"/>
      <c r="E113" s="3199" t="s">
        <v>2304</v>
      </c>
      <c r="F113" s="3199"/>
      <c r="G113" s="3199"/>
      <c r="H113" s="3199"/>
      <c r="I113" s="137"/>
    </row>
    <row r="114" spans="1:11" ht="3.75" customHeight="1">
      <c r="A114" s="2417"/>
      <c r="B114" s="2417"/>
      <c r="C114" s="2417"/>
      <c r="D114" s="2417"/>
      <c r="E114" s="2495"/>
      <c r="F114" s="2495"/>
      <c r="G114" s="2495"/>
      <c r="H114" s="2495"/>
      <c r="I114" s="2417"/>
    </row>
    <row r="115" spans="1:11" ht="18.75" customHeight="1">
      <c r="A115" s="3200" t="s">
        <v>2306</v>
      </c>
      <c r="B115" s="3201"/>
      <c r="C115" s="3201"/>
      <c r="D115" s="3201"/>
      <c r="E115" s="3201"/>
      <c r="F115" s="3201"/>
      <c r="G115" s="3201"/>
      <c r="H115" s="3201"/>
      <c r="I115" s="3202"/>
    </row>
    <row r="116" spans="1:11" ht="27" customHeight="1">
      <c r="A116" s="3090" t="s">
        <v>2307</v>
      </c>
      <c r="B116" s="3188" t="s">
        <v>2308</v>
      </c>
      <c r="C116" s="3188" t="s">
        <v>2309</v>
      </c>
      <c r="D116" s="3190" t="s">
        <v>2310</v>
      </c>
      <c r="E116" s="3191"/>
      <c r="F116" s="3192" t="s">
        <v>2311</v>
      </c>
      <c r="G116" s="3192"/>
      <c r="H116" s="3090" t="s">
        <v>2312</v>
      </c>
      <c r="I116" s="3090"/>
    </row>
    <row r="117" spans="1:11" ht="18.75" customHeight="1">
      <c r="A117" s="3090"/>
      <c r="B117" s="3189"/>
      <c r="C117" s="3189"/>
      <c r="D117" s="2954" t="s">
        <v>2313</v>
      </c>
      <c r="E117" s="2954" t="s">
        <v>2314</v>
      </c>
      <c r="F117" s="2954" t="s">
        <v>2313</v>
      </c>
      <c r="G117" s="2954" t="s">
        <v>2315</v>
      </c>
      <c r="H117" s="2954" t="s">
        <v>2313</v>
      </c>
      <c r="I117" s="2954" t="s">
        <v>2315</v>
      </c>
    </row>
    <row r="118" spans="1:11" ht="24.75" customHeight="1">
      <c r="A118" s="2525" t="str">
        <f>项目基本情况!S2</f>
        <v>北京市出让国有建设用地使用权及在建建筑物房地产</v>
      </c>
      <c r="B118" s="2954">
        <f>M18</f>
        <v>708.8</v>
      </c>
      <c r="C118" s="2954">
        <f>M19</f>
        <v>0</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912</v>
      </c>
      <c r="I118" s="2954">
        <f ca="1">ROUND(IF(D32="楼面单价",C32,H118*10000/B118),0)</f>
        <v>12867</v>
      </c>
    </row>
    <row r="119" spans="1:11" ht="18.75" customHeight="1">
      <c r="A119" s="3090" t="s">
        <v>2316</v>
      </c>
      <c r="B119" s="3090"/>
      <c r="C119" s="3090"/>
      <c r="D119" s="3206" t="e">
        <f ca="1">NUMBERSTRING(INT(D118*10000),2)&amp;"元整"</f>
        <v>#REF!</v>
      </c>
      <c r="E119" s="3208"/>
      <c r="F119" s="3206" t="e">
        <f ca="1">NUMBERSTRING(INT(F118*10000),2)&amp;"元整"</f>
        <v>#REF!</v>
      </c>
      <c r="G119" s="3208"/>
      <c r="H119" s="3206" t="str">
        <f ca="1">NUMBERSTRING(INT(H118*10000),2)&amp;"元整"</f>
        <v>玖佰壹拾贰万元整</v>
      </c>
      <c r="I119" s="3208"/>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2" t="str">
        <f>IF(D120=0,"故，本次评估不存在"&amp;A120,"故，本次评估"&amp;A120&amp;"为人民币"&amp;D120&amp;"万元整。")</f>
        <v>故，本次评估不存在估价师知悉的法定优先受偿款</v>
      </c>
    </row>
    <row r="121" spans="1:11" ht="18.75" customHeight="1">
      <c r="A121" s="3203" t="s">
        <v>2316</v>
      </c>
      <c r="B121" s="3204"/>
      <c r="C121" s="3205"/>
      <c r="D121" s="3206" t="str">
        <f>IF(D120=0,"零元整",NUMBERSTRING(INT(D120*10000),2)&amp;"元整")</f>
        <v>零元整</v>
      </c>
      <c r="E121" s="3207"/>
      <c r="F121" s="3207"/>
      <c r="G121" s="3207"/>
      <c r="H121" s="3207"/>
      <c r="I121" s="3208"/>
    </row>
    <row r="122" spans="1:11" ht="18.75" customHeight="1">
      <c r="A122" s="3209" t="str">
        <f>IF(项目基本情况!B9="房地产市场价值","",MID(E107,3,LEN(E107)-2))</f>
        <v>房地产抵押价值</v>
      </c>
      <c r="B122" s="3209"/>
      <c r="C122" s="3209"/>
      <c r="D122" s="3210">
        <f ca="1">H107</f>
        <v>912</v>
      </c>
      <c r="E122" s="3211"/>
      <c r="F122" s="3211"/>
      <c r="G122" s="3211"/>
      <c r="H122" s="3211"/>
      <c r="I122" s="3212"/>
    </row>
    <row r="123" spans="1:11" ht="18.75" customHeight="1">
      <c r="A123" s="3090" t="s">
        <v>2316</v>
      </c>
      <c r="B123" s="3090"/>
      <c r="C123" s="3090"/>
      <c r="D123" s="3206" t="str">
        <f ca="1">NUMBERSTRING(INT(D122*10000),2)&amp;"元整"</f>
        <v>玖佰壹拾贰万元整</v>
      </c>
      <c r="E123" s="3207"/>
      <c r="F123" s="3207"/>
      <c r="G123" s="3207"/>
      <c r="H123" s="3207"/>
      <c r="I123" s="3208"/>
    </row>
    <row r="124" spans="1:11" ht="18.75" customHeight="1">
      <c r="A124" s="3209" t="str">
        <f>IF(项目基本情况!B9="房地产市场价值","",MID(E109,3,LEN(E109)-2))</f>
        <v/>
      </c>
      <c r="B124" s="3209"/>
      <c r="C124" s="3209"/>
      <c r="D124" s="3210" t="str">
        <f>H109</f>
        <v>——</v>
      </c>
      <c r="E124" s="3211"/>
      <c r="F124" s="3211"/>
      <c r="G124" s="3211"/>
      <c r="H124" s="3211"/>
      <c r="I124" s="3212"/>
    </row>
    <row r="125" spans="1:11" ht="18.75" customHeight="1">
      <c r="A125" s="3090" t="s">
        <v>2316</v>
      </c>
      <c r="B125" s="3090"/>
      <c r="C125" s="3090"/>
      <c r="D125" s="3206" t="e">
        <f>NUMBERSTRING(INT(D124*10000),2)&amp;"元整"</f>
        <v>#VALUE!</v>
      </c>
      <c r="E125" s="3207"/>
      <c r="F125" s="3207"/>
      <c r="G125" s="3207"/>
      <c r="H125" s="3207"/>
      <c r="I125" s="3208"/>
    </row>
    <row r="126" spans="1:11" ht="18.75" customHeight="1">
      <c r="A126" s="3209" t="str">
        <f>IF(项目基本情况!B9="房地产市场价值","",MID(E111,3,LEN(E111)-2))</f>
        <v>抵押净值</v>
      </c>
      <c r="B126" s="3209"/>
      <c r="C126" s="3209"/>
      <c r="D126" s="3210">
        <f ca="1">H111</f>
        <v>805</v>
      </c>
      <c r="E126" s="3211"/>
      <c r="F126" s="3211"/>
      <c r="G126" s="3211"/>
      <c r="H126" s="3211"/>
      <c r="I126" s="3212"/>
    </row>
    <row r="127" spans="1:11" ht="18.75" customHeight="1">
      <c r="A127" s="3090" t="s">
        <v>2316</v>
      </c>
      <c r="B127" s="3090"/>
      <c r="C127" s="3090"/>
      <c r="D127" s="3206" t="str">
        <f ca="1">NUMBERSTRING(INT(D126*10000),2)&amp;"元整"</f>
        <v>捌佰零伍万元整</v>
      </c>
      <c r="E127" s="3207"/>
      <c r="F127" s="3207"/>
      <c r="G127" s="3207"/>
      <c r="H127" s="3207"/>
      <c r="I127" s="3208"/>
    </row>
    <row r="128" spans="1:11" ht="21.75" customHeight="1">
      <c r="A128" s="3213" t="s">
        <v>2317</v>
      </c>
      <c r="B128" s="3213"/>
      <c r="C128" s="3213"/>
      <c r="D128" s="3213"/>
      <c r="E128" s="3213"/>
      <c r="F128" s="3213"/>
      <c r="G128" s="3213"/>
      <c r="H128" s="3213"/>
      <c r="I128" s="321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2115</v>
      </c>
      <c r="B1" s="2417"/>
      <c r="C1" s="2418"/>
      <c r="D1" s="2417"/>
      <c r="E1" s="2417"/>
      <c r="F1" s="2419" t="s">
        <v>2116</v>
      </c>
      <c r="G1" s="2069" t="s">
        <v>2117</v>
      </c>
      <c r="H1" s="2420" t="str">
        <f>IF(G1="现房","——","估价对象范围")</f>
        <v>估价对象范围</v>
      </c>
      <c r="I1" s="2421"/>
    </row>
    <row r="2" spans="1:12" ht="21.75" customHeight="1" thickBot="1">
      <c r="A2" s="3121" t="str">
        <f>项目基本情况!S2</f>
        <v>北京市出让国有建设用地使用权及在建建筑物房地产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4" t="s">
        <v>2119</v>
      </c>
      <c r="B4" s="2425" t="s">
        <v>2120</v>
      </c>
      <c r="C4" s="2426" t="s">
        <v>3109</v>
      </c>
      <c r="D4" s="2426" t="s">
        <v>3116</v>
      </c>
      <c r="E4" s="3126" t="s">
        <v>2121</v>
      </c>
      <c r="F4" s="3127"/>
      <c r="G4" s="3127"/>
      <c r="H4" s="3127"/>
      <c r="I4" s="3128"/>
      <c r="K4" s="2427" t="str">
        <f>IF(ISNUMBER(FIND("比较法",'结果表（1）'!C4)),"比较法",IF(ISNUMBER(FIND("成本法",'结果表（1）'!C4)),"成本法",IF(ISNUMBER(FIND("假设开发法",'结果表（1）'!C4)),"假设开发法",IF(ISNUMBER(FIND("收益法",'结果表（1）'!C4)),"收益法","基准地价系数修正法"))))</f>
        <v>收益法</v>
      </c>
      <c r="L4" s="2427" t="str">
        <f>IF(ISNUMBER(FIND("比较法",'结果表（1）'!D4)),"比较法",IF(ISNUMBER(FIND("成本法",'结果表（1）'!D4)),"成本法",IF(ISNUMBER(FIND("假设开发法",'结果表（1）'!D4)),"假设开发法",IF(ISNUMBER(FIND("收益法",'结果表（1）'!D4)),"收益法","基准地价系数修正法"))))</f>
        <v>比较法</v>
      </c>
    </row>
    <row r="5" spans="1:12" ht="12.75">
      <c r="A5" s="3117" t="s">
        <v>2122</v>
      </c>
      <c r="B5" s="3090">
        <v>25</v>
      </c>
      <c r="C5" s="3118"/>
      <c r="D5" s="3120"/>
      <c r="E5" s="139" t="s">
        <v>2123</v>
      </c>
      <c r="F5" s="2428"/>
      <c r="G5" s="2428"/>
      <c r="H5" s="2428"/>
      <c r="I5" s="1830"/>
    </row>
    <row r="6" spans="1:12" ht="12.75">
      <c r="A6" s="3117"/>
      <c r="B6" s="3090"/>
      <c r="C6" s="3129"/>
      <c r="D6" s="3120"/>
      <c r="E6" s="139" t="s">
        <v>2124</v>
      </c>
      <c r="F6" s="2428"/>
      <c r="G6" s="2428"/>
      <c r="H6" s="2428"/>
      <c r="I6" s="1830"/>
    </row>
    <row r="7" spans="1:12" ht="12.75">
      <c r="A7" s="3117"/>
      <c r="B7" s="3090"/>
      <c r="C7" s="3119"/>
      <c r="D7" s="3120"/>
      <c r="E7" s="139" t="s">
        <v>2125</v>
      </c>
      <c r="F7" s="2428"/>
      <c r="G7" s="2428"/>
      <c r="H7" s="2428"/>
      <c r="I7" s="1830"/>
    </row>
    <row r="8" spans="1:12" ht="12.75">
      <c r="A8" s="3117" t="s">
        <v>2126</v>
      </c>
      <c r="B8" s="3090">
        <v>15</v>
      </c>
      <c r="C8" s="3118"/>
      <c r="D8" s="3120"/>
      <c r="E8" s="139" t="s">
        <v>2127</v>
      </c>
      <c r="F8" s="2428"/>
      <c r="G8" s="2428"/>
      <c r="H8" s="2428"/>
      <c r="I8" s="1830"/>
    </row>
    <row r="9" spans="1:12" ht="12.75">
      <c r="A9" s="3117"/>
      <c r="B9" s="3090"/>
      <c r="C9" s="3119"/>
      <c r="D9" s="3120"/>
      <c r="E9" s="139" t="s">
        <v>2128</v>
      </c>
      <c r="F9" s="2428"/>
      <c r="G9" s="2428"/>
      <c r="H9" s="2428"/>
      <c r="I9" s="1830"/>
    </row>
    <row r="10" spans="1:12" ht="12.75">
      <c r="A10" s="3117" t="s">
        <v>2129</v>
      </c>
      <c r="B10" s="3090">
        <v>15</v>
      </c>
      <c r="C10" s="3118"/>
      <c r="D10" s="3120"/>
      <c r="E10" s="139" t="s">
        <v>2130</v>
      </c>
      <c r="F10" s="2428"/>
      <c r="G10" s="2428"/>
      <c r="H10" s="2428"/>
      <c r="I10" s="1830"/>
    </row>
    <row r="11" spans="1:12" ht="12.75">
      <c r="A11" s="3117"/>
      <c r="B11" s="3090"/>
      <c r="C11" s="3119"/>
      <c r="D11" s="3120"/>
      <c r="E11" s="139" t="s">
        <v>2131</v>
      </c>
      <c r="F11" s="2428"/>
      <c r="G11" s="2428"/>
      <c r="H11" s="2428"/>
      <c r="I11" s="1830"/>
    </row>
    <row r="12" spans="1:12" ht="12.75">
      <c r="A12" s="3117" t="s">
        <v>2132</v>
      </c>
      <c r="B12" s="3090">
        <v>15</v>
      </c>
      <c r="C12" s="3118"/>
      <c r="D12" s="3120"/>
      <c r="E12" s="139" t="s">
        <v>2133</v>
      </c>
      <c r="F12" s="2428"/>
      <c r="G12" s="2428"/>
      <c r="H12" s="2428"/>
      <c r="I12" s="1830"/>
    </row>
    <row r="13" spans="1:12" ht="12.75">
      <c r="A13" s="3117"/>
      <c r="B13" s="3090"/>
      <c r="C13" s="3119"/>
      <c r="D13" s="3120"/>
      <c r="E13" s="139" t="s">
        <v>2134</v>
      </c>
      <c r="F13" s="2428"/>
      <c r="G13" s="2428"/>
      <c r="H13" s="2428"/>
      <c r="I13" s="1830"/>
    </row>
    <row r="14" spans="1:12" ht="12.75">
      <c r="A14" s="3117" t="s">
        <v>2135</v>
      </c>
      <c r="B14" s="3090">
        <v>30</v>
      </c>
      <c r="C14" s="3118">
        <v>4</v>
      </c>
      <c r="D14" s="3120">
        <v>6</v>
      </c>
      <c r="E14" s="139" t="s">
        <v>2136</v>
      </c>
      <c r="F14" s="2428"/>
      <c r="G14" s="2428"/>
      <c r="H14" s="2428"/>
      <c r="I14" s="1830"/>
    </row>
    <row r="15" spans="1:12" ht="12.75">
      <c r="A15" s="3117"/>
      <c r="B15" s="3090"/>
      <c r="C15" s="3129"/>
      <c r="D15" s="3120"/>
      <c r="E15" s="139" t="s">
        <v>2137</v>
      </c>
      <c r="F15" s="2428"/>
      <c r="G15" s="2428"/>
      <c r="H15" s="2428"/>
      <c r="I15" s="1830"/>
    </row>
    <row r="16" spans="1:12" ht="12.75">
      <c r="A16" s="3117"/>
      <c r="B16" s="3090"/>
      <c r="C16" s="3119"/>
      <c r="D16" s="3120"/>
      <c r="E16" s="139" t="s">
        <v>2138</v>
      </c>
      <c r="F16" s="2428"/>
      <c r="G16" s="2428"/>
      <c r="H16" s="2428"/>
      <c r="I16" s="1830"/>
    </row>
    <row r="17" spans="1:35" ht="15">
      <c r="A17" s="2429" t="s">
        <v>2139</v>
      </c>
      <c r="B17" s="64"/>
      <c r="C17" s="140">
        <f>SUM(C5:C16)</f>
        <v>4</v>
      </c>
      <c r="D17" s="140">
        <f>SUM(D5:D16)</f>
        <v>6</v>
      </c>
      <c r="E17" s="137"/>
      <c r="F17" s="137"/>
      <c r="G17" s="137"/>
      <c r="H17" s="137"/>
      <c r="I17" s="137"/>
      <c r="K17" s="2427"/>
      <c r="L17" s="2430" t="s">
        <v>2140</v>
      </c>
      <c r="M17" s="2430" t="s">
        <v>2141</v>
      </c>
    </row>
    <row r="18" spans="1:35" ht="15.75" thickBot="1">
      <c r="A18" s="2431" t="s">
        <v>2142</v>
      </c>
      <c r="B18" s="2432"/>
      <c r="C18" s="141">
        <f>ROUND(C17/SUM(C17:D17),2)</f>
        <v>0.4</v>
      </c>
      <c r="D18" s="141">
        <f>1-C18</f>
        <v>0.6</v>
      </c>
      <c r="E18" s="137"/>
      <c r="F18" s="137"/>
      <c r="G18" s="137"/>
      <c r="H18" s="137"/>
      <c r="I18" s="137"/>
      <c r="K18" s="2427" t="s">
        <v>2143</v>
      </c>
      <c r="L18" s="2427">
        <f>IF(C1="",'数据-汇总表'!E3,SUMIF(项目类型,C1,'数据-汇总表'!E17:E26)+SUMIF(项目类型,C1,'数据-汇总表'!I17:I26))</f>
        <v>708.8</v>
      </c>
      <c r="M18" s="2427">
        <f>IF(C1="",'数据-汇总表'!E3,SUMIF(项目类型,C1,'数据-汇总表'!E17:E26))</f>
        <v>708.8</v>
      </c>
    </row>
    <row r="19" spans="1:35" ht="15">
      <c r="A19" s="2433" t="s">
        <v>2144</v>
      </c>
      <c r="B19" s="2434" t="s">
        <v>2145</v>
      </c>
      <c r="C19" s="142">
        <f ca="1">SUMIF(INDIRECT("'"&amp;C4&amp;"'"&amp;"!A:A"),'结果表（1）'!B19,INDIRECT("'"&amp;C4&amp;"'"&amp;"!B:B"))</f>
        <v>581</v>
      </c>
      <c r="D19" s="143">
        <f ca="1">SUMIF(INDIRECT("'"&amp;D4&amp;"'"&amp;"!A:A"),'结果表（1）'!B19,INDIRECT("'"&amp;D4&amp;"'"&amp;"!B:B"))</f>
        <v>0</v>
      </c>
      <c r="E19" s="2433" t="s">
        <v>2146</v>
      </c>
      <c r="F19" s="2434" t="s">
        <v>2145</v>
      </c>
      <c r="G19" s="144">
        <f ca="1">ROUND(C19*$C$18+D19*$D$18,0)</f>
        <v>232</v>
      </c>
      <c r="H19" s="2435" t="s">
        <v>2147</v>
      </c>
      <c r="I19" s="137"/>
      <c r="K19" s="2427" t="s">
        <v>2148</v>
      </c>
      <c r="L19" s="2427">
        <f>IF(C1="",'数据-汇总表'!D3,SUMIF(项目类型,C1,'数据-汇总表'!D17:D26)+SUMIF(项目类型,C1,'数据-汇总表'!H17:H27))</f>
        <v>0</v>
      </c>
      <c r="M19" s="2427">
        <f>IF(C1="",'数据-汇总表'!D3,SUMIF(项目类型,C1,'数据-汇总表'!D17:D26))</f>
        <v>0</v>
      </c>
    </row>
    <row r="20" spans="1:35" ht="15">
      <c r="A20" s="2436"/>
      <c r="B20" s="1246" t="s">
        <v>2149</v>
      </c>
      <c r="C20" s="145">
        <f ca="1">SUMIF(INDIRECT("'"&amp;C4&amp;"'"&amp;"!A:A"),'结果表（1）'!B20,INDIRECT("'"&amp;C4&amp;"'"&amp;"!B:B"))</f>
        <v>8197</v>
      </c>
      <c r="D20" s="146">
        <f ca="1">SUMIF(INDIRECT("'"&amp;D4&amp;"'"&amp;"!A:A"),'结果表（1）'!B20,INDIRECT("'"&amp;D4&amp;"'"&amp;"!B:B"))</f>
        <v>30077</v>
      </c>
      <c r="E20" s="2436"/>
      <c r="F20" s="1246" t="s">
        <v>2149</v>
      </c>
      <c r="G20" s="147">
        <f ca="1">ROUND(C20*$C$18+D20*$D$18,0)</f>
        <v>21325</v>
      </c>
      <c r="H20" s="979" t="s">
        <v>2150</v>
      </c>
      <c r="I20" s="137"/>
    </row>
    <row r="21" spans="1:35" ht="15" customHeight="1" thickBot="1">
      <c r="A21" s="999"/>
      <c r="B21" s="2437" t="s">
        <v>2151</v>
      </c>
      <c r="C21" s="788" t="e">
        <f ca="1">ROUND(C19*10000/L19,0)</f>
        <v>#DIV/0!</v>
      </c>
      <c r="D21" s="789" t="e">
        <f ca="1">ROUND(D19*10000/L19,0)</f>
        <v>#DIV/0!</v>
      </c>
      <c r="E21" s="999"/>
      <c r="F21" s="2437" t="s">
        <v>2151</v>
      </c>
      <c r="G21" s="148" t="e">
        <f ca="1">ROUND(G19*10000/L19,0)</f>
        <v>#DIV/0!</v>
      </c>
      <c r="H21" s="2438" t="s">
        <v>2150</v>
      </c>
      <c r="I21" s="137"/>
    </row>
    <row r="22" spans="1:35" ht="15" thickBot="1">
      <c r="A22" s="2280" t="s">
        <v>2152</v>
      </c>
      <c r="B22" s="2439"/>
      <c r="C22" s="2440"/>
      <c r="D22" s="790" t="e">
        <f ca="1">IF(C19&lt;D19,D19/C19-1,C19/D19-1)</f>
        <v>#DIV/0!</v>
      </c>
      <c r="E22" s="137"/>
      <c r="F22" s="137"/>
      <c r="G22" s="137"/>
      <c r="H22" s="137"/>
      <c r="I22" s="137"/>
    </row>
    <row r="23" spans="1:35" ht="13.5" thickBot="1">
      <c r="A23" s="2417"/>
      <c r="B23" s="2417"/>
      <c r="C23" s="2417"/>
      <c r="D23" s="2417"/>
      <c r="E23" s="137"/>
      <c r="F23" s="137"/>
      <c r="G23" s="137"/>
      <c r="H23" s="137"/>
      <c r="I23" s="137"/>
    </row>
    <row r="24" spans="1:35" ht="14.25">
      <c r="A24" s="3130" t="s">
        <v>2153</v>
      </c>
      <c r="B24" s="2434" t="s">
        <v>2145</v>
      </c>
      <c r="C24" s="144">
        <f>IF(B30=0,0,D30)</f>
        <v>0</v>
      </c>
      <c r="D24" s="2441"/>
      <c r="E24" s="137"/>
      <c r="F24" s="137"/>
      <c r="G24" s="137"/>
      <c r="H24" s="137"/>
      <c r="I24" s="137"/>
    </row>
    <row r="25" spans="1:35" ht="14.25">
      <c r="A25" s="3131"/>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232</v>
      </c>
      <c r="D32" s="2448" t="s">
        <v>2160</v>
      </c>
      <c r="E32" s="137"/>
      <c r="F32" s="137"/>
      <c r="G32" s="137"/>
      <c r="H32" s="137"/>
      <c r="I32" s="137"/>
    </row>
    <row r="33" spans="1:15" ht="15">
      <c r="A33" s="956" t="s">
        <v>2161</v>
      </c>
      <c r="B33" s="2449"/>
      <c r="C33" s="2450"/>
      <c r="D33" s="2451"/>
      <c r="E33" s="2452" t="s">
        <v>2162</v>
      </c>
      <c r="F33" s="2453" t="str">
        <f>IF(D32="楼面单价","取值（单价）","取值（总价）")</f>
        <v>取值（总价）</v>
      </c>
      <c r="G33" s="137"/>
      <c r="H33" s="137"/>
      <c r="I33" s="137"/>
    </row>
    <row r="34" spans="1:15" ht="15">
      <c r="A34" s="2454"/>
      <c r="B34" s="2455"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2164</v>
      </c>
      <c r="F34" s="1735"/>
      <c r="G34" s="137"/>
      <c r="H34" s="137"/>
      <c r="I34" s="137"/>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2"/>
      <c r="G35" s="137"/>
      <c r="H35" s="137"/>
      <c r="I35" s="137"/>
    </row>
    <row r="36" spans="1:15" ht="15.75" thickBot="1">
      <c r="A36" s="3132" t="s">
        <v>2167</v>
      </c>
      <c r="B36" s="2460" t="s">
        <v>2168</v>
      </c>
      <c r="C36" s="153"/>
      <c r="D36" s="2461"/>
      <c r="E36" s="2462"/>
      <c r="F36" s="2463"/>
      <c r="G36" s="137"/>
      <c r="H36" s="137"/>
      <c r="I36" s="137"/>
    </row>
    <row r="37" spans="1:15" ht="15.75" thickBot="1">
      <c r="A37" s="3133"/>
      <c r="B37" s="2266" t="s">
        <v>2169</v>
      </c>
      <c r="C37" s="155"/>
      <c r="D37" s="1391"/>
      <c r="E37" s="1391"/>
      <c r="F37" s="2463"/>
      <c r="G37" s="137"/>
      <c r="H37" s="137"/>
      <c r="I37" s="137"/>
    </row>
    <row r="38" spans="1:15" ht="15.75" thickBot="1">
      <c r="A38" s="3134"/>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5" t="s">
        <v>2181</v>
      </c>
      <c r="B45" s="3136"/>
      <c r="C45" s="3137"/>
      <c r="D45" s="163">
        <f ca="1">ROUND(H101*F45,0)</f>
        <v>232</v>
      </c>
      <c r="E45" s="164" t="s">
        <v>2182</v>
      </c>
      <c r="F45" s="165">
        <v>1</v>
      </c>
      <c r="G45" s="166" t="s">
        <v>2183</v>
      </c>
      <c r="H45" s="137"/>
      <c r="I45" s="137"/>
      <c r="J45" s="3138" t="s">
        <v>2184</v>
      </c>
      <c r="K45" s="3138"/>
      <c r="L45" s="3138"/>
      <c r="M45" s="3138"/>
      <c r="N45" s="3138"/>
      <c r="O45" s="3138"/>
    </row>
    <row r="46" spans="1:15" ht="14.25" customHeight="1">
      <c r="A46" s="3139" t="s">
        <v>2185</v>
      </c>
      <c r="B46" s="3140"/>
      <c r="C46" s="3140"/>
      <c r="D46" s="3140"/>
      <c r="E46" s="3140"/>
      <c r="F46" s="3140"/>
      <c r="G46" s="3141"/>
      <c r="H46" s="2479"/>
      <c r="I46" s="167"/>
      <c r="J46" s="1808">
        <v>1</v>
      </c>
      <c r="K46" s="3138" t="s">
        <v>2186</v>
      </c>
      <c r="L46" s="3138"/>
      <c r="M46" s="3142"/>
      <c r="N46" s="3142"/>
      <c r="O46" s="3142"/>
    </row>
    <row r="47" spans="1:15" ht="12" customHeight="1">
      <c r="A47" s="168" t="s">
        <v>2187</v>
      </c>
      <c r="B47" s="169"/>
      <c r="C47" s="170"/>
      <c r="D47" s="171" t="s">
        <v>2188</v>
      </c>
      <c r="E47" s="24" t="s">
        <v>2189</v>
      </c>
      <c r="F47" s="172" t="s">
        <v>2190</v>
      </c>
      <c r="G47" s="173" t="s">
        <v>2191</v>
      </c>
      <c r="H47" s="2479"/>
      <c r="I47" s="167"/>
      <c r="J47" s="1808">
        <v>2</v>
      </c>
      <c r="K47" s="3138" t="s">
        <v>2192</v>
      </c>
      <c r="L47" s="3138"/>
      <c r="M47" s="3147">
        <f>'数据-取费表'!B2</f>
        <v>43914</v>
      </c>
      <c r="N47" s="3147"/>
      <c r="O47" s="3147"/>
    </row>
    <row r="48" spans="1:15" ht="25.5">
      <c r="A48" s="3148" t="s">
        <v>2193</v>
      </c>
      <c r="B48" s="3149"/>
      <c r="C48" s="3149"/>
      <c r="D48" s="139">
        <f>IF(H48="情况1",0,IF(H48="情况2",D52,IF(H48="情况3",D53,IF(H48="情况4",D54))))</f>
        <v>0</v>
      </c>
      <c r="E48" s="1797" t="str">
        <f>IF(H48="情况4","(销售额-原购置价)×税（费）率","销售额×税（费）率")</f>
        <v>销售额×税（费）率</v>
      </c>
      <c r="F48" s="174" t="str">
        <f>IF(H48="情况1","免征",'数据-取费表'!B41)</f>
        <v>免征</v>
      </c>
      <c r="G48" s="2480" t="s">
        <v>2194</v>
      </c>
      <c r="H48" s="2481" t="s">
        <v>2195</v>
      </c>
      <c r="I48" s="2479"/>
      <c r="J48" s="1808">
        <v>3</v>
      </c>
      <c r="K48" s="3138" t="s">
        <v>2196</v>
      </c>
      <c r="L48" s="3138"/>
      <c r="M48" s="3150">
        <f ca="1">H101</f>
        <v>232</v>
      </c>
      <c r="N48" s="3150"/>
      <c r="O48" s="3150"/>
    </row>
    <row r="49" spans="1:35" ht="25.5" customHeight="1">
      <c r="A49" s="175" t="s">
        <v>2197</v>
      </c>
      <c r="B49" s="3151" t="s">
        <v>2198</v>
      </c>
      <c r="C49" s="3151"/>
      <c r="D49" s="176">
        <v>0</v>
      </c>
      <c r="E49" s="23" t="s">
        <v>2199</v>
      </c>
      <c r="F49" s="28" t="s">
        <v>34</v>
      </c>
      <c r="G49" s="3152"/>
      <c r="H49" s="137"/>
      <c r="I49" s="2482"/>
      <c r="J49" s="1808">
        <v>4</v>
      </c>
      <c r="K49" s="3138" t="str">
        <f>IF(项目基本情况!E8="房地产抵押价值","房地产抵押价值","抵押担保权已注销时的房地产抵押价值")</f>
        <v>房地产抵押价值</v>
      </c>
      <c r="L49" s="3138"/>
      <c r="M49" s="3150">
        <f ca="1">IF(项目基本情况!E8="房地产抵押价值",H107,H109)</f>
        <v>232</v>
      </c>
      <c r="N49" s="3150"/>
      <c r="O49" s="3150"/>
    </row>
    <row r="50" spans="1:35" ht="25.5" customHeight="1">
      <c r="A50" s="177"/>
      <c r="B50" s="3151" t="s">
        <v>2200</v>
      </c>
      <c r="C50" s="3151"/>
      <c r="D50" s="178"/>
      <c r="E50" s="31"/>
      <c r="F50" s="179"/>
      <c r="G50" s="3153"/>
      <c r="H50" s="137"/>
      <c r="I50" s="2482"/>
      <c r="J50" s="3138" t="s">
        <v>2201</v>
      </c>
      <c r="K50" s="3138"/>
      <c r="L50" s="3138"/>
      <c r="M50" s="3138"/>
      <c r="N50" s="3138"/>
      <c r="O50" s="3138"/>
    </row>
    <row r="51" spans="1:35" ht="12" customHeight="1">
      <c r="A51" s="180"/>
      <c r="B51" s="3151" t="s">
        <v>2202</v>
      </c>
      <c r="C51" s="3151"/>
      <c r="D51" s="181"/>
      <c r="E51" s="30"/>
      <c r="F51" s="179"/>
      <c r="G51" s="3154"/>
      <c r="H51" s="137"/>
      <c r="I51" s="2482"/>
      <c r="J51" s="2483" t="s">
        <v>2203</v>
      </c>
      <c r="K51" s="3138" t="s">
        <v>2204</v>
      </c>
      <c r="L51" s="3138"/>
      <c r="M51" s="2483" t="s">
        <v>2205</v>
      </c>
      <c r="N51" s="2483" t="s">
        <v>2206</v>
      </c>
      <c r="O51" s="2483" t="s">
        <v>2207</v>
      </c>
    </row>
    <row r="52" spans="1:35" ht="24" customHeight="1">
      <c r="A52" s="182" t="s">
        <v>2208</v>
      </c>
      <c r="B52" s="3151" t="s">
        <v>2209</v>
      </c>
      <c r="C52" s="3151"/>
      <c r="D52" s="181">
        <f ca="1">ROUND(D45*'数据-取费表'!B41/(1+'数据-取费表'!C42),0)</f>
        <v>12</v>
      </c>
      <c r="E52" s="11" t="s">
        <v>2210</v>
      </c>
      <c r="F52" s="183">
        <f>'数据-取费表'!B41</f>
        <v>5.5000000000000007E-2</v>
      </c>
      <c r="G52" s="2484"/>
      <c r="H52" s="137"/>
      <c r="I52" s="2482"/>
      <c r="J52" s="1808">
        <v>1</v>
      </c>
      <c r="K52" s="3157" t="s">
        <v>2211</v>
      </c>
      <c r="L52" s="3157"/>
      <c r="M52" s="1750">
        <f>D48</f>
        <v>0</v>
      </c>
      <c r="N52" s="1808" t="str">
        <f>E48</f>
        <v>销售额×税（费）率</v>
      </c>
      <c r="O52" s="1751" t="str">
        <f>F48</f>
        <v>免征</v>
      </c>
    </row>
    <row r="53" spans="1:35" ht="12" customHeight="1">
      <c r="A53" s="182" t="s">
        <v>2212</v>
      </c>
      <c r="B53" s="3155" t="s">
        <v>2213</v>
      </c>
      <c r="C53" s="3156"/>
      <c r="D53" s="181">
        <f ca="1">ROUND(D45*'数据-取费表'!B41/(1+'数据-取费表'!C42),0)</f>
        <v>12</v>
      </c>
      <c r="E53" s="11" t="s">
        <v>2210</v>
      </c>
      <c r="F53" s="183">
        <f>'数据-取费表'!B41</f>
        <v>5.5000000000000007E-2</v>
      </c>
      <c r="G53" s="2484"/>
      <c r="H53" s="137"/>
      <c r="I53" s="2482"/>
      <c r="J53" s="1808">
        <v>2</v>
      </c>
      <c r="K53" s="3157" t="s">
        <v>2214</v>
      </c>
      <c r="L53" s="3157"/>
      <c r="M53" s="1750">
        <f t="shared" ref="M53:O54" ca="1" si="0">D55</f>
        <v>0</v>
      </c>
      <c r="N53" s="1808" t="str">
        <f t="shared" si="0"/>
        <v>销售额×税（费）率</v>
      </c>
      <c r="O53" s="1751">
        <f t="shared" si="0"/>
        <v>5.0000000000000001E-4</v>
      </c>
    </row>
    <row r="54" spans="1:35" ht="12" customHeight="1">
      <c r="A54" s="182" t="s">
        <v>2215</v>
      </c>
      <c r="B54" s="3155" t="s">
        <v>2216</v>
      </c>
      <c r="C54" s="3156"/>
      <c r="D54" s="181">
        <f ca="1">C68</f>
        <v>12</v>
      </c>
      <c r="E54" s="30" t="s">
        <v>2217</v>
      </c>
      <c r="F54" s="183">
        <f>'数据-取费表'!B41</f>
        <v>5.5000000000000007E-2</v>
      </c>
      <c r="G54" s="2484"/>
      <c r="H54" s="2485"/>
      <c r="I54" s="2482"/>
      <c r="J54" s="1808">
        <v>3</v>
      </c>
      <c r="K54" s="3157" t="s">
        <v>2218</v>
      </c>
      <c r="L54" s="3157"/>
      <c r="M54" s="1750">
        <f t="shared" ca="1" si="0"/>
        <v>132</v>
      </c>
      <c r="N54" s="1808" t="str">
        <f t="shared" si="0"/>
        <v>增值额×税（费）率</v>
      </c>
      <c r="O54" s="1752" t="str">
        <f t="shared" si="0"/>
        <v>——</v>
      </c>
    </row>
    <row r="55" spans="1:35" ht="24" customHeight="1">
      <c r="A55" s="3158" t="s">
        <v>2219</v>
      </c>
      <c r="B55" s="3149"/>
      <c r="C55" s="3149"/>
      <c r="D55" s="184">
        <f ca="1">IF(H55="个人住宅",0,ROUND(D45*I55,0))</f>
        <v>0</v>
      </c>
      <c r="E55" s="11" t="s">
        <v>2220</v>
      </c>
      <c r="F55" s="183">
        <f>IF(H55="正常",I55,"免征")</f>
        <v>5.0000000000000001E-4</v>
      </c>
      <c r="G55" s="2484"/>
      <c r="H55" s="2481" t="s">
        <v>2221</v>
      </c>
      <c r="I55" s="185">
        <f>'数据-取费表'!B49</f>
        <v>5.0000000000000001E-4</v>
      </c>
      <c r="J55" s="1808" t="str">
        <f>IF(H59="非个人房产","",4)</f>
        <v/>
      </c>
      <c r="K55" s="3157" t="str">
        <f>IF(H59="非个人房产","——","个人所得税")</f>
        <v>——</v>
      </c>
      <c r="L55" s="3157"/>
      <c r="M55" s="1753" t="str">
        <f>D59</f>
        <v>——</v>
      </c>
      <c r="N55" s="1806" t="str">
        <f>E59</f>
        <v>——</v>
      </c>
      <c r="O55" s="1754" t="str">
        <f>F59</f>
        <v>——</v>
      </c>
    </row>
    <row r="56" spans="1:35" ht="24.75">
      <c r="A56" s="3158" t="s">
        <v>2222</v>
      </c>
      <c r="B56" s="3149"/>
      <c r="C56" s="3149"/>
      <c r="D56" s="184">
        <f ca="1">IF(H56="个人住宅",D57,D58)</f>
        <v>132</v>
      </c>
      <c r="E56" s="11" t="s">
        <v>2223</v>
      </c>
      <c r="F56" s="183" t="str">
        <f>IF(H56="正常",F58,"免征")</f>
        <v>——</v>
      </c>
      <c r="G56" s="2486" t="s">
        <v>2224</v>
      </c>
      <c r="H56" s="2487" t="s">
        <v>2221</v>
      </c>
      <c r="I56" s="2488"/>
      <c r="J56" s="1808" t="str">
        <f>IF(项目基本情况!K6="上海银行",IF(J55="",4,J55+1),"")</f>
        <v/>
      </c>
      <c r="K56" s="3159" t="str">
        <f>IF(项目基本情况!K6="上海银行","其他处置费用","")</f>
        <v/>
      </c>
      <c r="L56" s="3160"/>
      <c r="M56" s="1750" t="str">
        <f>IF(项目基本情况!K6="上海银行",M69,"")</f>
        <v/>
      </c>
      <c r="N56" s="3167" t="str">
        <f>IF(项目基本情况!K6="上海银行","包含处置中涉及的律师、诉讼、拍卖、评估等费用","")</f>
        <v/>
      </c>
      <c r="O56" s="3168"/>
    </row>
    <row r="57" spans="1:35" ht="12.75">
      <c r="A57" s="182" t="s">
        <v>2197</v>
      </c>
      <c r="B57" s="3126" t="s">
        <v>2225</v>
      </c>
      <c r="C57" s="3128"/>
      <c r="D57" s="186">
        <v>0</v>
      </c>
      <c r="E57" s="23" t="s">
        <v>2199</v>
      </c>
      <c r="F57" s="154"/>
      <c r="G57" s="2484"/>
      <c r="H57" s="2488"/>
      <c r="I57" s="2488"/>
      <c r="J57" s="3157">
        <f>IF(AND(J55="",J56=""),4,IF(项目基本情况!K6="上海银行",'结果表（1）'!J56+1,'结果表（1）'!J55+1))</f>
        <v>4</v>
      </c>
      <c r="K57" s="3157" t="s">
        <v>2226</v>
      </c>
      <c r="L57" s="2489" t="s">
        <v>2227</v>
      </c>
      <c r="M57" s="1755"/>
      <c r="N57" s="1756">
        <f ca="1">SUMIF(M52:M56,"&lt;9e307")</f>
        <v>132</v>
      </c>
      <c r="O57" s="2490"/>
      <c r="P57" s="1749">
        <f ca="1">N57/M49</f>
        <v>0.56896551724137934</v>
      </c>
    </row>
    <row r="58" spans="1:35" ht="24.75">
      <c r="A58" s="182" t="s">
        <v>2208</v>
      </c>
      <c r="B58" s="3126" t="s">
        <v>2228</v>
      </c>
      <c r="C58" s="3127"/>
      <c r="D58" s="184">
        <f ca="1">IF(H58="转让取得",C81,C97)</f>
        <v>132</v>
      </c>
      <c r="E58" s="11" t="s">
        <v>2223</v>
      </c>
      <c r="F58" s="24" t="s">
        <v>34</v>
      </c>
      <c r="G58" s="2484"/>
      <c r="H58" s="2487" t="s">
        <v>2229</v>
      </c>
      <c r="I58" s="2488"/>
      <c r="J58" s="3157"/>
      <c r="K58" s="3157"/>
      <c r="L58" s="2489" t="s">
        <v>2230</v>
      </c>
      <c r="M58" s="1757"/>
      <c r="N58" s="2491" t="str">
        <f ca="1">NUMBERSTRING(INT(N57*10000),2)&amp;"元整"</f>
        <v>壹佰叁拾贰万元整</v>
      </c>
      <c r="O58" s="2492"/>
    </row>
    <row r="59" spans="1:35" ht="24.75" thickBot="1">
      <c r="A59" s="3169" t="s">
        <v>2231</v>
      </c>
      <c r="B59" s="3170"/>
      <c r="C59" s="3170"/>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171">
        <f>J57+1</f>
        <v>5</v>
      </c>
      <c r="K59" s="3157" t="s">
        <v>2233</v>
      </c>
      <c r="L59" s="1808" t="s">
        <v>2227</v>
      </c>
      <c r="M59" s="1758"/>
      <c r="N59" s="1759">
        <f ca="1">M49-N57</f>
        <v>100</v>
      </c>
      <c r="O59" s="2494"/>
    </row>
    <row r="60" spans="1:35" ht="12" customHeight="1">
      <c r="A60" s="2495"/>
      <c r="B60" s="2417"/>
      <c r="C60" s="2417"/>
      <c r="D60" s="2417"/>
      <c r="E60" s="2165"/>
      <c r="F60" s="2488"/>
      <c r="G60" s="2488"/>
      <c r="H60" s="2496"/>
      <c r="I60" s="137"/>
      <c r="J60" s="3172"/>
      <c r="K60" s="3157"/>
      <c r="L60" s="2489" t="s">
        <v>2230</v>
      </c>
      <c r="M60" s="1757"/>
      <c r="N60" s="2491" t="str">
        <f ca="1">NUMBERSTRING(INT(N59*10000),2)&amp;"元整"</f>
        <v>壹佰万元整</v>
      </c>
      <c r="O60" s="2492"/>
    </row>
    <row r="61" spans="1:35" ht="13.5" thickBot="1">
      <c r="A61" s="3161" t="s">
        <v>2234</v>
      </c>
      <c r="B61" s="3161"/>
      <c r="C61" s="3161"/>
      <c r="D61" s="3161"/>
      <c r="E61" s="3161"/>
      <c r="F61" s="2488"/>
      <c r="G61" s="2488"/>
      <c r="H61" s="2496"/>
      <c r="I61" s="137"/>
      <c r="J61" s="1808">
        <f>J59+1</f>
        <v>6</v>
      </c>
      <c r="K61" s="3157" t="s">
        <v>2235</v>
      </c>
      <c r="L61" s="3157"/>
      <c r="M61" s="1760"/>
      <c r="N61" s="1761">
        <f ca="1">ROUND(N59*10000/'数据-汇总表'!E3,0)</f>
        <v>1411</v>
      </c>
      <c r="O61" s="2497"/>
    </row>
    <row r="62" spans="1:35" ht="12.75">
      <c r="A62" s="3162" t="s">
        <v>2236</v>
      </c>
      <c r="B62" s="3163"/>
      <c r="C62" s="1800"/>
      <c r="D62" s="1800" t="s">
        <v>2237</v>
      </c>
      <c r="E62" s="191" t="s">
        <v>2238</v>
      </c>
      <c r="F62" s="2488"/>
      <c r="G62" s="2488"/>
      <c r="H62" s="2496"/>
      <c r="I62" s="137"/>
    </row>
    <row r="63" spans="1:35" ht="12.75">
      <c r="A63" s="202" t="s">
        <v>775</v>
      </c>
      <c r="B63" s="192" t="s">
        <v>2239</v>
      </c>
      <c r="C63" s="193">
        <f ca="1">ROUND((C64+C65)/(1+'数据-取费表'!C42),0)</f>
        <v>221</v>
      </c>
      <c r="D63" s="194"/>
      <c r="E63" s="195"/>
      <c r="F63" s="2488"/>
      <c r="G63" s="2488"/>
      <c r="H63" s="2496"/>
      <c r="I63" s="137"/>
      <c r="J63" s="3164" t="s">
        <v>2240</v>
      </c>
      <c r="K63" s="2498" t="s">
        <v>2241</v>
      </c>
      <c r="L63" s="1748">
        <f ca="1">IF(M49&gt;10000,M49*0.5%,IF(AND(M49&gt;1000,M49&lt;=10000),M49*1%,IF(AND(M49&gt;100,M49&lt;=1000),M49*3%,IF(AND(M49&gt;10,M49&lt;=100),M49*5%,M49*8%))))</f>
        <v>6.96</v>
      </c>
      <c r="M63" s="24">
        <f ca="1">ROUND(L63,1)</f>
        <v>7</v>
      </c>
      <c r="Z63" s="2422"/>
      <c r="AI63" s="2423"/>
    </row>
    <row r="64" spans="1:35" ht="14.25" customHeight="1">
      <c r="A64" s="196" t="s">
        <v>770</v>
      </c>
      <c r="B64" s="197" t="s">
        <v>2242</v>
      </c>
      <c r="C64" s="198">
        <f ca="1">D45</f>
        <v>232</v>
      </c>
      <c r="D64" s="199" t="s">
        <v>32</v>
      </c>
      <c r="E64" s="200"/>
      <c r="F64" s="2488"/>
      <c r="G64" s="2488"/>
      <c r="H64" s="2496"/>
      <c r="I64" s="137"/>
      <c r="J64" s="3164"/>
      <c r="K64" s="2498" t="s">
        <v>2243</v>
      </c>
      <c r="L64" s="1748">
        <f ca="1">IF(M49&gt;2000,M49*0.5%,IF(AND(M49&gt;1000,M49&lt;=2000),M49*0.6%,IF(AND(M49&gt;500,M49&lt;=1000),M49*0.7%,IF(AND(M49&gt;200,M49&lt;=500),M49*0.8%,IF(AND(M49&gt;100,M49&lt;=200),M49*0.9%,IF(AND(M49&gt;50,M49&lt;=100),M49*1%,IF(AND(M49&gt;20,M49&lt;=50),M49*1.5%,IF(AND(M49&gt;10,M49&lt;=20),M49*2%,IF(AND(M49&gt;1,M49&lt;=10),M49*2.5%)))))))))</f>
        <v>1.8560000000000001</v>
      </c>
      <c r="M64" s="24">
        <f t="shared" ref="M64:M65" ca="1" si="1">ROUND(L64,1)</f>
        <v>1.9</v>
      </c>
      <c r="N64" s="137" t="s">
        <v>2244</v>
      </c>
      <c r="Z64" s="2422"/>
      <c r="AI64" s="2423"/>
    </row>
    <row r="65" spans="1:35" ht="14.25" customHeight="1">
      <c r="A65" s="196" t="s">
        <v>771</v>
      </c>
      <c r="B65" s="197" t="s">
        <v>2245</v>
      </c>
      <c r="C65" s="201"/>
      <c r="D65" s="199"/>
      <c r="E65" s="200"/>
      <c r="F65" s="2488"/>
      <c r="G65" s="2488"/>
      <c r="H65" s="2496"/>
      <c r="I65" s="137"/>
      <c r="J65" s="3164"/>
      <c r="K65" s="2498" t="s">
        <v>2246</v>
      </c>
      <c r="L65" s="1748">
        <f ca="1">IF(M49&gt;1000,M49*0.1%,IF(AND(M49&gt;500,M49&lt;=1000),M49*0.5%,IF(AND(M49&gt;50,M49&lt;=500),M49*1%,IF(AND(M49&gt;1,M49&lt;=50),M49*1.5%))))</f>
        <v>2.3199999999999998</v>
      </c>
      <c r="M65" s="24">
        <f t="shared" ca="1" si="1"/>
        <v>2.2999999999999998</v>
      </c>
      <c r="N65" s="137" t="s">
        <v>2244</v>
      </c>
      <c r="Z65" s="2422"/>
      <c r="AI65" s="2423"/>
    </row>
    <row r="66" spans="1:35" ht="14.25" customHeight="1">
      <c r="A66" s="202" t="s">
        <v>772</v>
      </c>
      <c r="B66" s="203" t="s">
        <v>2247</v>
      </c>
      <c r="C66" s="204"/>
      <c r="D66" s="205" t="s">
        <v>32</v>
      </c>
      <c r="E66" s="1772" t="s">
        <v>1366</v>
      </c>
      <c r="F66" s="2488"/>
      <c r="G66" s="2488"/>
      <c r="H66" s="2496"/>
      <c r="I66" s="137"/>
      <c r="J66" s="3164"/>
      <c r="K66" s="2498" t="s">
        <v>2248</v>
      </c>
      <c r="L66" s="1748">
        <f ca="1">M49*0.5%</f>
        <v>1.1599999999999999</v>
      </c>
      <c r="M66" s="24">
        <f ca="1">IF(L66&gt;0.5,0.5,ROUND(L66,0))</f>
        <v>0.5</v>
      </c>
      <c r="N66" s="137" t="s">
        <v>2249</v>
      </c>
      <c r="Z66" s="2422"/>
      <c r="AI66" s="2423"/>
    </row>
    <row r="67" spans="1:35" ht="14.25" customHeight="1">
      <c r="A67" s="202" t="s">
        <v>773</v>
      </c>
      <c r="B67" s="203" t="s">
        <v>2250</v>
      </c>
      <c r="C67" s="206">
        <f ca="1">C63-C66</f>
        <v>221</v>
      </c>
      <c r="D67" s="199" t="s">
        <v>32</v>
      </c>
      <c r="E67" s="200"/>
      <c r="F67" s="2488"/>
      <c r="G67" s="2488"/>
      <c r="H67" s="2496"/>
      <c r="I67" s="137"/>
      <c r="J67" s="3164"/>
      <c r="K67" s="2498" t="s">
        <v>2251</v>
      </c>
      <c r="L67" s="1748">
        <f ca="1">IF(M49&gt;=10000,(8.25+(M49-10000)*0.01%),IF(AND(M49&gt;=8000,M49&lt;10000),(7.85+(M49-8000)*0.02%),IF(AND(M49&gt;=5000,M49&lt;8000),(6.65+(M49-5000)*0.04%),IF(AND(M49&gt;=2000,M49&lt;5000),(4.25+(PM49-2000)*0.08%),IF(AND(M49&gt;=1000,M49&lt;2000),(2.75+(M49-1000)*0.15%),IF(AND(M49&gt;=100,M49&lt;1000),(0.5+(M49-100)*0.25%),IF(AND(M49&gt;0,M49&lt;100),M49*0.5%)))))))</f>
        <v>0.83000000000000007</v>
      </c>
      <c r="M67" s="24">
        <f ca="1">ROUND(L67*0.9,1)</f>
        <v>0.7</v>
      </c>
      <c r="Z67" s="2422"/>
      <c r="AI67" s="2423"/>
    </row>
    <row r="68" spans="1:35" ht="14.25" customHeight="1" thickBot="1">
      <c r="A68" s="207" t="s">
        <v>774</v>
      </c>
      <c r="B68" s="208" t="s">
        <v>2252</v>
      </c>
      <c r="C68" s="209">
        <f ca="1">IF(C67&lt;=0,0,ROUND(C67*D68,0))</f>
        <v>12</v>
      </c>
      <c r="D68" s="210">
        <f>'数据-取费表'!B41</f>
        <v>5.5000000000000007E-2</v>
      </c>
      <c r="E68" s="211"/>
      <c r="F68" s="2488"/>
      <c r="G68" s="2488"/>
      <c r="H68" s="2496"/>
      <c r="I68" s="137"/>
      <c r="J68" s="3164"/>
      <c r="K68" s="2498" t="s">
        <v>2253</v>
      </c>
      <c r="L68" s="1748">
        <f ca="1">IF(M49&gt;10000,M49*0.5%,IF(AND(M49&gt;5000,M49&lt;=10000),M49*1%,IF(AND(M49&gt;1000,M49&lt;=5000),M49*2%,IF(AND(M49&gt;200,M49&lt;=1000),M49*3%,M49*5%))))</f>
        <v>6.96</v>
      </c>
      <c r="M68" s="24">
        <f ca="1">ROUND(L68,1)</f>
        <v>7</v>
      </c>
      <c r="Z68" s="2422"/>
      <c r="AI68" s="2423"/>
    </row>
    <row r="69" spans="1:35" s="2445" customFormat="1" ht="16.5" customHeight="1">
      <c r="A69" s="2499"/>
      <c r="B69" s="2500"/>
      <c r="C69" s="2501"/>
      <c r="D69" s="2502"/>
      <c r="E69" s="2503"/>
      <c r="F69" s="2165"/>
      <c r="G69" s="2165"/>
      <c r="H69" s="2164"/>
      <c r="I69" s="2417"/>
      <c r="J69" s="3164"/>
      <c r="K69" s="2498" t="s">
        <v>2254</v>
      </c>
      <c r="L69" s="2504"/>
      <c r="M69" s="24">
        <f ca="1">ROUND(SUM(M63:M68),0)</f>
        <v>19</v>
      </c>
      <c r="N69" s="1749">
        <f ca="1">M69/M49</f>
        <v>8.1896551724137928E-2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65" t="s">
        <v>2255</v>
      </c>
      <c r="B70" s="3166"/>
      <c r="C70" s="3166"/>
      <c r="D70" s="3166"/>
      <c r="E70" s="3166"/>
      <c r="F70" s="3166"/>
      <c r="G70" s="3166"/>
      <c r="H70" s="316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2" t="s">
        <v>2236</v>
      </c>
      <c r="B71" s="3163"/>
      <c r="C71" s="1800"/>
      <c r="D71" s="1800"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221</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1</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55" t="s">
        <v>2264</v>
      </c>
      <c r="F76" s="3151"/>
      <c r="G76" s="3151"/>
      <c r="H76" s="318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1</v>
      </c>
      <c r="D78" s="225">
        <f>'数据-取费表'!B43</f>
        <v>5.000000000000001E-3</v>
      </c>
      <c r="E78" s="3173" t="s">
        <v>2269</v>
      </c>
      <c r="F78" s="3174"/>
      <c r="G78" s="3174"/>
      <c r="H78" s="31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220</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220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5" t="s">
        <v>2273</v>
      </c>
      <c r="B83" s="3166"/>
      <c r="C83" s="3166"/>
      <c r="D83" s="3166"/>
      <c r="E83" s="3166"/>
      <c r="F83" s="3166"/>
      <c r="G83" s="3166"/>
      <c r="H83" s="316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2" t="s">
        <v>2236</v>
      </c>
      <c r="B84" s="3163"/>
      <c r="C84" s="1800"/>
      <c r="D84" s="1800"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221</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1</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c r="D88" s="225"/>
      <c r="E88" s="236" t="s">
        <v>2276</v>
      </c>
      <c r="F88" s="1796"/>
      <c r="G88" s="237"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0</v>
      </c>
      <c r="D89" s="225">
        <f>'数据-取费表'!B48+'数据-取费表'!B49</f>
        <v>3.0499999999999999E-2</v>
      </c>
      <c r="E89" s="236"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IF(H91="——",成本法!C33,I91)</f>
        <v>0</v>
      </c>
      <c r="D91" s="225"/>
      <c r="E91" s="3173" t="s">
        <v>2282</v>
      </c>
      <c r="F91" s="3174"/>
      <c r="G91" s="3174"/>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ROUND((C87+C90+C91)*D92,0)</f>
        <v>0</v>
      </c>
      <c r="D92" s="225">
        <v>0.1</v>
      </c>
      <c r="E92" s="3173" t="s">
        <v>2286</v>
      </c>
      <c r="F92" s="3174"/>
      <c r="G92" s="3174"/>
      <c r="H92" s="31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1</v>
      </c>
      <c r="D93" s="225">
        <f>'数据-取费表'!B43</f>
        <v>5.000000000000001E-3</v>
      </c>
      <c r="E93" s="3173" t="s">
        <v>2269</v>
      </c>
      <c r="F93" s="3174"/>
      <c r="G93" s="3174"/>
      <c r="H93" s="31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ROUND((C87+C90+C91)*D94,0)</f>
        <v>0</v>
      </c>
      <c r="D94" s="225">
        <v>0.2</v>
      </c>
      <c r="E94" s="3176" t="s">
        <v>2290</v>
      </c>
      <c r="F94" s="3177"/>
      <c r="G94" s="3177"/>
      <c r="H94" s="317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220</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220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111" t="s">
        <v>2292</v>
      </c>
      <c r="B100" s="3112"/>
      <c r="C100" s="3112"/>
      <c r="D100" s="3179"/>
      <c r="E100" s="3112" t="s">
        <v>2293</v>
      </c>
      <c r="F100" s="3112"/>
      <c r="G100" s="3112"/>
      <c r="H100" s="3179"/>
      <c r="I100" s="137"/>
    </row>
    <row r="101" spans="1:35" ht="18.75" customHeight="1">
      <c r="A101" s="3180" t="s">
        <v>2294</v>
      </c>
      <c r="B101" s="3181"/>
      <c r="C101" s="735" t="str">
        <f>C4</f>
        <v>收益法</v>
      </c>
      <c r="D101" s="736" t="str">
        <f>D4</f>
        <v>比较法-商业</v>
      </c>
      <c r="E101" s="3182" t="s">
        <v>2295</v>
      </c>
      <c r="F101" s="3183"/>
      <c r="G101" s="2519" t="s">
        <v>2296</v>
      </c>
      <c r="H101" s="1044">
        <f ca="1">H118</f>
        <v>232</v>
      </c>
      <c r="I101" s="137"/>
    </row>
    <row r="102" spans="1:35" ht="18.75" customHeight="1">
      <c r="A102" s="3184" t="s">
        <v>2297</v>
      </c>
      <c r="B102" s="2519" t="s">
        <v>2296</v>
      </c>
      <c r="C102" s="735">
        <f ca="1">C19</f>
        <v>581</v>
      </c>
      <c r="D102" s="736">
        <f ca="1">D19</f>
        <v>0</v>
      </c>
      <c r="E102" s="3182"/>
      <c r="F102" s="3183"/>
      <c r="G102" s="2519" t="s">
        <v>2298</v>
      </c>
      <c r="H102" s="370">
        <f ca="1">I118</f>
        <v>3273</v>
      </c>
      <c r="I102" s="137"/>
    </row>
    <row r="103" spans="1:35" ht="42.75" customHeight="1">
      <c r="A103" s="3184"/>
      <c r="B103" s="2519" t="s">
        <v>2298</v>
      </c>
      <c r="C103" s="737">
        <f ca="1">C20</f>
        <v>8197</v>
      </c>
      <c r="D103" s="738">
        <f ca="1">D20</f>
        <v>30077</v>
      </c>
      <c r="E103" s="3185" t="s">
        <v>2299</v>
      </c>
      <c r="F103" s="3186"/>
      <c r="G103" s="2520" t="s">
        <v>2300</v>
      </c>
      <c r="H103" s="1044">
        <f>IF(D36="正常操作",H104+H105+H106,H105+H106)</f>
        <v>0</v>
      </c>
      <c r="I103" s="137"/>
    </row>
    <row r="104" spans="1:35" ht="18.75" customHeight="1">
      <c r="A104" s="3184" t="s">
        <v>2301</v>
      </c>
      <c r="B104" s="2521" t="s">
        <v>2296</v>
      </c>
      <c r="C104" s="739">
        <f ca="1">H118</f>
        <v>232</v>
      </c>
      <c r="D104" s="740"/>
      <c r="E104" s="2266" t="s">
        <v>2302</v>
      </c>
      <c r="F104" s="2257"/>
      <c r="G104" s="2520" t="s">
        <v>2300</v>
      </c>
      <c r="H104" s="1045">
        <f>IF(D36="同一抵押权人同一抵押物续贷",C36&amp;"（未扣减，详见特别提示）",C36)</f>
        <v>0</v>
      </c>
      <c r="I104" s="137"/>
    </row>
    <row r="105" spans="1:35" ht="18.75" customHeight="1" thickBot="1">
      <c r="A105" s="3193"/>
      <c r="B105" s="2522" t="s">
        <v>2298</v>
      </c>
      <c r="C105" s="741">
        <f ca="1">I118</f>
        <v>3273</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194" t="str">
        <f>IF(项目基本情况!E8="已注销","——","3.房地产抵押价值")</f>
        <v>3.房地产抵押价值</v>
      </c>
      <c r="F107" s="3183"/>
      <c r="G107" s="2519" t="s">
        <v>2296</v>
      </c>
      <c r="H107" s="1044">
        <f ca="1">IF(E107="——","——",H101-H103)</f>
        <v>232</v>
      </c>
      <c r="I107" s="137"/>
    </row>
    <row r="108" spans="1:35" ht="18.75" customHeight="1">
      <c r="A108" s="137"/>
      <c r="B108" s="137"/>
      <c r="C108" s="137"/>
      <c r="D108" s="137"/>
      <c r="E108" s="3194"/>
      <c r="F108" s="3183"/>
      <c r="G108" s="2519" t="s">
        <v>2298</v>
      </c>
      <c r="H108" s="370">
        <f ca="1">ROUND(H107*10000/'数据-汇总表'!E3,0)</f>
        <v>3273</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83"/>
      <c r="G109" s="2519" t="s">
        <v>2296</v>
      </c>
      <c r="H109" s="347" t="str">
        <f>IF(E109="——","——",H101-H105-H106)</f>
        <v>——</v>
      </c>
      <c r="I109" s="137"/>
    </row>
    <row r="110" spans="1:35" ht="18.75" customHeight="1">
      <c r="A110" s="137"/>
      <c r="B110" s="137"/>
      <c r="C110" s="137"/>
      <c r="D110" s="137"/>
      <c r="E110" s="3194"/>
      <c r="F110" s="3183"/>
      <c r="G110" s="2519" t="s">
        <v>2298</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4.抵押净值</v>
      </c>
      <c r="F111" s="3196"/>
      <c r="G111" s="2519" t="s">
        <v>2296</v>
      </c>
      <c r="H111" s="1044">
        <f ca="1">IF(E111="——","——",N59)</f>
        <v>100</v>
      </c>
      <c r="I111" s="137"/>
    </row>
    <row r="112" spans="1:35" ht="18.75" customHeight="1" thickBot="1">
      <c r="A112" s="137"/>
      <c r="B112" s="137"/>
      <c r="C112" s="137"/>
      <c r="D112" s="137"/>
      <c r="E112" s="3197"/>
      <c r="F112" s="3198"/>
      <c r="G112" s="2524" t="s">
        <v>2298</v>
      </c>
      <c r="H112" s="789">
        <f ca="1">IF(E111="——","——",N61)</f>
        <v>1411</v>
      </c>
      <c r="I112" s="137"/>
    </row>
    <row r="113" spans="1:11" ht="18.75" customHeight="1">
      <c r="A113" s="137"/>
      <c r="B113" s="137"/>
      <c r="C113" s="137"/>
      <c r="D113" s="137"/>
      <c r="E113" s="3199" t="s">
        <v>2304</v>
      </c>
      <c r="F113" s="3199"/>
      <c r="G113" s="3199"/>
      <c r="H113" s="3199"/>
      <c r="I113" s="137"/>
    </row>
    <row r="114" spans="1:11" ht="3.75" customHeight="1">
      <c r="A114" s="2417"/>
      <c r="B114" s="2417"/>
      <c r="C114" s="2417"/>
      <c r="D114" s="2417"/>
      <c r="E114" s="2495"/>
      <c r="F114" s="2495"/>
      <c r="G114" s="2495"/>
      <c r="H114" s="2495"/>
      <c r="I114" s="2417"/>
    </row>
    <row r="115" spans="1:11" ht="18.75" customHeight="1">
      <c r="A115" s="3200" t="s">
        <v>2306</v>
      </c>
      <c r="B115" s="3201"/>
      <c r="C115" s="3201"/>
      <c r="D115" s="3201"/>
      <c r="E115" s="3201"/>
      <c r="F115" s="3201"/>
      <c r="G115" s="3201"/>
      <c r="H115" s="3201"/>
      <c r="I115" s="3202"/>
    </row>
    <row r="116" spans="1:11" ht="27" customHeight="1">
      <c r="A116" s="3090" t="s">
        <v>2307</v>
      </c>
      <c r="B116" s="3188" t="s">
        <v>2308</v>
      </c>
      <c r="C116" s="3188" t="s">
        <v>2309</v>
      </c>
      <c r="D116" s="3190" t="s">
        <v>2310</v>
      </c>
      <c r="E116" s="3191"/>
      <c r="F116" s="3192" t="s">
        <v>2311</v>
      </c>
      <c r="G116" s="3192"/>
      <c r="H116" s="3090" t="s">
        <v>2312</v>
      </c>
      <c r="I116" s="3090"/>
    </row>
    <row r="117" spans="1:11" ht="18.75" customHeight="1">
      <c r="A117" s="3090"/>
      <c r="B117" s="3189"/>
      <c r="C117" s="3189"/>
      <c r="D117" s="1794" t="s">
        <v>2313</v>
      </c>
      <c r="E117" s="1794" t="s">
        <v>2314</v>
      </c>
      <c r="F117" s="1794" t="s">
        <v>2313</v>
      </c>
      <c r="G117" s="1794" t="s">
        <v>2315</v>
      </c>
      <c r="H117" s="1794" t="s">
        <v>2313</v>
      </c>
      <c r="I117" s="1794" t="s">
        <v>2315</v>
      </c>
    </row>
    <row r="118" spans="1:11" ht="24.75" customHeight="1">
      <c r="A118" s="2525" t="str">
        <f>项目基本情况!S2</f>
        <v>北京市出让国有建设用地使用权及在建建筑物房地产</v>
      </c>
      <c r="B118" s="1794">
        <f>M18</f>
        <v>708.8</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232</v>
      </c>
      <c r="I118" s="1794">
        <f ca="1">ROUND(IF(D32="楼面单价",C32,H118*10000/B118),0)</f>
        <v>3273</v>
      </c>
    </row>
    <row r="119" spans="1:11" ht="18.75" customHeight="1">
      <c r="A119" s="3090" t="s">
        <v>2316</v>
      </c>
      <c r="B119" s="3090"/>
      <c r="C119" s="3090"/>
      <c r="D119" s="3206" t="e">
        <f ca="1">NUMBERSTRING(INT(D118*10000),2)&amp;"元整"</f>
        <v>#REF!</v>
      </c>
      <c r="E119" s="3208"/>
      <c r="F119" s="3206" t="e">
        <f ca="1">NUMBERSTRING(INT(F118*10000),2)&amp;"元整"</f>
        <v>#REF!</v>
      </c>
      <c r="G119" s="3208"/>
      <c r="H119" s="3206" t="str">
        <f ca="1">NUMBERSTRING(INT(H118*10000),2)&amp;"元整"</f>
        <v>贰佰叁拾贰万元整</v>
      </c>
      <c r="I119" s="3208"/>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2" t="str">
        <f>IF(D120=0,"故，本次评估不存在"&amp;A120,"故，本次评估"&amp;A120&amp;"为人民币"&amp;D120&amp;"万元整。")</f>
        <v>故，本次评估不存在估价师知悉的法定优先受偿款</v>
      </c>
    </row>
    <row r="121" spans="1:11" ht="18.75" customHeight="1">
      <c r="A121" s="3203" t="s">
        <v>2316</v>
      </c>
      <c r="B121" s="3204"/>
      <c r="C121" s="3205"/>
      <c r="D121" s="3206" t="str">
        <f>IF(D120=0,"零元整",NUMBERSTRING(INT(D120*10000),2)&amp;"元整")</f>
        <v>零元整</v>
      </c>
      <c r="E121" s="3207"/>
      <c r="F121" s="3207"/>
      <c r="G121" s="3207"/>
      <c r="H121" s="3207"/>
      <c r="I121" s="3208"/>
    </row>
    <row r="122" spans="1:11" ht="18.75" customHeight="1">
      <c r="A122" s="3209" t="str">
        <f>IF(项目基本情况!B9="房地产市场价值","",MID(E107,3,LEN(E107)-2))</f>
        <v>房地产抵押价值</v>
      </c>
      <c r="B122" s="3209"/>
      <c r="C122" s="3209"/>
      <c r="D122" s="3210">
        <f ca="1">H107</f>
        <v>232</v>
      </c>
      <c r="E122" s="3211"/>
      <c r="F122" s="3211"/>
      <c r="G122" s="3211"/>
      <c r="H122" s="3211"/>
      <c r="I122" s="3212"/>
    </row>
    <row r="123" spans="1:11" ht="18.75" customHeight="1">
      <c r="A123" s="3090" t="s">
        <v>2316</v>
      </c>
      <c r="B123" s="3090"/>
      <c r="C123" s="3090"/>
      <c r="D123" s="3206" t="str">
        <f ca="1">NUMBERSTRING(INT(D122*10000),2)&amp;"元整"</f>
        <v>贰佰叁拾贰万元整</v>
      </c>
      <c r="E123" s="3207"/>
      <c r="F123" s="3207"/>
      <c r="G123" s="3207"/>
      <c r="H123" s="3207"/>
      <c r="I123" s="3208"/>
    </row>
    <row r="124" spans="1:11" ht="18.75" customHeight="1">
      <c r="A124" s="3209" t="str">
        <f>IF(项目基本情况!B9="房地产市场价值","",MID(E109,3,LEN(E109)-2))</f>
        <v/>
      </c>
      <c r="B124" s="3209"/>
      <c r="C124" s="3209"/>
      <c r="D124" s="3210" t="str">
        <f>H109</f>
        <v>——</v>
      </c>
      <c r="E124" s="3211"/>
      <c r="F124" s="3211"/>
      <c r="G124" s="3211"/>
      <c r="H124" s="3211"/>
      <c r="I124" s="3212"/>
    </row>
    <row r="125" spans="1:11" ht="18.75" customHeight="1">
      <c r="A125" s="3090" t="s">
        <v>2316</v>
      </c>
      <c r="B125" s="3090"/>
      <c r="C125" s="3090"/>
      <c r="D125" s="3206" t="e">
        <f>NUMBERSTRING(INT(D124*10000),2)&amp;"元整"</f>
        <v>#VALUE!</v>
      </c>
      <c r="E125" s="3207"/>
      <c r="F125" s="3207"/>
      <c r="G125" s="3207"/>
      <c r="H125" s="3207"/>
      <c r="I125" s="3208"/>
    </row>
    <row r="126" spans="1:11" ht="18.75" customHeight="1">
      <c r="A126" s="3209" t="str">
        <f>IF(项目基本情况!B9="房地产市场价值","",MID(E111,3,LEN(E111)-2))</f>
        <v>抵押净值</v>
      </c>
      <c r="B126" s="3209"/>
      <c r="C126" s="3209"/>
      <c r="D126" s="3210">
        <f ca="1">H111</f>
        <v>100</v>
      </c>
      <c r="E126" s="3211"/>
      <c r="F126" s="3211"/>
      <c r="G126" s="3211"/>
      <c r="H126" s="3211"/>
      <c r="I126" s="3212"/>
    </row>
    <row r="127" spans="1:11" ht="18.75" customHeight="1">
      <c r="A127" s="3090" t="s">
        <v>2316</v>
      </c>
      <c r="B127" s="3090"/>
      <c r="C127" s="3090"/>
      <c r="D127" s="3206" t="str">
        <f ca="1">NUMBERSTRING(INT(D126*10000),2)&amp;"元整"</f>
        <v>壹佰万元整</v>
      </c>
      <c r="E127" s="3207"/>
      <c r="F127" s="3207"/>
      <c r="G127" s="3207"/>
      <c r="H127" s="3207"/>
      <c r="I127" s="3208"/>
    </row>
    <row r="128" spans="1:11" ht="21.75" customHeight="1">
      <c r="A128" s="3213" t="s">
        <v>2317</v>
      </c>
      <c r="B128" s="3213"/>
      <c r="C128" s="3213"/>
      <c r="D128" s="3213"/>
      <c r="E128" s="3213"/>
      <c r="F128" s="3213"/>
      <c r="G128" s="3213"/>
      <c r="H128" s="3213"/>
      <c r="I128" s="321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4" t="str">
        <f>项目基本情况!B1</f>
        <v>北京市出让国有建设用地使用权及在建建筑物房地产抵押价值预评估</v>
      </c>
      <c r="C37" s="3024"/>
      <c r="D37" s="3024"/>
      <c r="E37" s="3024"/>
      <c r="F37" s="3024"/>
      <c r="G37" s="3024"/>
      <c r="H37" s="3024"/>
      <c r="I37" s="3024"/>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5"/>
      <c r="C1" s="241"/>
      <c r="D1" s="241"/>
      <c r="E1" s="241"/>
      <c r="F1" s="241"/>
      <c r="G1" s="1378">
        <f>MATCH(B1,'数据-取费表'!A6:A16,0)+5</f>
        <v>8</v>
      </c>
    </row>
    <row r="2" spans="1:9" s="243" customFormat="1" ht="18" customHeight="1">
      <c r="A2" s="244" t="s">
        <v>2326</v>
      </c>
      <c r="B2" s="245">
        <f ca="1">IF(D2="——",C52,C52-E2)</f>
        <v>320</v>
      </c>
      <c r="C2" s="242" t="s">
        <v>2327</v>
      </c>
      <c r="D2" s="2548" t="s">
        <v>70</v>
      </c>
      <c r="E2" s="1439" t="e">
        <f ca="1">SUMIF(INDIRECT("'"&amp;G2&amp;"'"&amp;"!A:A"),"承租人权益价值",INDIRECT("'"&amp;G2&amp;"'"&amp;"!c:c"))</f>
        <v>#REF!</v>
      </c>
      <c r="F2" s="2549" t="s">
        <v>2327</v>
      </c>
      <c r="G2" s="2550"/>
    </row>
    <row r="3" spans="1:9" s="243" customFormat="1" ht="18" customHeight="1" thickBot="1">
      <c r="A3" s="246" t="s">
        <v>2328</v>
      </c>
      <c r="B3" s="247">
        <f ca="1">ROUND(B2*10000/(IF(B1="",'数据-汇总表'!E3,INDIRECT("'数据-取费表'!k"&amp;$G$1))),0)</f>
        <v>4515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8" t="s">
        <v>2336</v>
      </c>
      <c r="B6" s="258" t="s">
        <v>2337</v>
      </c>
      <c r="C6" s="259"/>
      <c r="D6" s="260"/>
      <c r="E6" s="261"/>
      <c r="F6" s="261"/>
      <c r="G6" s="262"/>
    </row>
    <row r="7" spans="1:9" s="257" customFormat="1" ht="13.5" customHeight="1">
      <c r="A7" s="948" t="s">
        <v>2338</v>
      </c>
      <c r="B7" s="258" t="s">
        <v>2339</v>
      </c>
      <c r="C7" s="263">
        <f>ROUND(C6*F7,0)</f>
        <v>0</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51"/>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0</v>
      </c>
      <c r="F9" s="264"/>
      <c r="G9" s="2552"/>
      <c r="H9" s="1389"/>
      <c r="I9" s="2553"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708.8</v>
      </c>
      <c r="E10" s="268">
        <f>'数据-取费表'!B28</f>
        <v>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f ca="1">IF(G19="已包含在土地取得成本中","0",ROUND(D19*E19/10000,0))</f>
        <v>14</v>
      </c>
      <c r="D19" s="1035">
        <f ca="1">D9+D10</f>
        <v>708.8</v>
      </c>
      <c r="E19" s="254">
        <f>'数据-取费表'!B31</f>
        <v>200</v>
      </c>
      <c r="F19" s="274"/>
      <c r="G19" s="2551"/>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3">
        <f ca="1">ROUND(SUM(C23:C25),0)</f>
        <v>1</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4">
        <f ca="1">ROUND(IF('数据-取费表'!B22&lt;=1,C5*F22*'数据-取费表'!B23,C5*(POWER((1+F22),'数据-取费表'!B23)-1)),0)</f>
        <v>0</v>
      </c>
      <c r="D23" s="281"/>
      <c r="E23" s="281"/>
      <c r="F23" s="282"/>
      <c r="G23" s="283" t="s">
        <v>2368</v>
      </c>
    </row>
    <row r="24" spans="1:7" s="257" customFormat="1" ht="13.5" customHeight="1">
      <c r="A24" s="950" t="s">
        <v>2369</v>
      </c>
      <c r="B24" s="258" t="s">
        <v>2370</v>
      </c>
      <c r="C24" s="1354">
        <f ca="1">ROUND(IF('数据-取费表'!B22&lt;=1,C19*F22*('数据-取费表'!B19/2+'数据-取费表'!B21),C19*(POWER((1+F22),('数据-取费表'!B19/2+'数据-取费表'!B21))-1)),0)</f>
        <v>1</v>
      </c>
      <c r="D24" s="281"/>
      <c r="E24" s="281"/>
      <c r="F24" s="282"/>
      <c r="G24" s="283" t="s">
        <v>2371</v>
      </c>
    </row>
    <row r="25" spans="1:7" s="257" customFormat="1" ht="24">
      <c r="A25" s="950" t="s">
        <v>2372</v>
      </c>
      <c r="B25" s="258" t="s">
        <v>2373</v>
      </c>
      <c r="C25" s="1354">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2</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ROUND((C5+C19+C20)*F27*'数据-取费表'!B21/'数据-取费表'!B20,0)</f>
        <v>2</v>
      </c>
      <c r="D28" s="278"/>
      <c r="E28" s="279"/>
      <c r="F28" s="289"/>
      <c r="G28" s="290"/>
    </row>
    <row r="29" spans="1:7" s="257" customFormat="1" ht="13.5" customHeight="1">
      <c r="A29" s="950"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18</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236</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2390</v>
      </c>
    </row>
    <row r="35" spans="1:7" ht="13.5" customHeight="1">
      <c r="A35" s="950" t="s">
        <v>796</v>
      </c>
      <c r="B35" s="258" t="s">
        <v>2391</v>
      </c>
      <c r="C35" s="263">
        <f ca="1">ROUND(C34*F35,0)</f>
        <v>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14</v>
      </c>
      <c r="D37" s="260">
        <f ca="1">D19</f>
        <v>708.8</v>
      </c>
      <c r="E37" s="292">
        <f>'数据-取费表'!B35</f>
        <v>200</v>
      </c>
      <c r="F37" s="302"/>
      <c r="G37" s="304" t="s">
        <v>2396</v>
      </c>
    </row>
    <row r="38" spans="1:7" ht="13.5" customHeight="1">
      <c r="A38" s="950"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5</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11</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11</v>
      </c>
      <c r="D42" s="281"/>
      <c r="E42" s="281"/>
      <c r="F42" s="282"/>
      <c r="G42" s="3214" t="s">
        <v>2408</v>
      </c>
    </row>
    <row r="43" spans="1:7" ht="13.5" customHeight="1">
      <c r="A43" s="950" t="s">
        <v>792</v>
      </c>
      <c r="B43" s="258" t="s">
        <v>2409</v>
      </c>
      <c r="C43" s="281">
        <f ca="1">ROUND(IF('数据-取费表'!B22&lt;=1,C39*F22*'数据-取费表'!B21/2,C39*(POWER((1+F22),'数据-取费表'!B21/2)-1)),0)</f>
        <v>0</v>
      </c>
      <c r="D43" s="281"/>
      <c r="E43" s="281"/>
      <c r="F43" s="282"/>
      <c r="G43" s="3215"/>
    </row>
    <row r="44" spans="1:7" ht="13.5" customHeight="1">
      <c r="A44" s="950" t="s">
        <v>793</v>
      </c>
      <c r="B44" s="258" t="s">
        <v>2410</v>
      </c>
      <c r="C44" s="281">
        <f ca="1">ROUND(IF('数据-取费表'!B22&lt;=1,C40*F22*'数据-取费表'!B21/2,C40*(POWER((1+F22),'数据-取费表'!B21/2)-1)),4)</f>
        <v>1E-3</v>
      </c>
      <c r="D44" s="281"/>
      <c r="E44" s="281"/>
      <c r="F44" s="282"/>
      <c r="G44" s="3216"/>
    </row>
    <row r="45" spans="1:7" s="257" customFormat="1" ht="13.5" customHeight="1">
      <c r="A45" s="298" t="s">
        <v>2411</v>
      </c>
      <c r="B45" s="287" t="s">
        <v>2377</v>
      </c>
      <c r="C45" s="288">
        <f ca="1">C46</f>
        <v>36</v>
      </c>
      <c r="D45" s="278">
        <f ca="1">C47</f>
        <v>3.0000000000000001E-3</v>
      </c>
      <c r="E45" s="279" t="s">
        <v>2403</v>
      </c>
      <c r="F45" s="289"/>
      <c r="G45" s="290" t="s">
        <v>2412</v>
      </c>
    </row>
    <row r="46" spans="1:7" s="257" customFormat="1" ht="13.5" customHeight="1">
      <c r="A46" s="950" t="s">
        <v>791</v>
      </c>
      <c r="B46" s="291" t="s">
        <v>2413</v>
      </c>
      <c r="C46" s="292">
        <f ca="1">ROUND((C33+C39)*F27,0)</f>
        <v>36</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312</v>
      </c>
      <c r="D49" s="275"/>
      <c r="E49" s="275"/>
      <c r="F49" s="307"/>
      <c r="G49" s="277" t="s">
        <v>2418</v>
      </c>
    </row>
    <row r="50" spans="1:7" s="301" customFormat="1" ht="24">
      <c r="A50" s="298" t="s">
        <v>2419</v>
      </c>
      <c r="B50" s="253" t="s">
        <v>2420</v>
      </c>
      <c r="C50" s="275"/>
      <c r="D50" s="275"/>
      <c r="E50" s="275"/>
      <c r="F50" s="307">
        <f>IF('数据-取费表'!B24=0,'数据-取费表'!N16,1)</f>
        <v>0.96699999999999997</v>
      </c>
      <c r="G50" s="290" t="s">
        <v>2421</v>
      </c>
    </row>
    <row r="51" spans="1:7" ht="16.5" customHeight="1">
      <c r="A51" s="298" t="s">
        <v>2422</v>
      </c>
      <c r="B51" s="253" t="s">
        <v>2423</v>
      </c>
      <c r="C51" s="275">
        <f ca="1">ROUND(C49*F50,0)</f>
        <v>302</v>
      </c>
      <c r="D51" s="275"/>
      <c r="E51" s="275"/>
      <c r="F51" s="307"/>
      <c r="G51" s="277" t="s">
        <v>2424</v>
      </c>
    </row>
    <row r="52" spans="1:7" s="251" customFormat="1" ht="16.5" thickBot="1">
      <c r="A52" s="308" t="s">
        <v>2425</v>
      </c>
      <c r="B52" s="309"/>
      <c r="C52" s="310">
        <f ca="1">C31+C51</f>
        <v>320</v>
      </c>
      <c r="D52" s="309"/>
      <c r="E52" s="309"/>
      <c r="F52" s="309"/>
      <c r="G52" s="311"/>
    </row>
    <row r="55" spans="1:7" ht="15">
      <c r="B55" s="313" t="s">
        <v>2426</v>
      </c>
      <c r="C55" s="314"/>
    </row>
    <row r="56" spans="1:7">
      <c r="B56" s="316" t="s">
        <v>1507</v>
      </c>
      <c r="C56" s="318">
        <f ca="1">1-C57</f>
        <v>5.600000000000005E-2</v>
      </c>
    </row>
    <row r="57" spans="1:7">
      <c r="B57" s="316" t="s">
        <v>1508</v>
      </c>
      <c r="C57" s="317">
        <f ca="1">ROUND(C51/C52,3)</f>
        <v>0.94399999999999995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5"/>
      <c r="C1" s="2554" t="s">
        <v>2427</v>
      </c>
      <c r="D1" s="241"/>
      <c r="E1" s="241"/>
      <c r="F1" s="241"/>
      <c r="G1" s="1378">
        <f>MATCH(B1,'数据-取费表'!A6:A16,0)+5</f>
        <v>8</v>
      </c>
      <c r="H1" s="1281" t="str">
        <f>IF(ISERROR(FIND("住宅",B1)),"非住宅","住宅")</f>
        <v>非住宅</v>
      </c>
    </row>
    <row r="2" spans="1:8" s="243" customFormat="1" ht="18" customHeight="1">
      <c r="A2" s="244" t="s">
        <v>2326</v>
      </c>
      <c r="B2" s="245">
        <f ca="1">ROUND(IF(D2="——",C52/10000,C52/10000-E2),0)</f>
        <v>322</v>
      </c>
      <c r="C2" s="242" t="s">
        <v>2327</v>
      </c>
      <c r="D2" s="2548" t="s">
        <v>70</v>
      </c>
      <c r="E2" s="1439" t="e">
        <f ca="1">SUMIF(INDIRECT("'"&amp;G2&amp;"'"&amp;"!A:A"),"承租人权益价值",INDIRECT("'"&amp;G2&amp;"'"&amp;"!c:c"))</f>
        <v>#REF!</v>
      </c>
      <c r="F2" s="2549" t="s">
        <v>2327</v>
      </c>
      <c r="G2" s="2550"/>
    </row>
    <row r="3" spans="1:8" s="243" customFormat="1" ht="18" customHeight="1" thickBot="1">
      <c r="A3" s="246" t="s">
        <v>2328</v>
      </c>
      <c r="B3" s="247">
        <f ca="1">ROUND(B2*10000/(IF(B1="",'数据-汇总表'!E3,INDIRECT("'数据-取费表'!k"&amp;$G$1))),0)</f>
        <v>4543</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0</v>
      </c>
      <c r="D8" s="265"/>
      <c r="E8" s="263"/>
      <c r="F8" s="264"/>
      <c r="G8" s="2551"/>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708.8</v>
      </c>
      <c r="E10" s="268">
        <f>'数据-取费表'!B28</f>
        <v>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141760</v>
      </c>
      <c r="D19" s="1035">
        <f ca="1">D9+D10</f>
        <v>708.8</v>
      </c>
      <c r="E19" s="254">
        <f>'数据-取费表'!B31</f>
        <v>200</v>
      </c>
      <c r="F19" s="274"/>
      <c r="G19" s="2551"/>
    </row>
    <row r="20" spans="1:7" s="257" customFormat="1" ht="13.5" customHeight="1">
      <c r="A20" s="298" t="s">
        <v>2438</v>
      </c>
      <c r="B20" s="253" t="s">
        <v>2439</v>
      </c>
      <c r="C20" s="275">
        <f ca="1">ROUND((C5+C19)*F20,0)</f>
        <v>2835</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9">
        <f ca="1">ROUND(SUM(C23:C25),0)</f>
        <v>13922</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13787</v>
      </c>
      <c r="D24" s="281"/>
      <c r="E24" s="281"/>
      <c r="F24" s="282"/>
      <c r="G24" s="283" t="s">
        <v>2450</v>
      </c>
    </row>
    <row r="25" spans="1:7" s="257" customFormat="1" ht="24">
      <c r="A25" s="950" t="s">
        <v>2340</v>
      </c>
      <c r="B25" s="258" t="s">
        <v>2451</v>
      </c>
      <c r="C25" s="1380">
        <f ca="1">ROUND(IF('数据-取费表'!B22&lt;=1,C20*F22*'数据-取费表'!B22/2,C20*(POWER((1+F22),'数据-取费表'!B22/2)-1)),0)</f>
        <v>135</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21689</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ROUND((C5+C19+C20)*F27,0)</f>
        <v>21689</v>
      </c>
      <c r="D28" s="278"/>
      <c r="E28" s="279"/>
      <c r="F28" s="289"/>
      <c r="G28" s="290"/>
    </row>
    <row r="29" spans="1:7" s="257" customFormat="1" ht="13.5" customHeight="1">
      <c r="A29" s="950"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195113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2363848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2126400</v>
      </c>
      <c r="D34" s="260"/>
      <c r="E34" s="263"/>
      <c r="F34" s="300"/>
      <c r="G34" s="262"/>
    </row>
    <row r="35" spans="1:7" ht="13.5" customHeight="1">
      <c r="A35" s="950" t="s">
        <v>796</v>
      </c>
      <c r="B35" s="258" t="s">
        <v>2391</v>
      </c>
      <c r="C35" s="263">
        <f ca="1">ROUND(C34*F35,0)</f>
        <v>63792</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141760</v>
      </c>
      <c r="D37" s="260">
        <f ca="1">D19</f>
        <v>708.8</v>
      </c>
      <c r="E37" s="292">
        <f>'数据-取费表'!B35</f>
        <v>200</v>
      </c>
      <c r="F37" s="302"/>
      <c r="G37" s="304"/>
    </row>
    <row r="38" spans="1:7" ht="13.5" customHeight="1">
      <c r="A38" s="950" t="s">
        <v>799</v>
      </c>
      <c r="B38" s="258" t="s">
        <v>2397</v>
      </c>
      <c r="C38" s="263">
        <f ca="1">ROUND(C34*F38,0)</f>
        <v>31896</v>
      </c>
      <c r="D38" s="263"/>
      <c r="E38" s="263"/>
      <c r="F38" s="302">
        <f>'数据-取费表'!B36</f>
        <v>1.4999999999999999E-2</v>
      </c>
      <c r="G38" s="262" t="s">
        <v>2392</v>
      </c>
    </row>
    <row r="39" spans="1:7" s="257" customFormat="1" ht="13.5" customHeight="1">
      <c r="A39" s="298" t="s">
        <v>2398</v>
      </c>
      <c r="B39" s="253" t="s">
        <v>2399</v>
      </c>
      <c r="C39" s="275">
        <f ca="1">ROUND(C33*F20,0)</f>
        <v>47277</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114529</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112283</v>
      </c>
      <c r="D42" s="281"/>
      <c r="E42" s="281"/>
      <c r="F42" s="282"/>
      <c r="G42" s="3214" t="s">
        <v>2455</v>
      </c>
    </row>
    <row r="43" spans="1:7" ht="13.5" customHeight="1">
      <c r="A43" s="950" t="s">
        <v>792</v>
      </c>
      <c r="B43" s="258" t="s">
        <v>2409</v>
      </c>
      <c r="C43" s="281">
        <f ca="1">ROUND(IF('数据-取费表'!B22&lt;=1,C39*F22*'数据-取费表'!B20/2,C39*(POWER((1+F22),'数据-取费表'!B20/2)-1)),0)</f>
        <v>2246</v>
      </c>
      <c r="D43" s="281"/>
      <c r="E43" s="281"/>
      <c r="F43" s="282"/>
      <c r="G43" s="3215"/>
    </row>
    <row r="44" spans="1:7" ht="13.5" customHeight="1">
      <c r="A44" s="950" t="s">
        <v>793</v>
      </c>
      <c r="B44" s="258" t="s">
        <v>2410</v>
      </c>
      <c r="C44" s="281">
        <f ca="1">ROUND(IF('数据-取费表'!B22&lt;=1,C40*F22*'数据-取费表'!B20/2,C40*(POWER((1+F22),'数据-取费表'!B20/2)-1)),4)</f>
        <v>1E-3</v>
      </c>
      <c r="D44" s="281"/>
      <c r="E44" s="281"/>
      <c r="F44" s="282"/>
      <c r="G44" s="3216"/>
    </row>
    <row r="45" spans="1:7" s="257" customFormat="1" ht="13.5" customHeight="1">
      <c r="A45" s="298" t="s">
        <v>2411</v>
      </c>
      <c r="B45" s="287" t="s">
        <v>2377</v>
      </c>
      <c r="C45" s="288">
        <f ca="1">C46</f>
        <v>361669</v>
      </c>
      <c r="D45" s="278">
        <f ca="1">C47</f>
        <v>3.0000000000000001E-3</v>
      </c>
      <c r="E45" s="279" t="s">
        <v>2403</v>
      </c>
      <c r="F45" s="289"/>
      <c r="G45" s="290" t="s">
        <v>2412</v>
      </c>
    </row>
    <row r="46" spans="1:7" s="257" customFormat="1" ht="13.5" customHeight="1">
      <c r="A46" s="950" t="s">
        <v>791</v>
      </c>
      <c r="B46" s="291" t="s">
        <v>2413</v>
      </c>
      <c r="C46" s="292">
        <f ca="1">ROUND((C33+C39)*F27,0)</f>
        <v>361669</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3126162</v>
      </c>
      <c r="D49" s="275"/>
      <c r="E49" s="275"/>
      <c r="F49" s="307"/>
      <c r="G49" s="277" t="s">
        <v>2418</v>
      </c>
    </row>
    <row r="50" spans="1:7" s="301" customFormat="1">
      <c r="A50" s="298" t="s">
        <v>2419</v>
      </c>
      <c r="B50" s="253" t="s">
        <v>2420</v>
      </c>
      <c r="C50" s="275"/>
      <c r="D50" s="275"/>
      <c r="E50" s="275"/>
      <c r="F50" s="307">
        <f>IF('数据-取费表'!B24=0,'数据-取费表'!N16,1)</f>
        <v>0.96699999999999997</v>
      </c>
      <c r="G50" s="290"/>
    </row>
    <row r="51" spans="1:7" ht="16.5" customHeight="1">
      <c r="A51" s="298" t="s">
        <v>2422</v>
      </c>
      <c r="B51" s="253" t="s">
        <v>2457</v>
      </c>
      <c r="C51" s="275">
        <f ca="1">ROUND(C49*F50,0)</f>
        <v>3022999</v>
      </c>
      <c r="D51" s="275"/>
      <c r="E51" s="275"/>
      <c r="F51" s="307"/>
      <c r="G51" s="277" t="s">
        <v>2424</v>
      </c>
    </row>
    <row r="52" spans="1:7" s="251" customFormat="1" ht="16.5" thickBot="1">
      <c r="A52" s="308" t="s">
        <v>2425</v>
      </c>
      <c r="B52" s="309"/>
      <c r="C52" s="310">
        <f ca="1">C31+C51</f>
        <v>3218112</v>
      </c>
      <c r="D52" s="309"/>
      <c r="E52" s="309"/>
      <c r="F52" s="309"/>
      <c r="G52" s="311"/>
    </row>
    <row r="55" spans="1:7" ht="15">
      <c r="B55" s="313" t="s">
        <v>2426</v>
      </c>
      <c r="C55" s="314"/>
    </row>
    <row r="56" spans="1:7">
      <c r="B56" s="316" t="s">
        <v>1507</v>
      </c>
      <c r="C56" s="318">
        <f ca="1">1-C57</f>
        <v>6.1000000000000054E-2</v>
      </c>
    </row>
    <row r="57" spans="1:7">
      <c r="B57" s="316" t="s">
        <v>1508</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8</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5" t="s">
        <v>2464</v>
      </c>
      <c r="D5" s="2555" t="s">
        <v>2465</v>
      </c>
      <c r="E5" s="2555" t="s">
        <v>2466</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708.8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708.8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57"/>
      <c r="H18" s="1576"/>
      <c r="I18" s="2558"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708.8</v>
      </c>
      <c r="E20" s="24">
        <f>'数据-取费表'!B28</f>
        <v>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2508</v>
      </c>
      <c r="B28" s="2560" t="s">
        <v>2509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61"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1372</v>
      </c>
      <c r="D1" s="1819" t="s">
        <v>70</v>
      </c>
      <c r="E1" s="1820" t="s">
        <v>1381</v>
      </c>
      <c r="F1" s="1282">
        <f ca="1">J53</f>
        <v>31.84</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581</v>
      </c>
      <c r="C2" s="1844" t="s">
        <v>1510</v>
      </c>
      <c r="D2" s="1844"/>
      <c r="E2" s="1845"/>
      <c r="F2" s="1846"/>
      <c r="G2" s="1847"/>
      <c r="H2" s="1839"/>
      <c r="I2" s="1839"/>
      <c r="J2" s="1839"/>
      <c r="K2" s="1840"/>
      <c r="L2" s="1839"/>
      <c r="M2" s="1839"/>
    </row>
    <row r="3" spans="1:37" ht="18" customHeight="1" thickBot="1">
      <c r="A3" s="1848" t="s">
        <v>1511</v>
      </c>
      <c r="B3" s="1849">
        <f ca="1">IF(ISERROR(B2*10000/F43),0,ROUND(B2*10000/F43,0))</f>
        <v>8197</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41</v>
      </c>
      <c r="D5" s="1821" t="s">
        <v>1396</v>
      </c>
      <c r="E5" s="1292"/>
      <c r="F5" s="1293"/>
      <c r="G5" s="1850"/>
      <c r="H5" s="343">
        <v>1</v>
      </c>
      <c r="I5" s="344" t="s">
        <v>1395</v>
      </c>
      <c r="J5" s="1291">
        <f ca="1">J6+J10+J12</f>
        <v>0</v>
      </c>
      <c r="K5" s="1821" t="s">
        <v>1396</v>
      </c>
      <c r="L5" s="1292"/>
      <c r="M5" s="1293"/>
    </row>
    <row r="6" spans="1:37" ht="18" customHeight="1">
      <c r="A6" s="1290" t="s">
        <v>1031</v>
      </c>
      <c r="B6" s="3219" t="s">
        <v>1397</v>
      </c>
      <c r="C6" s="1295">
        <f ca="1">ROUND(F6*F8*F7*(1-F9)/10000,0)</f>
        <v>41</v>
      </c>
      <c r="D6" s="163" t="s">
        <v>3030</v>
      </c>
      <c r="E6" s="346" t="s">
        <v>1399</v>
      </c>
      <c r="F6" s="347">
        <f ca="1">INDIRECT("'数据-取费表'!u"&amp;$G$1)</f>
        <v>1.75</v>
      </c>
      <c r="G6" s="1850"/>
      <c r="H6" s="1290" t="s">
        <v>1031</v>
      </c>
      <c r="I6" s="3219" t="s">
        <v>1397</v>
      </c>
      <c r="J6" s="345">
        <f ca="1">ROUND(M6*M8*M7*(1-M9)/10000,0)</f>
        <v>0</v>
      </c>
      <c r="K6" s="163" t="s">
        <v>3029</v>
      </c>
      <c r="L6" s="346" t="s">
        <v>1399</v>
      </c>
      <c r="M6" s="347">
        <f ca="1">INDIRECT("'数据-取费表'!z"&amp;$G$1)</f>
        <v>0</v>
      </c>
    </row>
    <row r="7" spans="1:37" ht="18" customHeight="1">
      <c r="A7" s="1294"/>
      <c r="B7" s="3220"/>
      <c r="C7" s="1296"/>
      <c r="D7" s="351"/>
      <c r="E7" s="1297" t="s">
        <v>1400</v>
      </c>
      <c r="F7" s="347">
        <f ca="1">IF(INDIRECT("'数据-取费表'!ah"&amp;$G$1)="",INDIRECT("'数据-取费表'!k"&amp;$G$1),INDIRECT("'数据-取费表'!ah"&amp;$G$1))</f>
        <v>708.8</v>
      </c>
      <c r="G7" s="1850"/>
      <c r="H7" s="348"/>
      <c r="I7" s="3220"/>
      <c r="J7" s="350"/>
      <c r="K7" s="351"/>
      <c r="L7" s="346" t="s">
        <v>1400</v>
      </c>
      <c r="M7" s="347">
        <f ca="1">F7</f>
        <v>708.8</v>
      </c>
    </row>
    <row r="8" spans="1:37" ht="18" customHeight="1">
      <c r="A8" s="348"/>
      <c r="B8" s="3220"/>
      <c r="C8" s="350"/>
      <c r="D8" s="351"/>
      <c r="E8" s="346" t="s">
        <v>1401</v>
      </c>
      <c r="F8" s="347">
        <f ca="1">INDIRECT("'数据-取费表'!ai"&amp;$G$1)</f>
        <v>365</v>
      </c>
      <c r="G8" s="1850"/>
      <c r="H8" s="348"/>
      <c r="I8" s="3220"/>
      <c r="J8" s="350"/>
      <c r="K8" s="351"/>
      <c r="L8" s="346" t="s">
        <v>1401</v>
      </c>
      <c r="M8" s="347">
        <f ca="1">INDIRECT("'数据-取费表'!ai"&amp;$G$1)</f>
        <v>365</v>
      </c>
    </row>
    <row r="9" spans="1:37" ht="18" customHeight="1">
      <c r="A9" s="348"/>
      <c r="B9" s="3221"/>
      <c r="C9" s="350"/>
      <c r="D9" s="351"/>
      <c r="E9" s="346" t="s">
        <v>1402</v>
      </c>
      <c r="F9" s="356">
        <f ca="1">INDIRECT("'数据-取费表'!w"&amp;$G$1)</f>
        <v>0.1</v>
      </c>
      <c r="G9" s="1850"/>
      <c r="H9" s="348"/>
      <c r="I9" s="3221"/>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3039</v>
      </c>
      <c r="E10" s="357" t="s">
        <v>1404</v>
      </c>
      <c r="F10" s="1365" t="s">
        <v>3111</v>
      </c>
      <c r="G10" s="1850"/>
      <c r="H10" s="1290" t="s">
        <v>1035</v>
      </c>
      <c r="I10" s="1822" t="s">
        <v>1403</v>
      </c>
      <c r="J10" s="345">
        <f ca="1">ROUND(IF(M10="押一",J6/12*M11,IF(M10="押二",J6/12*2*M11,IF(M10="押三",J6/12*3*M11,J11*M11))),0)</f>
        <v>0</v>
      </c>
      <c r="K10" s="1823" t="s">
        <v>3038</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302</v>
      </c>
      <c r="D13" s="1330" t="s">
        <v>1409</v>
      </c>
      <c r="E13" s="1330" t="s">
        <v>1410</v>
      </c>
      <c r="F13" s="1331">
        <f ca="1">INDIRECT("'数据-取费表'!y"&amp;$G$1)</f>
        <v>0.96699999999999997</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213</v>
      </c>
      <c r="D14" s="1799" t="s">
        <v>1412</v>
      </c>
      <c r="E14" s="1793"/>
      <c r="F14" s="363"/>
      <c r="G14" s="1850"/>
      <c r="H14" s="1200" t="s">
        <v>1031</v>
      </c>
      <c r="I14" s="346" t="s">
        <v>1413</v>
      </c>
      <c r="J14" s="24">
        <f ca="1">C29</f>
        <v>312</v>
      </c>
      <c r="K14" s="15"/>
      <c r="L14" s="978"/>
      <c r="M14" s="979"/>
    </row>
    <row r="15" spans="1:37" s="1857" customFormat="1" ht="18" customHeight="1" thickBot="1">
      <c r="A15" s="1200" t="s">
        <v>1032</v>
      </c>
      <c r="B15" s="346" t="s">
        <v>1414</v>
      </c>
      <c r="C15" s="24">
        <f ca="1">ROUND(C14*F15,0)</f>
        <v>6</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7</v>
      </c>
      <c r="K16" s="1336" t="s">
        <v>1419</v>
      </c>
      <c r="L16" s="1337"/>
      <c r="M16" s="1293"/>
    </row>
    <row r="17" spans="1:37" s="1857" customFormat="1" ht="18" customHeight="1">
      <c r="A17" s="1200" t="s">
        <v>1384</v>
      </c>
      <c r="B17" s="346" t="s">
        <v>1420</v>
      </c>
      <c r="C17" s="24">
        <f ca="1">ROUND(F17*(F43+INDIRECT("'数据-取费表'!S"&amp;$G$1))/10000,0)</f>
        <v>14</v>
      </c>
      <c r="D17" s="346" t="s">
        <v>1421</v>
      </c>
      <c r="E17" s="346" t="s">
        <v>1422</v>
      </c>
      <c r="F17" s="26">
        <f>'数据-取费表'!B35</f>
        <v>200</v>
      </c>
      <c r="G17" s="1853"/>
      <c r="H17" s="1200" t="s">
        <v>1031</v>
      </c>
      <c r="I17" s="346" t="s">
        <v>1423</v>
      </c>
      <c r="J17" s="24">
        <f ca="1">ROUND(IF(项目基本情况!B11="自然人",J6*M17/(1+'数据-取费表'!C42),J18+J19+J20),1)</f>
        <v>2.6</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3</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236</v>
      </c>
      <c r="D19" s="139" t="s">
        <v>1430</v>
      </c>
      <c r="E19" s="1817"/>
      <c r="F19" s="26"/>
      <c r="G19" s="1850"/>
      <c r="H19" s="1200" t="s">
        <v>1032</v>
      </c>
      <c r="I19" s="346" t="s">
        <v>1431</v>
      </c>
      <c r="J19" s="24">
        <f ca="1">IF(K19="按租金收入计税",ROUND(J6*M19/(1+'数据-取费表'!C42),2),ROUND(C29*M19*0.7,2))</f>
        <v>2.62</v>
      </c>
      <c r="K19" s="1827" t="s">
        <v>1432</v>
      </c>
      <c r="L19" s="346" t="s">
        <v>1416</v>
      </c>
      <c r="M19" s="366">
        <f>IF(K19="按租金收入计税",'数据-取费表'!B51,'数据-取费表'!B50)</f>
        <v>1.2E-2</v>
      </c>
    </row>
    <row r="20" spans="1:37" s="1857" customFormat="1" ht="18" customHeight="1">
      <c r="A20" s="1200" t="s">
        <v>1035</v>
      </c>
      <c r="B20" s="346" t="s">
        <v>1433</v>
      </c>
      <c r="C20" s="24">
        <f ca="1">ROUND(C19*F20,0)</f>
        <v>5</v>
      </c>
      <c r="D20" s="368" t="s">
        <v>1434</v>
      </c>
      <c r="E20" s="346" t="s">
        <v>1416</v>
      </c>
      <c r="F20" s="366">
        <f>'数据-取费表'!B37</f>
        <v>0.02</v>
      </c>
      <c r="G20" s="1853"/>
      <c r="H20" s="1200" t="s">
        <v>1383</v>
      </c>
      <c r="I20" s="163" t="s">
        <v>1435</v>
      </c>
      <c r="J20" s="25">
        <f ca="1">ROUND(M20*M21/10000,2)</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4.7</v>
      </c>
      <c r="K22" s="1797" t="s">
        <v>1444</v>
      </c>
      <c r="L22" s="346" t="s">
        <v>1416</v>
      </c>
      <c r="M22" s="373">
        <f ca="1">INDIRECT("'数据-取费表'!Ak"&amp;$G$1)</f>
        <v>1.4999999999999999E-2</v>
      </c>
    </row>
    <row r="23" spans="1:37" s="1857" customFormat="1" ht="18" customHeight="1">
      <c r="A23" s="1200" t="s">
        <v>1030</v>
      </c>
      <c r="B23" s="346" t="s">
        <v>1445</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-7</v>
      </c>
      <c r="K25" s="1344" t="s">
        <v>1458</v>
      </c>
      <c r="L25" s="1345"/>
      <c r="M25" s="1346"/>
    </row>
    <row r="26" spans="1:37">
      <c r="A26" s="1200" t="s">
        <v>1030</v>
      </c>
      <c r="B26" s="346" t="s">
        <v>1459</v>
      </c>
      <c r="C26" s="24">
        <f ca="1">ROUND((C19+C20)*F26,0)</f>
        <v>36</v>
      </c>
      <c r="D26" s="368" t="s">
        <v>1460</v>
      </c>
      <c r="E26" s="357" t="s">
        <v>1461</v>
      </c>
      <c r="F26" s="356">
        <f ca="1">INDIRECT("'数据-取费表'!q"&amp;$G$1)</f>
        <v>0.15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3.0000000000000001E-3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312</v>
      </c>
      <c r="D29" s="1341"/>
      <c r="E29" s="1339"/>
      <c r="F29" s="1342"/>
      <c r="G29" s="1853"/>
      <c r="H29" s="379" t="s">
        <v>1029</v>
      </c>
      <c r="I29" s="380" t="s">
        <v>1473</v>
      </c>
      <c r="J29" s="381">
        <f ca="1">ROUND(J26/(1+F40)^F41,0)</f>
        <v>0</v>
      </c>
      <c r="K29" s="382" t="s">
        <v>1474</v>
      </c>
      <c r="L29" s="383"/>
      <c r="M29" s="384">
        <f ca="1">INDIRECT("'数据-取费表'!k"&amp;$G$1)</f>
        <v>708.8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12</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6.8</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2.15</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4.6900000000000004</v>
      </c>
      <c r="D33" s="1827" t="s">
        <v>3112</v>
      </c>
      <c r="E33" s="346" t="s">
        <v>1416</v>
      </c>
      <c r="F33" s="366">
        <f>IF(D33="按票据","——",IF(D33="按租金收入计税",'数据-取费表'!B51,'数据-取费表'!B50))</f>
        <v>0.12</v>
      </c>
      <c r="G33" s="1850"/>
      <c r="H33" s="1858"/>
      <c r="I33" s="1859">
        <v>3.5</v>
      </c>
      <c r="J33" s="1860"/>
      <c r="K33" s="1861"/>
      <c r="L33" s="1858"/>
      <c r="M33" s="1858"/>
    </row>
    <row r="34" spans="1:18" ht="18" customHeight="1">
      <c r="A34" s="1290" t="s">
        <v>1383</v>
      </c>
      <c r="B34" s="163" t="s">
        <v>1435</v>
      </c>
      <c r="C34" s="25">
        <f ca="1">IF(项目基本情况!B11="自然人","——",ROUND(F34*F35/10000,2))</f>
        <v>0</v>
      </c>
      <c r="D34" s="369" t="s">
        <v>1436</v>
      </c>
      <c r="E34" s="346" t="s">
        <v>1437</v>
      </c>
      <c r="F34" s="370">
        <f>'数据-取费表'!B52</f>
        <v>0</v>
      </c>
      <c r="G34" s="1850"/>
      <c r="H34" s="744"/>
      <c r="I34" s="1859">
        <v>3.5</v>
      </c>
      <c r="J34" s="1860"/>
      <c r="K34" s="1862"/>
      <c r="L34" s="1863"/>
      <c r="M34" s="1863"/>
    </row>
    <row r="35" spans="1:18" ht="18" customHeight="1">
      <c r="A35" s="1352"/>
      <c r="B35" s="1350"/>
      <c r="C35" s="29"/>
      <c r="D35" s="372"/>
      <c r="E35" s="346" t="s">
        <v>1441</v>
      </c>
      <c r="F35" s="347">
        <f ca="1">INDIRECT("'数据-取费表'!r"&amp;$G$1)</f>
        <v>0</v>
      </c>
      <c r="G35" s="1850"/>
      <c r="H35" s="744"/>
      <c r="I35" s="1859">
        <v>4</v>
      </c>
      <c r="J35" s="1860"/>
      <c r="K35" s="1861"/>
      <c r="L35" s="1858"/>
      <c r="M35" s="1858"/>
    </row>
    <row r="36" spans="1:18" ht="18" customHeight="1">
      <c r="A36" s="1351" t="s">
        <v>1035</v>
      </c>
      <c r="B36" s="346" t="s">
        <v>1443</v>
      </c>
      <c r="C36" s="24">
        <f ca="1">ROUND(C29*F36,1)</f>
        <v>4.7</v>
      </c>
      <c r="D36" s="1797" t="s">
        <v>1476</v>
      </c>
      <c r="E36" s="346" t="s">
        <v>1416</v>
      </c>
      <c r="F36" s="373">
        <f ca="1">INDIRECT("'数据-取费表'!Ak"&amp;$G$1)</f>
        <v>1.4999999999999999E-2</v>
      </c>
      <c r="G36" s="1850"/>
      <c r="H36" s="1858"/>
      <c r="I36" s="1859"/>
      <c r="J36" s="1860"/>
      <c r="K36" s="750"/>
      <c r="L36" s="1858"/>
      <c r="M36" s="1858"/>
    </row>
    <row r="37" spans="1:18" ht="18" customHeight="1">
      <c r="A37" s="1200" t="s">
        <v>1071</v>
      </c>
      <c r="B37" s="346" t="s">
        <v>1447</v>
      </c>
      <c r="C37" s="24">
        <f ca="1">ROUND(C13*F37,1)</f>
        <v>0.5</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0.4</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4">
        <f ca="1">C5-C30</f>
        <v>29</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581</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31.84</v>
      </c>
      <c r="G41" s="1850"/>
      <c r="H41" s="731"/>
      <c r="I41" s="1859"/>
      <c r="J41" s="1860"/>
      <c r="K41" s="750"/>
      <c r="L41" s="731"/>
      <c r="M41" s="731"/>
    </row>
    <row r="42" spans="1:18" ht="18" customHeight="1">
      <c r="A42" s="352"/>
      <c r="B42" s="353"/>
      <c r="C42" s="354"/>
      <c r="D42" s="372"/>
      <c r="E42" s="346" t="s">
        <v>1471</v>
      </c>
      <c r="F42" s="356">
        <f ca="1">INDIRECT("'数据-取费表'!v"&amp;$G$1)</f>
        <v>2.5000000000000001E-2</v>
      </c>
      <c r="G42" s="1850"/>
      <c r="H42" s="731"/>
      <c r="I42" s="1859"/>
      <c r="J42" s="1860"/>
      <c r="K42" s="750"/>
      <c r="L42" s="731"/>
      <c r="M42" s="731"/>
    </row>
    <row r="43" spans="1:18" ht="18" customHeight="1" thickBot="1">
      <c r="A43" s="379" t="s">
        <v>1029</v>
      </c>
      <c r="B43" s="380" t="s">
        <v>1481</v>
      </c>
      <c r="C43" s="381">
        <f ca="1">ROUND(C40*10000/F43,0)</f>
        <v>8197</v>
      </c>
      <c r="D43" s="382" t="s">
        <v>1482</v>
      </c>
      <c r="E43" s="383" t="s">
        <v>1483</v>
      </c>
      <c r="F43" s="384">
        <f ca="1">INDIRECT("'数据-取费表'!k"&amp;$G$1)</f>
        <v>708.8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-1042</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3113</v>
      </c>
      <c r="K47" s="1881" t="s">
        <v>1521</v>
      </c>
      <c r="L47" s="1882">
        <f ca="1">INDIRECT("'数据-取费表'!d"&amp;$G$1)</f>
        <v>40</v>
      </c>
      <c r="M47" s="1837" t="str">
        <f>IF(ISNUMBER(FIND("住宅",C1)),"住宅","非住宅")</f>
        <v>非住宅</v>
      </c>
      <c r="O47" s="1883" t="s">
        <v>1036</v>
      </c>
      <c r="P47" s="1884" t="s">
        <v>1522</v>
      </c>
      <c r="Q47" s="1885">
        <f ca="1">C40+J29</f>
        <v>581</v>
      </c>
      <c r="R47" s="1885" t="s">
        <v>1523</v>
      </c>
    </row>
    <row r="48" spans="1:18" s="1841" customFormat="1" ht="28.5" thickBot="1">
      <c r="A48" s="1359" t="s">
        <v>1131</v>
      </c>
      <c r="B48" s="344" t="s">
        <v>1395</v>
      </c>
      <c r="C48" s="1816">
        <f ca="1">C49+C53+C55</f>
        <v>0</v>
      </c>
      <c r="D48" s="1361"/>
      <c r="E48" s="1362"/>
      <c r="F48" s="1180"/>
      <c r="G48" s="791"/>
      <c r="H48" s="792"/>
      <c r="I48" s="1886" t="s">
        <v>1524</v>
      </c>
      <c r="J48" s="1887" t="s">
        <v>3114</v>
      </c>
      <c r="K48" s="1888" t="s">
        <v>1525</v>
      </c>
      <c r="L48" s="1889">
        <f ca="1">INDIRECT("'数据-取费表'!f"&amp;$G$1)</f>
        <v>31.84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3031</v>
      </c>
      <c r="E49" s="1829" t="s">
        <v>1485</v>
      </c>
      <c r="F49" s="1280"/>
      <c r="G49" s="1890"/>
      <c r="H49" s="792"/>
      <c r="I49" s="1886" t="s">
        <v>1528</v>
      </c>
      <c r="J49" s="1891">
        <v>2018</v>
      </c>
      <c r="K49" s="1888" t="s">
        <v>1529</v>
      </c>
      <c r="L49" s="1892"/>
      <c r="O49" s="1893" t="s">
        <v>1038</v>
      </c>
      <c r="P49" s="1884" t="s">
        <v>1530</v>
      </c>
      <c r="Q49" s="1885">
        <f ca="1">C29</f>
        <v>312</v>
      </c>
      <c r="R49" s="1885" t="s">
        <v>1523</v>
      </c>
    </row>
    <row r="50" spans="1:18" s="1841" customFormat="1" ht="13.5" thickBot="1">
      <c r="A50" s="1194"/>
      <c r="B50" s="1197"/>
      <c r="C50" s="1367"/>
      <c r="D50" s="1171"/>
      <c r="E50" s="1276" t="s">
        <v>1400</v>
      </c>
      <c r="F50" s="1277">
        <f ca="1">F7</f>
        <v>708.8</v>
      </c>
      <c r="H50" s="792"/>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365</v>
      </c>
      <c r="I51" s="1897" t="s">
        <v>1534</v>
      </c>
      <c r="J51" s="1898">
        <f>IF(J49="",J50,J49+J50-YEAR('数据-取费表'!B2))</f>
        <v>58</v>
      </c>
      <c r="K51" s="1899" t="s">
        <v>1535</v>
      </c>
      <c r="L51" s="1900">
        <f ca="1">ROUND(-PV(INDIRECT("'数据-取费表'!h"&amp;$G$1),L48,(C39-C13*C76),0),0)</f>
        <v>53</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31.84</v>
      </c>
      <c r="R52" s="1885" t="s">
        <v>1540</v>
      </c>
    </row>
    <row r="53" spans="1:18" s="1841" customFormat="1" ht="24.75" thickBot="1">
      <c r="A53" s="1404" t="s">
        <v>1133</v>
      </c>
      <c r="B53" s="1830" t="s">
        <v>1403</v>
      </c>
      <c r="C53" s="360">
        <f ca="1">ROUND(IF(F53="押一",C49/12*F11,IF(F53="押二",C49/12*2*F11,IF(F53="押三",C49/12*3*F11,C54*F11))),0)</f>
        <v>0</v>
      </c>
      <c r="D53" s="1823" t="s">
        <v>3038</v>
      </c>
      <c r="E53" s="357" t="s">
        <v>1404</v>
      </c>
      <c r="F53" s="1365"/>
      <c r="I53" s="1904" t="s">
        <v>1541</v>
      </c>
      <c r="J53" s="2951">
        <f ca="1">IF(M47="住宅",IF(D1="——",MAX(J51,L48),MAX(J51,L48-'数据-取费表'!B24)),IF(D1="——",MIN(J51,L48),MIN(J51,L48-'数据-取费表'!B24)))</f>
        <v>31.84</v>
      </c>
      <c r="K53" s="3217" t="s">
        <v>1542</v>
      </c>
      <c r="L53" s="3218"/>
      <c r="O53" s="1883" t="s">
        <v>1042</v>
      </c>
      <c r="P53" s="1884" t="s">
        <v>1543</v>
      </c>
      <c r="Q53" s="1885">
        <f ca="1">Q47+Q48</f>
        <v>581</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302</v>
      </c>
      <c r="D56" s="1912"/>
      <c r="E56" s="1913"/>
      <c r="F56" s="1905"/>
      <c r="I56" s="1914" t="s">
        <v>1548</v>
      </c>
      <c r="J56" s="1915" t="s">
        <v>3108</v>
      </c>
      <c r="K56" s="1886" t="s">
        <v>1549</v>
      </c>
      <c r="L56" s="1889" t="str">
        <f ca="1">IF(L48&lt;J51,"——",L48-J53)</f>
        <v>——</v>
      </c>
      <c r="O56" s="1883" t="s">
        <v>1036</v>
      </c>
      <c r="P56" s="1884" t="s">
        <v>1522</v>
      </c>
      <c r="Q56" s="1885">
        <f ca="1">C40+J29</f>
        <v>581</v>
      </c>
      <c r="R56" s="1885" t="s">
        <v>1523</v>
      </c>
    </row>
    <row r="57" spans="1:18" s="1841" customFormat="1" ht="24.75" thickBot="1">
      <c r="A57" s="1916"/>
      <c r="B57" s="1168" t="s">
        <v>1472</v>
      </c>
      <c r="C57" s="281">
        <f ca="1">C29</f>
        <v>312</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59" t="s">
        <v>1026</v>
      </c>
      <c r="B58" s="1176" t="s">
        <v>1418</v>
      </c>
      <c r="C58" s="360">
        <f ca="1">ROUND(C59+C64+C65+C66,0)</f>
        <v>31</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26.2</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26.21</v>
      </c>
      <c r="D61" s="1827" t="s">
        <v>1432</v>
      </c>
      <c r="E61" s="1168" t="s">
        <v>1488</v>
      </c>
      <c r="F61" s="366">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0">
        <f t="shared" si="0"/>
        <v>0</v>
      </c>
      <c r="I62" s="1927" t="s">
        <v>1564</v>
      </c>
      <c r="J62" s="1928" t="s">
        <v>1565</v>
      </c>
      <c r="K62" s="1928" t="s">
        <v>1566</v>
      </c>
      <c r="L62" s="1928" t="s">
        <v>1567</v>
      </c>
      <c r="M62" s="1929" t="s">
        <v>1568</v>
      </c>
      <c r="O62" s="1883" t="s">
        <v>1042</v>
      </c>
      <c r="P62" s="1884" t="s">
        <v>1569</v>
      </c>
      <c r="Q62" s="1885">
        <f ca="1">Q56+Q57</f>
        <v>581</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4.7</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0.5</v>
      </c>
      <c r="D65" s="1182" t="s">
        <v>1448</v>
      </c>
      <c r="E65" s="1168" t="s">
        <v>1449</v>
      </c>
      <c r="F65" s="375">
        <f t="shared" ca="1" si="0"/>
        <v>1.5E-3</v>
      </c>
      <c r="I65" s="1927" t="s">
        <v>1573</v>
      </c>
      <c r="J65" s="1928">
        <v>40</v>
      </c>
      <c r="K65" s="1928">
        <v>30</v>
      </c>
      <c r="L65" s="1928">
        <v>50</v>
      </c>
      <c r="M65" s="1930">
        <v>0.02</v>
      </c>
      <c r="O65" s="1883" t="s">
        <v>1036</v>
      </c>
      <c r="P65" s="1884" t="s">
        <v>1574</v>
      </c>
      <c r="Q65" s="1885">
        <f ca="1">C40+J29</f>
        <v>581</v>
      </c>
      <c r="R65" s="1885" t="s">
        <v>1523</v>
      </c>
    </row>
    <row r="66" spans="1:18" s="1841" customFormat="1" ht="16.5" thickBot="1">
      <c r="A66" s="1200" t="s">
        <v>1498</v>
      </c>
      <c r="B66" s="1168" t="s">
        <v>1433</v>
      </c>
      <c r="C66" s="24">
        <f ca="1">ROUND(C48*F66,1)</f>
        <v>0</v>
      </c>
      <c r="D66" s="1182" t="s">
        <v>1499</v>
      </c>
      <c r="E66" s="1168" t="s">
        <v>1416</v>
      </c>
      <c r="F66" s="356">
        <f t="shared" ca="1" si="0"/>
        <v>0.01</v>
      </c>
      <c r="O66" s="1883" t="s">
        <v>1037</v>
      </c>
      <c r="P66" s="1884" t="s">
        <v>1552</v>
      </c>
      <c r="Q66" s="1885">
        <f ca="1">L60</f>
        <v>0</v>
      </c>
      <c r="R66" s="1885" t="s">
        <v>1575</v>
      </c>
    </row>
    <row r="67" spans="1:18" s="1841" customFormat="1" ht="16.5" thickBot="1">
      <c r="A67" s="1175" t="s">
        <v>1027</v>
      </c>
      <c r="B67" s="1185" t="s">
        <v>1457</v>
      </c>
      <c r="C67" s="360">
        <f ca="1">C48-C58</f>
        <v>-31</v>
      </c>
      <c r="D67" s="1181" t="s">
        <v>1458</v>
      </c>
      <c r="E67" s="1186"/>
      <c r="F67" s="1187"/>
      <c r="O67" s="1893" t="s">
        <v>1038</v>
      </c>
      <c r="P67" s="1884" t="s">
        <v>1556</v>
      </c>
      <c r="Q67" s="1931">
        <f ca="1">L51</f>
        <v>53</v>
      </c>
      <c r="R67" s="1885" t="s">
        <v>1576</v>
      </c>
    </row>
    <row r="68" spans="1:18" s="1841" customFormat="1" ht="16.5" thickBot="1">
      <c r="A68" s="1165" t="s">
        <v>1028</v>
      </c>
      <c r="B68" s="1166" t="s">
        <v>1479</v>
      </c>
      <c r="C68" s="345">
        <f ca="1">ROUND(C67*(1-((1+F70)/(1+F68))^F69)/(F68-F70),0)</f>
        <v>-461</v>
      </c>
      <c r="D68" s="1183" t="s">
        <v>1463</v>
      </c>
      <c r="E68" s="1168" t="s">
        <v>1464</v>
      </c>
      <c r="F68" s="356">
        <f ca="1">F40</f>
        <v>5.5E-2</v>
      </c>
      <c r="O68" s="1893" t="s">
        <v>1039</v>
      </c>
      <c r="P68" s="1932" t="s">
        <v>1577</v>
      </c>
      <c r="Q68" s="1885">
        <f ca="1">ROUND(Q69-Q70*Q71,0)</f>
        <v>3</v>
      </c>
      <c r="R68" s="1885" t="s">
        <v>1047</v>
      </c>
    </row>
    <row r="69" spans="1:18" s="1841" customFormat="1" ht="13.5" thickBot="1">
      <c r="A69" s="1169"/>
      <c r="B69" s="1170"/>
      <c r="C69" s="350"/>
      <c r="D69" s="1188" t="s">
        <v>1467</v>
      </c>
      <c r="E69" s="1168" t="s">
        <v>1468</v>
      </c>
      <c r="F69" s="378">
        <f ca="1">F41</f>
        <v>31.84</v>
      </c>
      <c r="O69" s="1893" t="s">
        <v>1044</v>
      </c>
      <c r="P69" s="1932" t="s">
        <v>1578</v>
      </c>
      <c r="Q69" s="1885">
        <f ca="1">C39</f>
        <v>29</v>
      </c>
      <c r="R69" s="1885" t="s">
        <v>1523</v>
      </c>
    </row>
    <row r="70" spans="1:18" s="1841" customFormat="1" ht="13.5" thickBot="1">
      <c r="A70" s="1172"/>
      <c r="B70" s="1173"/>
      <c r="C70" s="354"/>
      <c r="D70" s="1184"/>
      <c r="E70" s="1168" t="s">
        <v>1471</v>
      </c>
      <c r="F70" s="1274"/>
      <c r="O70" s="1893" t="s">
        <v>1045</v>
      </c>
      <c r="P70" s="1932" t="s">
        <v>1579</v>
      </c>
      <c r="Q70" s="1885">
        <f ca="1">C13</f>
        <v>302</v>
      </c>
      <c r="R70" s="1885" t="s">
        <v>1523</v>
      </c>
    </row>
    <row r="71" spans="1:18" s="1841" customFormat="1" ht="13.5" thickBot="1">
      <c r="A71" s="1189" t="s">
        <v>1029</v>
      </c>
      <c r="B71" s="1190" t="s">
        <v>1481</v>
      </c>
      <c r="C71" s="381">
        <f ca="1">ROUND(C68*10000/F71,0)</f>
        <v>-6504</v>
      </c>
      <c r="D71" s="1191" t="s">
        <v>1482</v>
      </c>
      <c r="E71" s="1192" t="s">
        <v>1483</v>
      </c>
      <c r="F71" s="384">
        <f ca="1">F43</f>
        <v>708.8</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5" t="s">
        <v>1500</v>
      </c>
      <c r="C75" s="386">
        <f ca="1">ROUND(C13*C76,0)</f>
        <v>26</v>
      </c>
      <c r="D75" s="1841"/>
      <c r="E75" s="1841"/>
      <c r="F75" s="1841"/>
      <c r="K75" s="1867"/>
      <c r="L75" s="1841"/>
      <c r="O75" s="1883" t="s">
        <v>1042</v>
      </c>
      <c r="P75" s="1884" t="s">
        <v>1543</v>
      </c>
      <c r="Q75" s="1885">
        <f ca="1">Q65+Q66</f>
        <v>581</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0.10299999999999998</v>
      </c>
    </row>
    <row r="80" spans="1:18">
      <c r="B80" s="385" t="s">
        <v>1505</v>
      </c>
      <c r="C80" s="317">
        <f ca="1">ROUND(C75/C39,3)</f>
        <v>0.89700000000000002</v>
      </c>
    </row>
    <row r="81" spans="2:3">
      <c r="B81" s="313" t="s">
        <v>1506</v>
      </c>
      <c r="C81" s="281"/>
    </row>
    <row r="82" spans="2:3">
      <c r="B82" s="316" t="s">
        <v>1507</v>
      </c>
      <c r="C82" s="318">
        <f ca="1">1-C83</f>
        <v>0.48</v>
      </c>
    </row>
    <row r="83" spans="2:3">
      <c r="B83" s="316" t="s">
        <v>1508</v>
      </c>
      <c r="C83" s="317">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219" t="s">
        <v>1397</v>
      </c>
      <c r="C6" s="1295">
        <f ca="1">ROUND(F6*F8*F7*(1-F9),0)</f>
        <v>0</v>
      </c>
      <c r="D6" s="163" t="s">
        <v>3027</v>
      </c>
      <c r="E6" s="346" t="s">
        <v>1399</v>
      </c>
      <c r="F6" s="347">
        <f ca="1">INDIRECT("'数据-取费表'!u"&amp;$G$1)</f>
        <v>0</v>
      </c>
      <c r="G6" s="1850"/>
      <c r="H6" s="1290" t="s">
        <v>1031</v>
      </c>
      <c r="I6" s="3219" t="s">
        <v>1397</v>
      </c>
      <c r="J6" s="345">
        <f ca="1">ROUND(M6*M8*M7*(1-M9),0)</f>
        <v>0</v>
      </c>
      <c r="K6" s="1833" t="s">
        <v>3028</v>
      </c>
      <c r="L6" s="346" t="s">
        <v>1399</v>
      </c>
      <c r="M6" s="347">
        <f ca="1">INDIRECT("'数据-取费表'!z"&amp;$G$1)</f>
        <v>0</v>
      </c>
    </row>
    <row r="7" spans="1:37" ht="18" customHeight="1">
      <c r="A7" s="1294"/>
      <c r="B7" s="3220"/>
      <c r="C7" s="1296"/>
      <c r="D7" s="351"/>
      <c r="E7" s="1297" t="s">
        <v>1400</v>
      </c>
      <c r="F7" s="347">
        <f ca="1">IF(INDIRECT("'数据-取费表'!ah"&amp;$G$1)="",INDIRECT("'数据-取费表'!k"&amp;$G$1),INDIRECT("'数据-取费表'!ah"&amp;$G$1))</f>
        <v>0</v>
      </c>
      <c r="G7" s="1850"/>
      <c r="H7" s="348"/>
      <c r="I7" s="3220"/>
      <c r="J7" s="350"/>
      <c r="K7" s="351"/>
      <c r="L7" s="346" t="s">
        <v>1400</v>
      </c>
      <c r="M7" s="347">
        <f ca="1">F7</f>
        <v>0</v>
      </c>
    </row>
    <row r="8" spans="1:37" ht="18" customHeight="1">
      <c r="A8" s="348"/>
      <c r="B8" s="3220"/>
      <c r="C8" s="350"/>
      <c r="D8" s="351"/>
      <c r="E8" s="346" t="s">
        <v>1401</v>
      </c>
      <c r="F8" s="347">
        <f ca="1">INDIRECT("'数据-取费表'!ai"&amp;$G$1)</f>
        <v>0</v>
      </c>
      <c r="G8" s="1850"/>
      <c r="H8" s="348"/>
      <c r="I8" s="3220"/>
      <c r="J8" s="350"/>
      <c r="K8" s="351"/>
      <c r="L8" s="346" t="s">
        <v>1401</v>
      </c>
      <c r="M8" s="347">
        <f ca="1">INDIRECT("'数据-取费表'!ai"&amp;$G$1)</f>
        <v>0</v>
      </c>
    </row>
    <row r="9" spans="1:37" ht="18" customHeight="1">
      <c r="A9" s="348"/>
      <c r="B9" s="3221"/>
      <c r="C9" s="350"/>
      <c r="D9" s="351"/>
      <c r="E9" s="346" t="s">
        <v>1402</v>
      </c>
      <c r="F9" s="356">
        <f ca="1">INDIRECT("'数据-取费表'!w"&amp;$G$1)</f>
        <v>0</v>
      </c>
      <c r="G9" s="1850"/>
      <c r="H9" s="348"/>
      <c r="I9" s="3221"/>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3038</v>
      </c>
      <c r="E10" s="357" t="s">
        <v>1404</v>
      </c>
      <c r="F10" s="1365"/>
      <c r="G10" s="1850"/>
      <c r="H10" s="1290" t="s">
        <v>1035</v>
      </c>
      <c r="I10" s="1822" t="s">
        <v>1403</v>
      </c>
      <c r="J10" s="345">
        <f ca="1">ROUND(IF(M10="押一",J6/12*M11,IF(M10="押二",J6/12*2*M11,IF(M10="押三",J6/12*3*M11,J11*M11))),0)</f>
        <v>0</v>
      </c>
      <c r="K10" s="1834" t="s">
        <v>3040</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0.15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3.0000000000000001E-3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0</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3.5"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40</v>
      </c>
      <c r="M47" s="1837" t="str">
        <f>IF(ISNUMBER(FIND("住宅",C1)),"住宅","非住宅")</f>
        <v>非住宅</v>
      </c>
      <c r="O47" s="1883" t="s">
        <v>1036</v>
      </c>
      <c r="P47" s="1884" t="s">
        <v>1522</v>
      </c>
      <c r="Q47" s="1885">
        <f ca="1">C40+J29</f>
        <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31.84</v>
      </c>
      <c r="O48" s="1883" t="s">
        <v>1037</v>
      </c>
      <c r="P48" s="1884" t="s">
        <v>1526</v>
      </c>
      <c r="Q48" s="1885" t="str">
        <f ca="1">J60</f>
        <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8" t="s">
        <v>1403</v>
      </c>
      <c r="C53" s="360">
        <f ca="1">ROUND(IF(F53="押一",C49/12*F11,IF(F53="押二",C49/12*2*F11,IF(F53="押三",C49/12*3*F11,C54*F11))),0)</f>
        <v>0</v>
      </c>
      <c r="D53" s="1823" t="s">
        <v>3041</v>
      </c>
      <c r="E53" s="357" t="s">
        <v>1404</v>
      </c>
      <c r="F53" s="1365"/>
      <c r="I53" s="1904" t="s">
        <v>1541</v>
      </c>
      <c r="J53" s="2951">
        <f ca="1">IF(M47="住宅",IF(D1="——",MAX(J51,L48),MAX(J51,L48-'数据-取费表'!B24)),IF(D1="——",MIN(J51,L48),MIN(J51,L48-'数据-取费表'!B24)))</f>
        <v>0</v>
      </c>
      <c r="K53" s="3217" t="s">
        <v>1542</v>
      </c>
      <c r="L53" s="3218"/>
      <c r="O53" s="1883" t="s">
        <v>1042</v>
      </c>
      <c r="P53" s="1884" t="s">
        <v>1543</v>
      </c>
      <c r="Q53" s="1885">
        <f ca="1">Q47+Q48</f>
        <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31.84</v>
      </c>
      <c r="O56" s="1883" t="s">
        <v>1036</v>
      </c>
      <c r="P56" s="1884" t="s">
        <v>1522</v>
      </c>
      <c r="Q56" s="1885">
        <f ca="1">C40+J29</f>
        <v>0</v>
      </c>
      <c r="R56" s="1885" t="s">
        <v>1523</v>
      </c>
    </row>
    <row r="57" spans="1:18" s="1841" customFormat="1" ht="24.75" thickBot="1">
      <c r="A57" s="1916"/>
      <c r="B57" s="1168" t="s">
        <v>1472</v>
      </c>
      <c r="C57" s="281">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59" t="s">
        <v>1026</v>
      </c>
      <c r="B58" s="1176" t="s">
        <v>1418</v>
      </c>
      <c r="C58" s="360">
        <f ca="1">ROUND(C59+C64+C65+C66,0)</f>
        <v>0</v>
      </c>
      <c r="D58" s="1178" t="s">
        <v>1419</v>
      </c>
      <c r="E58" s="1179"/>
      <c r="F58" s="1180"/>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f ca="1">ROUND(C67*(1-((1+F70)/(1+F68))^F69)/(F68-F70),0)</f>
        <v>0</v>
      </c>
      <c r="D68" s="1183" t="s">
        <v>1463</v>
      </c>
      <c r="E68" s="1168" t="s">
        <v>1464</v>
      </c>
      <c r="F68" s="356">
        <f ca="1">F40</f>
        <v>5.5E-2</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2525</v>
      </c>
      <c r="B1" s="2563"/>
      <c r="C1" s="2563"/>
      <c r="D1" s="2563"/>
      <c r="E1" s="2564"/>
    </row>
    <row r="2" spans="1:6" ht="15.75">
      <c r="A2" s="2565" t="s">
        <v>2326</v>
      </c>
      <c r="B2" s="2566">
        <f ca="1">SUMIF(B6:B13,"&lt;&gt;#ref!",B6:B13)</f>
        <v>581</v>
      </c>
      <c r="C2" s="2567" t="s">
        <v>2518</v>
      </c>
      <c r="D2" s="2568" t="s">
        <v>2519</v>
      </c>
      <c r="E2" s="2569">
        <f>SUM(E6:E13)</f>
        <v>708.8</v>
      </c>
    </row>
    <row r="3" spans="1:6" ht="15.75">
      <c r="A3" s="2565" t="s">
        <v>1389</v>
      </c>
      <c r="B3" s="2566">
        <f ca="1">ROUND(B2*10000/E2,0)</f>
        <v>8197</v>
      </c>
      <c r="C3" s="2567" t="s">
        <v>2526</v>
      </c>
      <c r="D3" s="2570"/>
      <c r="E3" s="2571"/>
    </row>
    <row r="4" spans="1:6" ht="15.75">
      <c r="A4" s="2572"/>
      <c r="B4" s="2570"/>
      <c r="C4" s="2570"/>
      <c r="D4" s="2570"/>
      <c r="E4" s="2571"/>
    </row>
    <row r="5" spans="1:6" ht="15">
      <c r="A5" s="2573" t="s">
        <v>2520</v>
      </c>
      <c r="B5" s="3222" t="s">
        <v>2521</v>
      </c>
      <c r="C5" s="3222"/>
      <c r="D5" s="2574"/>
      <c r="E5" s="2575" t="s">
        <v>2522</v>
      </c>
      <c r="F5" s="2576" t="s">
        <v>2523</v>
      </c>
    </row>
    <row r="6" spans="1:6">
      <c r="A6" s="2577" t="str">
        <f>'数据-取费表'!AN6</f>
        <v>收益法</v>
      </c>
      <c r="B6" s="2576">
        <f ca="1">IF(F6="是",'数据-取费表'!AO6,0)</f>
        <v>581</v>
      </c>
      <c r="C6" s="2567" t="s">
        <v>2518</v>
      </c>
      <c r="D6" s="2570"/>
      <c r="E6" s="2578">
        <f>IF(OR(A6=0,F6="否"),0,'数据-取费表'!K6+'数据-取费表'!S6)</f>
        <v>708.8</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1072</v>
      </c>
      <c r="B1" s="3224"/>
      <c r="C1" s="3225"/>
      <c r="D1" s="3226">
        <f>SUM(I10,I15,I20,I21,I23)</f>
        <v>0</v>
      </c>
      <c r="E1" s="3226"/>
      <c r="F1" s="3226"/>
      <c r="G1" s="3226"/>
      <c r="H1" s="3226"/>
      <c r="I1" s="3227"/>
    </row>
    <row r="2" spans="1:9">
      <c r="A2" s="3228" t="s">
        <v>1073</v>
      </c>
      <c r="B2" s="3229" t="s">
        <v>1074</v>
      </c>
      <c r="C2" s="3229"/>
      <c r="D2" s="1300" t="s">
        <v>1075</v>
      </c>
      <c r="E2" s="1300" t="s">
        <v>1076</v>
      </c>
      <c r="F2" s="1300" t="s">
        <v>1077</v>
      </c>
      <c r="G2" s="1300" t="s">
        <v>1078</v>
      </c>
      <c r="H2" s="1300" t="s">
        <v>1079</v>
      </c>
      <c r="I2" s="1301" t="s">
        <v>1080</v>
      </c>
    </row>
    <row r="3" spans="1:9">
      <c r="A3" s="3228"/>
      <c r="B3" s="3229" t="s">
        <v>1081</v>
      </c>
      <c r="C3" s="3229"/>
      <c r="D3" s="1302"/>
      <c r="E3" s="1300"/>
      <c r="F3" s="1303"/>
      <c r="G3" s="1303"/>
      <c r="H3" s="1304"/>
      <c r="I3" s="1305">
        <f>ROUND(D3*E3*F3*G3*H3/10000,0)</f>
        <v>0</v>
      </c>
    </row>
    <row r="4" spans="1:9">
      <c r="A4" s="3228"/>
      <c r="B4" s="3229" t="s">
        <v>1082</v>
      </c>
      <c r="C4" s="3229"/>
      <c r="D4" s="1302"/>
      <c r="E4" s="1300"/>
      <c r="F4" s="1303"/>
      <c r="G4" s="1303"/>
      <c r="H4" s="1304"/>
      <c r="I4" s="1305">
        <f t="shared" ref="I4:I9" si="0">ROUND(D4*E4*F4*G4*H4/10000,0)</f>
        <v>0</v>
      </c>
    </row>
    <row r="5" spans="1:9">
      <c r="A5" s="3228"/>
      <c r="B5" s="3229" t="s">
        <v>1083</v>
      </c>
      <c r="C5" s="3229"/>
      <c r="D5" s="1302"/>
      <c r="E5" s="1300"/>
      <c r="F5" s="1303"/>
      <c r="G5" s="1303"/>
      <c r="H5" s="1304"/>
      <c r="I5" s="1305">
        <f t="shared" si="0"/>
        <v>0</v>
      </c>
    </row>
    <row r="6" spans="1:9">
      <c r="A6" s="3228"/>
      <c r="B6" s="3229" t="s">
        <v>1084</v>
      </c>
      <c r="C6" s="3229"/>
      <c r="D6" s="1302"/>
      <c r="E6" s="1300"/>
      <c r="F6" s="1303"/>
      <c r="G6" s="1303"/>
      <c r="H6" s="1304"/>
      <c r="I6" s="1305">
        <f t="shared" si="0"/>
        <v>0</v>
      </c>
    </row>
    <row r="7" spans="1:9">
      <c r="A7" s="3228"/>
      <c r="B7" s="3229" t="s">
        <v>1085</v>
      </c>
      <c r="C7" s="3229"/>
      <c r="D7" s="1302"/>
      <c r="E7" s="1300"/>
      <c r="F7" s="1303"/>
      <c r="G7" s="1303"/>
      <c r="H7" s="1304"/>
      <c r="I7" s="1305">
        <f t="shared" si="0"/>
        <v>0</v>
      </c>
    </row>
    <row r="8" spans="1:9">
      <c r="A8" s="3228"/>
      <c r="B8" s="3229" t="s">
        <v>1086</v>
      </c>
      <c r="C8" s="3229"/>
      <c r="D8" s="1302"/>
      <c r="E8" s="1300"/>
      <c r="F8" s="1303"/>
      <c r="G8" s="1303"/>
      <c r="H8" s="1304"/>
      <c r="I8" s="1305">
        <f t="shared" si="0"/>
        <v>0</v>
      </c>
    </row>
    <row r="9" spans="1:9">
      <c r="A9" s="3228"/>
      <c r="B9" s="3229" t="s">
        <v>1087</v>
      </c>
      <c r="C9" s="3229"/>
      <c r="D9" s="1302"/>
      <c r="E9" s="1300"/>
      <c r="F9" s="1303"/>
      <c r="G9" s="1303"/>
      <c r="H9" s="1304"/>
      <c r="I9" s="1305">
        <f t="shared" si="0"/>
        <v>0</v>
      </c>
    </row>
    <row r="10" spans="1:9">
      <c r="A10" s="3228"/>
      <c r="B10" s="3230" t="s">
        <v>1088</v>
      </c>
      <c r="C10" s="3230"/>
      <c r="D10" s="1306"/>
      <c r="E10" s="1306" t="e">
        <f>ROUND(D1*10000/D10/H9,0)</f>
        <v>#DIV/0!</v>
      </c>
      <c r="F10" s="1307"/>
      <c r="G10" s="1307"/>
      <c r="H10" s="1308"/>
      <c r="I10" s="1309">
        <f>SUM(I3:I9)</f>
        <v>0</v>
      </c>
    </row>
    <row r="11" spans="1:9" ht="14.25">
      <c r="A11" s="3228" t="s">
        <v>1089</v>
      </c>
      <c r="B11" s="3229" t="s">
        <v>1090</v>
      </c>
      <c r="C11" s="3229"/>
      <c r="D11" s="1302" t="s">
        <v>1091</v>
      </c>
      <c r="E11" s="1302" t="s">
        <v>1092</v>
      </c>
      <c r="F11" s="1303" t="s">
        <v>1093</v>
      </c>
      <c r="G11" s="1303" t="s">
        <v>1079</v>
      </c>
      <c r="H11" s="1310" t="s">
        <v>1094</v>
      </c>
      <c r="I11" s="1301" t="s">
        <v>1080</v>
      </c>
    </row>
    <row r="12" spans="1:9">
      <c r="A12" s="3228"/>
      <c r="B12" s="3229" t="s">
        <v>1095</v>
      </c>
      <c r="C12" s="3229"/>
      <c r="D12" s="1302"/>
      <c r="E12" s="1302"/>
      <c r="F12" s="1303"/>
      <c r="G12" s="1304"/>
      <c r="H12" s="1311"/>
      <c r="I12" s="1301">
        <f>ROUND(D12*E12*F12*G12/10000,0)</f>
        <v>0</v>
      </c>
    </row>
    <row r="13" spans="1:9">
      <c r="A13" s="3228"/>
      <c r="B13" s="3229" t="s">
        <v>1096</v>
      </c>
      <c r="C13" s="3229"/>
      <c r="D13" s="1302"/>
      <c r="E13" s="1302"/>
      <c r="F13" s="1303"/>
      <c r="G13" s="1304"/>
      <c r="H13" s="1311"/>
      <c r="I13" s="1301">
        <f>ROUND(D13*E13*F13*G13/10000,0)</f>
        <v>0</v>
      </c>
    </row>
    <row r="14" spans="1:9">
      <c r="A14" s="3228"/>
      <c r="B14" s="3229" t="s">
        <v>1097</v>
      </c>
      <c r="C14" s="3229"/>
      <c r="D14" s="1302"/>
      <c r="E14" s="1302"/>
      <c r="F14" s="1303"/>
      <c r="G14" s="1304"/>
      <c r="H14" s="1311"/>
      <c r="I14" s="1301">
        <f>ROUND(D14*E14*F14*G14/10000,0)</f>
        <v>0</v>
      </c>
    </row>
    <row r="15" spans="1:9">
      <c r="A15" s="3228"/>
      <c r="B15" s="3230" t="s">
        <v>1088</v>
      </c>
      <c r="C15" s="3230"/>
      <c r="D15" s="1306"/>
      <c r="E15" s="1306">
        <f>SUM(E12:E14)</f>
        <v>0</v>
      </c>
      <c r="F15" s="1307"/>
      <c r="G15" s="1304"/>
      <c r="H15" s="1311"/>
      <c r="I15" s="1312">
        <f>SUM(I12:I14)</f>
        <v>0</v>
      </c>
    </row>
    <row r="16" spans="1:9" ht="24">
      <c r="A16" s="3228" t="s">
        <v>1098</v>
      </c>
      <c r="B16" s="3229" t="s">
        <v>1099</v>
      </c>
      <c r="C16" s="3229"/>
      <c r="D16" s="1302" t="s">
        <v>1075</v>
      </c>
      <c r="E16" s="1313" t="s">
        <v>1100</v>
      </c>
      <c r="F16" s="1303" t="s">
        <v>1101</v>
      </c>
      <c r="G16" s="1304" t="s">
        <v>1079</v>
      </c>
      <c r="H16" s="1310" t="s">
        <v>1094</v>
      </c>
      <c r="I16" s="1301" t="s">
        <v>1080</v>
      </c>
    </row>
    <row r="17" spans="1:9" ht="14.25">
      <c r="A17" s="3228"/>
      <c r="B17" s="3229" t="s">
        <v>1102</v>
      </c>
      <c r="C17" s="3229"/>
      <c r="D17" s="1302"/>
      <c r="E17" s="1302"/>
      <c r="F17" s="1303"/>
      <c r="G17" s="1304"/>
      <c r="H17" s="1314"/>
      <c r="I17" s="1315">
        <f>ROUND(D17*E17*F17*G17/10000,0)</f>
        <v>0</v>
      </c>
    </row>
    <row r="18" spans="1:9" ht="14.25">
      <c r="A18" s="3228"/>
      <c r="B18" s="3229" t="s">
        <v>1103</v>
      </c>
      <c r="C18" s="3229"/>
      <c r="D18" s="1302"/>
      <c r="E18" s="1302"/>
      <c r="F18" s="1303"/>
      <c r="G18" s="1304"/>
      <c r="H18" s="1314"/>
      <c r="I18" s="1315">
        <f>ROUND(D18*E18*F18*G18/10000,0)</f>
        <v>0</v>
      </c>
    </row>
    <row r="19" spans="1:9" ht="14.25">
      <c r="A19" s="3228"/>
      <c r="B19" s="3229" t="s">
        <v>1104</v>
      </c>
      <c r="C19" s="3229"/>
      <c r="D19" s="1302"/>
      <c r="E19" s="1302"/>
      <c r="F19" s="1303"/>
      <c r="G19" s="1304"/>
      <c r="H19" s="1314"/>
      <c r="I19" s="1315">
        <f>ROUND(D19*E19*F19*G19/10000,0)</f>
        <v>0</v>
      </c>
    </row>
    <row r="20" spans="1:9">
      <c r="A20" s="3228"/>
      <c r="B20" s="3230" t="s">
        <v>1088</v>
      </c>
      <c r="C20" s="3230"/>
      <c r="D20" s="1306">
        <f>SUM(D17:D19)</f>
        <v>0</v>
      </c>
      <c r="E20" s="1306"/>
      <c r="F20" s="1307"/>
      <c r="G20" s="1304"/>
      <c r="H20" s="1311"/>
      <c r="I20" s="1312">
        <f>SUM(I17:I19)</f>
        <v>0</v>
      </c>
    </row>
    <row r="21" spans="1:9">
      <c r="A21" s="3228" t="s">
        <v>1105</v>
      </c>
      <c r="B21" s="3232"/>
      <c r="C21" s="3232"/>
      <c r="D21" s="3232"/>
      <c r="E21" s="3232"/>
      <c r="F21" s="3232"/>
      <c r="G21" s="3232"/>
      <c r="H21" s="1764">
        <v>0.1</v>
      </c>
      <c r="I21" s="1309">
        <f>ROUND(I10*H21,0)</f>
        <v>0</v>
      </c>
    </row>
    <row r="22" spans="1:9" ht="14.25">
      <c r="A22" s="3233" t="s">
        <v>1106</v>
      </c>
      <c r="B22" s="3234"/>
      <c r="C22" s="3235"/>
      <c r="D22" s="1316" t="s">
        <v>1107</v>
      </c>
      <c r="E22" s="1316" t="s">
        <v>1108</v>
      </c>
      <c r="F22" s="1317" t="s">
        <v>1109</v>
      </c>
      <c r="G22" s="1317" t="s">
        <v>1110</v>
      </c>
      <c r="H22" s="1310" t="s">
        <v>1111</v>
      </c>
      <c r="I22" s="1301" t="s">
        <v>1112</v>
      </c>
    </row>
    <row r="23" spans="1:9" ht="14.25" thickBot="1">
      <c r="A23" s="3236"/>
      <c r="B23" s="3237"/>
      <c r="C23" s="3238"/>
      <c r="D23" s="1318"/>
      <c r="E23" s="1318"/>
      <c r="F23" s="1318"/>
      <c r="G23" s="1319"/>
      <c r="H23" s="1320"/>
      <c r="I23" s="1321">
        <f>ROUND(E23*D23*F23*(1-G23)/10000,0)</f>
        <v>0</v>
      </c>
    </row>
    <row r="26" spans="1:9">
      <c r="A26" s="1322" t="s">
        <v>1113</v>
      </c>
      <c r="B26" s="1322"/>
      <c r="C26" s="1322"/>
      <c r="D26" s="1322"/>
      <c r="E26" s="3239">
        <f>C27-C30-C31-C32</f>
        <v>0</v>
      </c>
      <c r="F26" s="3239"/>
      <c r="G26" s="3239"/>
      <c r="H26" s="1736" t="s">
        <v>1335</v>
      </c>
    </row>
    <row r="27" spans="1:9">
      <c r="A27" s="1323">
        <v>1</v>
      </c>
      <c r="B27" s="1324" t="s">
        <v>1114</v>
      </c>
      <c r="C27" s="1324">
        <f>C28+C29</f>
        <v>0</v>
      </c>
      <c r="D27" s="1324"/>
      <c r="E27" s="3240"/>
      <c r="F27" s="3240"/>
      <c r="G27" s="3240"/>
    </row>
    <row r="28" spans="1:9">
      <c r="A28" s="1325" t="s">
        <v>1115</v>
      </c>
      <c r="B28" s="1324" t="s">
        <v>1116</v>
      </c>
      <c r="C28" s="1324"/>
      <c r="D28" s="1324"/>
      <c r="E28" s="3240"/>
      <c r="F28" s="3240"/>
      <c r="G28" s="324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31"/>
      <c r="F32" s="3231"/>
      <c r="G32" s="3231"/>
    </row>
    <row r="33" spans="1:7" hidden="1">
      <c r="A33" s="3241" t="s">
        <v>1125</v>
      </c>
      <c r="B33" s="3242"/>
      <c r="C33" s="3242"/>
      <c r="D33" s="3243"/>
      <c r="E33" s="3239"/>
      <c r="F33" s="3239"/>
      <c r="G33" s="3239"/>
    </row>
    <row r="34" spans="1:7" hidden="1">
      <c r="A34" s="1327">
        <v>1</v>
      </c>
      <c r="B34" s="1324" t="s">
        <v>1126</v>
      </c>
      <c r="C34" s="1324"/>
      <c r="D34" s="1324"/>
      <c r="E34" s="3240"/>
      <c r="F34" s="3240"/>
      <c r="G34" s="3240"/>
    </row>
    <row r="35" spans="1:7" hidden="1">
      <c r="A35" s="1327">
        <v>2</v>
      </c>
      <c r="B35" s="1324" t="s">
        <v>1127</v>
      </c>
      <c r="C35" s="1324"/>
      <c r="D35" s="1324"/>
      <c r="E35" s="3240"/>
      <c r="F35" s="3240"/>
      <c r="G35" s="3240"/>
    </row>
    <row r="36" spans="1:7" hidden="1">
      <c r="A36" s="1327">
        <v>3</v>
      </c>
      <c r="B36" s="1324" t="s">
        <v>1128</v>
      </c>
      <c r="C36" s="1324"/>
      <c r="D36" s="1324"/>
      <c r="E36" s="3240"/>
      <c r="F36" s="3240"/>
      <c r="G36" s="3240"/>
    </row>
    <row r="37" spans="1:7" hidden="1">
      <c r="A37" s="1327">
        <v>4</v>
      </c>
      <c r="B37" s="1324" t="s">
        <v>1129</v>
      </c>
      <c r="C37" s="1324"/>
      <c r="D37" s="1324"/>
      <c r="E37" s="3240"/>
      <c r="F37" s="3240"/>
      <c r="G37" s="3240"/>
    </row>
    <row r="38" spans="1:7" hidden="1">
      <c r="A38" s="3241" t="s">
        <v>1130</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2528</v>
      </c>
      <c r="C1" s="1633" t="s">
        <v>2529</v>
      </c>
      <c r="D1" s="1620"/>
      <c r="E1" s="2584"/>
      <c r="F1" s="2585" t="s">
        <v>2530</v>
      </c>
      <c r="G1" s="1630" t="s">
        <v>2531</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7"/>
      <c r="D2" s="1364" t="e">
        <f ca="1">SUMIF(INDIRECT("'"&amp;F2&amp;"'"&amp;"!A:A"),"承租人权益价值",INDIRECT("'"&amp;F2&amp;"'"&amp;"!c:c"))</f>
        <v>#REF!</v>
      </c>
      <c r="E2" s="2588" t="s">
        <v>2532</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1389</v>
      </c>
      <c r="B3" s="398" t="e">
        <f ca="1">IF(C2="——",C49,ROUND(B2*10000/D3,0))</f>
        <v>#DIV/0!</v>
      </c>
      <c r="C3" s="399" t="s">
        <v>2533</v>
      </c>
      <c r="D3" s="398">
        <f>IF(D1="",'数据-汇总表'!E3,SUMIF('数据-汇总表'!$C19:$C33,D1,'数据-汇总表'!$E19:$E33))</f>
        <v>708.8</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2534</v>
      </c>
      <c r="B4" s="401"/>
      <c r="C4" s="3262" t="s">
        <v>2535</v>
      </c>
      <c r="D4" s="3263"/>
      <c r="E4" s="3264" t="s">
        <v>2536</v>
      </c>
      <c r="F4" s="3265"/>
      <c r="G4" s="3262" t="s">
        <v>2537</v>
      </c>
      <c r="H4" s="3263"/>
      <c r="I4" s="3262" t="s">
        <v>2538</v>
      </c>
      <c r="J4" s="3263"/>
      <c r="K4" s="2597" t="s">
        <v>2539</v>
      </c>
      <c r="L4" s="1129"/>
      <c r="M4" s="1130"/>
      <c r="N4" s="1130"/>
      <c r="O4" s="1130"/>
      <c r="P4" s="3266" t="s">
        <v>2540</v>
      </c>
      <c r="Q4" s="3267"/>
      <c r="R4" s="3249" t="s">
        <v>2536</v>
      </c>
      <c r="S4" s="3250"/>
      <c r="T4" s="3249" t="s">
        <v>2537</v>
      </c>
      <c r="U4" s="3250"/>
      <c r="V4" s="3274" t="s">
        <v>2538</v>
      </c>
      <c r="W4" s="3274"/>
      <c r="X4" s="1812"/>
      <c r="Y4" s="3249" t="s">
        <v>2540</v>
      </c>
      <c r="Z4" s="3250"/>
      <c r="AA4" s="3244" t="s">
        <v>2536</v>
      </c>
      <c r="AB4" s="3244" t="s">
        <v>2537</v>
      </c>
      <c r="AC4" s="3244" t="s">
        <v>2538</v>
      </c>
    </row>
    <row r="5" spans="1:29" ht="15">
      <c r="A5" s="403"/>
      <c r="B5" s="404"/>
      <c r="C5" s="3255" t="s">
        <v>2541</v>
      </c>
      <c r="D5" s="3256"/>
      <c r="E5" s="3253" t="s">
        <v>2542</v>
      </c>
      <c r="F5" s="3254"/>
      <c r="G5" s="3255" t="s">
        <v>2543</v>
      </c>
      <c r="H5" s="3256"/>
      <c r="I5" s="3255" t="s">
        <v>2544</v>
      </c>
      <c r="J5" s="3256"/>
      <c r="K5" s="2598"/>
      <c r="L5" s="1129"/>
      <c r="M5" s="1130"/>
      <c r="N5" s="1130"/>
      <c r="O5" s="1130"/>
      <c r="P5" s="3268"/>
      <c r="Q5" s="3269"/>
      <c r="R5" s="3251"/>
      <c r="S5" s="3252"/>
      <c r="T5" s="3251"/>
      <c r="U5" s="3252"/>
      <c r="V5" s="3274"/>
      <c r="W5" s="3274"/>
      <c r="X5" s="1812"/>
      <c r="Y5" s="3251"/>
      <c r="Z5" s="3252"/>
      <c r="AA5" s="3245"/>
      <c r="AB5" s="3245"/>
      <c r="AC5" s="3245"/>
    </row>
    <row r="6" spans="1:29" ht="15.75" thickBot="1">
      <c r="A6" s="405"/>
      <c r="B6" s="406"/>
      <c r="C6" s="3257" t="s">
        <v>2545</v>
      </c>
      <c r="D6" s="3258"/>
      <c r="E6" s="3259" t="s">
        <v>2545</v>
      </c>
      <c r="F6" s="3260"/>
      <c r="G6" s="3257" t="s">
        <v>2545</v>
      </c>
      <c r="H6" s="3258"/>
      <c r="I6" s="3257" t="s">
        <v>2545</v>
      </c>
      <c r="J6" s="3258"/>
      <c r="K6" s="2598" t="s">
        <v>2546</v>
      </c>
      <c r="L6" s="1129"/>
      <c r="M6" s="1130"/>
      <c r="N6" s="1130"/>
      <c r="O6" s="1130"/>
      <c r="P6" s="3270"/>
      <c r="Q6" s="3271"/>
      <c r="R6" s="3251"/>
      <c r="S6" s="3252"/>
      <c r="T6" s="3272"/>
      <c r="U6" s="3273"/>
      <c r="V6" s="3274"/>
      <c r="W6" s="3274"/>
      <c r="X6" s="1812"/>
      <c r="Y6" s="3272"/>
      <c r="Z6" s="3273"/>
      <c r="AA6" s="3246"/>
      <c r="AB6" s="3246"/>
      <c r="AC6" s="3246"/>
    </row>
    <row r="7" spans="1:29" s="117" customFormat="1" ht="15.75" thickBot="1">
      <c r="A7" s="407" t="s">
        <v>2547</v>
      </c>
      <c r="B7" s="408"/>
      <c r="C7" s="409">
        <f>'数据-取费表'!B2</f>
        <v>43914</v>
      </c>
      <c r="D7" s="410">
        <v>100</v>
      </c>
      <c r="E7" s="411"/>
      <c r="F7" s="412">
        <f>SUMIF(58:58,YEAR(E7)&amp;"-"&amp;MONTH(E7),59:59)</f>
        <v>0</v>
      </c>
      <c r="G7" s="411"/>
      <c r="H7" s="410">
        <f>SUMIF(58:58,YEAR(G7)&amp;"-"&amp;MONTH(G7),59:59)</f>
        <v>0</v>
      </c>
      <c r="I7" s="411"/>
      <c r="J7" s="410">
        <f>SUMIF(58:58,YEAR(I7)&amp;"-"&amp;MONTH(I7),59:59)</f>
        <v>0</v>
      </c>
      <c r="K7" s="2599"/>
      <c r="L7" s="1131"/>
      <c r="M7" s="1132"/>
      <c r="N7" s="1132"/>
      <c r="O7" s="1132"/>
      <c r="P7" s="3247" t="s">
        <v>2548</v>
      </c>
      <c r="Q7" s="3275"/>
      <c r="R7" s="769" t="s">
        <v>23</v>
      </c>
      <c r="S7" s="770">
        <f t="shared" ref="S7:S15" si="0">F7</f>
        <v>0</v>
      </c>
      <c r="T7" s="769" t="s">
        <v>23</v>
      </c>
      <c r="U7" s="770">
        <f t="shared" ref="U7:U15" si="1">H7</f>
        <v>0</v>
      </c>
      <c r="V7" s="769" t="s">
        <v>23</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2600"/>
      <c r="F8" s="412">
        <f>SUMIF(61:61,E8,62:62)-SUMIF(61:61,C8,62:62)+100</f>
        <v>0</v>
      </c>
      <c r="G8" s="413"/>
      <c r="H8" s="410">
        <f>SUMIF(61:61,G8,62:62)-SUMIF(61:61,C8,62:62)+100</f>
        <v>0</v>
      </c>
      <c r="I8" s="2600"/>
      <c r="J8" s="410">
        <f>SUMIF(61:61,I8,62:62)-SUMIF(61:61,C8,62:62)+100</f>
        <v>0</v>
      </c>
      <c r="K8" s="2599"/>
      <c r="L8" s="1131"/>
      <c r="M8" s="1132"/>
      <c r="N8" s="1132"/>
      <c r="O8" s="1132"/>
      <c r="P8" s="3247" t="s">
        <v>2551</v>
      </c>
      <c r="Q8" s="3248"/>
      <c r="R8" s="769" t="s">
        <v>23</v>
      </c>
      <c r="S8" s="770">
        <f t="shared" si="0"/>
        <v>0</v>
      </c>
      <c r="T8" s="769" t="s">
        <v>23</v>
      </c>
      <c r="U8" s="770">
        <f t="shared" si="1"/>
        <v>0</v>
      </c>
      <c r="V8" s="769" t="s">
        <v>23</v>
      </c>
      <c r="W8" s="770">
        <f t="shared" si="2"/>
        <v>0</v>
      </c>
      <c r="X8" s="771"/>
      <c r="Y8" s="3247" t="s">
        <v>2551</v>
      </c>
      <c r="Z8" s="3248"/>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9"/>
      <c r="L9" s="1131"/>
      <c r="M9" s="1132"/>
      <c r="N9" s="1132"/>
      <c r="O9" s="1132"/>
      <c r="P9" s="3261" t="s">
        <v>2554</v>
      </c>
      <c r="Q9" s="1794"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61"/>
      <c r="Q10" s="1794"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61"/>
      <c r="Q11" s="1794" t="str">
        <f t="shared" si="6"/>
        <v>容积率</v>
      </c>
      <c r="R11" s="769" t="s">
        <v>21</v>
      </c>
      <c r="S11" s="770" t="e">
        <f t="shared" si="0"/>
        <v>#N/A</v>
      </c>
      <c r="T11" s="769" t="s">
        <v>21</v>
      </c>
      <c r="U11" s="770" t="e">
        <f t="shared" si="1"/>
        <v>#N/A</v>
      </c>
      <c r="V11" s="769" t="s">
        <v>21</v>
      </c>
      <c r="W11" s="770" t="e">
        <f t="shared" si="2"/>
        <v>#N/A</v>
      </c>
      <c r="X11" s="771"/>
      <c r="Y11" s="3090"/>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61"/>
      <c r="Q12" s="1794">
        <f t="shared" si="6"/>
        <v>111</v>
      </c>
      <c r="R12" s="769" t="s">
        <v>21</v>
      </c>
      <c r="S12" s="770">
        <f t="shared" si="0"/>
        <v>100</v>
      </c>
      <c r="T12" s="769" t="s">
        <v>21</v>
      </c>
      <c r="U12" s="770">
        <f t="shared" si="1"/>
        <v>100</v>
      </c>
      <c r="V12" s="769" t="s">
        <v>21</v>
      </c>
      <c r="W12" s="770">
        <f t="shared" si="2"/>
        <v>100</v>
      </c>
      <c r="X12" s="771"/>
      <c r="Y12" s="309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61"/>
      <c r="Q13" s="1794">
        <f t="shared" si="6"/>
        <v>111</v>
      </c>
      <c r="R13" s="769" t="s">
        <v>21</v>
      </c>
      <c r="S13" s="770">
        <f t="shared" si="0"/>
        <v>100</v>
      </c>
      <c r="T13" s="769" t="s">
        <v>21</v>
      </c>
      <c r="U13" s="770">
        <f t="shared" si="1"/>
        <v>100</v>
      </c>
      <c r="V13" s="769" t="s">
        <v>21</v>
      </c>
      <c r="W13" s="770">
        <f t="shared" si="2"/>
        <v>100</v>
      </c>
      <c r="X13" s="771"/>
      <c r="Y13" s="3090"/>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61"/>
      <c r="Q14" s="1794">
        <f t="shared" si="6"/>
        <v>111</v>
      </c>
      <c r="R14" s="769" t="s">
        <v>21</v>
      </c>
      <c r="S14" s="770">
        <f t="shared" si="0"/>
        <v>100</v>
      </c>
      <c r="T14" s="769" t="s">
        <v>21</v>
      </c>
      <c r="U14" s="770">
        <f t="shared" si="1"/>
        <v>100</v>
      </c>
      <c r="V14" s="769" t="s">
        <v>21</v>
      </c>
      <c r="W14" s="770">
        <f t="shared" si="2"/>
        <v>100</v>
      </c>
      <c r="X14" s="771"/>
      <c r="Y14" s="3090"/>
      <c r="Z14" s="55">
        <f t="shared" si="7"/>
        <v>111</v>
      </c>
      <c r="AA14" s="772">
        <f t="shared" si="3"/>
        <v>1</v>
      </c>
      <c r="AB14" s="772">
        <f t="shared" si="4"/>
        <v>1</v>
      </c>
      <c r="AC14" s="772">
        <f t="shared" si="5"/>
        <v>1</v>
      </c>
    </row>
    <row r="15" spans="1:29" ht="99.75">
      <c r="A15" s="439" t="s">
        <v>2558</v>
      </c>
      <c r="B15" s="69" t="s">
        <v>2083</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8" t="s">
        <v>2559</v>
      </c>
      <c r="Q15" s="1809" t="str">
        <f t="shared" si="6"/>
        <v>居住社区成熟度</v>
      </c>
      <c r="R15" s="773" t="s">
        <v>21</v>
      </c>
      <c r="S15" s="774">
        <f t="shared" si="0"/>
        <v>100</v>
      </c>
      <c r="T15" s="773" t="s">
        <v>21</v>
      </c>
      <c r="U15" s="774">
        <f t="shared" si="1"/>
        <v>100</v>
      </c>
      <c r="V15" s="773" t="s">
        <v>21</v>
      </c>
      <c r="W15" s="774">
        <f t="shared" si="2"/>
        <v>100</v>
      </c>
      <c r="X15" s="1812"/>
      <c r="Y15" s="3281" t="s">
        <v>2559</v>
      </c>
      <c r="Z15" s="1813" t="str">
        <f t="shared" si="7"/>
        <v>居住社区成熟度</v>
      </c>
      <c r="AA15" s="1810">
        <f t="shared" si="3"/>
        <v>1</v>
      </c>
      <c r="AB15" s="1810">
        <f t="shared" si="4"/>
        <v>1</v>
      </c>
      <c r="AC15" s="1810">
        <f t="shared" si="5"/>
        <v>1</v>
      </c>
    </row>
    <row r="16" spans="1:29" ht="15">
      <c r="A16" s="427"/>
      <c r="B16" s="445"/>
      <c r="C16" s="446"/>
      <c r="D16" s="447"/>
      <c r="E16" s="2605"/>
      <c r="F16" s="447"/>
      <c r="G16" s="2606"/>
      <c r="H16" s="449"/>
      <c r="I16" s="2606"/>
      <c r="J16" s="447"/>
      <c r="K16" s="2607"/>
      <c r="L16" s="1139"/>
      <c r="M16" s="1130"/>
      <c r="N16" s="1130"/>
      <c r="O16" s="1130"/>
      <c r="P16" s="3289"/>
      <c r="Q16" s="1809"/>
      <c r="R16" s="773"/>
      <c r="S16" s="774"/>
      <c r="T16" s="773"/>
      <c r="U16" s="774"/>
      <c r="V16" s="773"/>
      <c r="W16" s="774"/>
      <c r="X16" s="1812"/>
      <c r="Y16" s="3282"/>
      <c r="Z16" s="1813"/>
      <c r="AA16" s="1810">
        <v>1</v>
      </c>
      <c r="AB16" s="1810">
        <v>1</v>
      </c>
      <c r="AC16" s="1810">
        <v>1</v>
      </c>
    </row>
    <row r="17" spans="1:29" ht="85.5">
      <c r="A17" s="427"/>
      <c r="B17" s="450" t="s">
        <v>2094</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89"/>
      <c r="Q17" s="1809" t="str">
        <f>B17</f>
        <v>交通便捷度</v>
      </c>
      <c r="R17" s="773" t="s">
        <v>21</v>
      </c>
      <c r="S17" s="774">
        <f>F17</f>
        <v>100</v>
      </c>
      <c r="T17" s="773" t="s">
        <v>21</v>
      </c>
      <c r="U17" s="774">
        <f>H17</f>
        <v>100</v>
      </c>
      <c r="V17" s="773" t="s">
        <v>21</v>
      </c>
      <c r="W17" s="774">
        <f>J17</f>
        <v>100</v>
      </c>
      <c r="X17" s="1812"/>
      <c r="Y17" s="3282"/>
      <c r="Z17" s="1813" t="str">
        <f>Q17</f>
        <v>交通便捷度</v>
      </c>
      <c r="AA17" s="1810">
        <f t="shared" si="3"/>
        <v>1</v>
      </c>
      <c r="AB17" s="1810">
        <f t="shared" si="4"/>
        <v>1</v>
      </c>
      <c r="AC17" s="1810">
        <f t="shared" si="5"/>
        <v>1</v>
      </c>
    </row>
    <row r="18" spans="1:29" ht="15">
      <c r="A18" s="427"/>
      <c r="B18" s="455"/>
      <c r="C18" s="2609"/>
      <c r="D18" s="449"/>
      <c r="E18" s="2610"/>
      <c r="F18" s="449"/>
      <c r="G18" s="2611"/>
      <c r="H18" s="447"/>
      <c r="I18" s="2611"/>
      <c r="J18" s="447"/>
      <c r="K18" s="2607"/>
      <c r="L18" s="1139"/>
      <c r="M18" s="1130"/>
      <c r="N18" s="1130"/>
      <c r="O18" s="1130"/>
      <c r="P18" s="3289"/>
      <c r="Q18" s="1809"/>
      <c r="R18" s="773"/>
      <c r="S18" s="774"/>
      <c r="T18" s="773"/>
      <c r="U18" s="774"/>
      <c r="V18" s="773"/>
      <c r="W18" s="774"/>
      <c r="X18" s="1812"/>
      <c r="Y18" s="3282"/>
      <c r="Z18" s="1813"/>
      <c r="AA18" s="1810">
        <v>1</v>
      </c>
      <c r="AB18" s="1810">
        <v>1</v>
      </c>
      <c r="AC18" s="1810">
        <v>1</v>
      </c>
    </row>
    <row r="19" spans="1:29" ht="42.75">
      <c r="A19" s="427"/>
      <c r="B19" s="450" t="s">
        <v>2092</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89"/>
      <c r="Q19" s="1809" t="str">
        <f>B19</f>
        <v>公共配套设施</v>
      </c>
      <c r="R19" s="773" t="s">
        <v>21</v>
      </c>
      <c r="S19" s="774">
        <f>F19</f>
        <v>100</v>
      </c>
      <c r="T19" s="773" t="s">
        <v>21</v>
      </c>
      <c r="U19" s="774">
        <f>H19</f>
        <v>100</v>
      </c>
      <c r="V19" s="773" t="s">
        <v>21</v>
      </c>
      <c r="W19" s="774">
        <f>J19</f>
        <v>100</v>
      </c>
      <c r="X19" s="1812"/>
      <c r="Y19" s="3282"/>
      <c r="Z19" s="1813" t="str">
        <f>Q19</f>
        <v>公共配套设施</v>
      </c>
      <c r="AA19" s="1810">
        <f t="shared" si="3"/>
        <v>1</v>
      </c>
      <c r="AB19" s="1810">
        <f t="shared" si="4"/>
        <v>1</v>
      </c>
      <c r="AC19" s="1810">
        <f t="shared" si="5"/>
        <v>1</v>
      </c>
    </row>
    <row r="20" spans="1:29" ht="15">
      <c r="A20" s="427"/>
      <c r="B20" s="455"/>
      <c r="C20" s="446"/>
      <c r="D20" s="447"/>
      <c r="E20" s="2605"/>
      <c r="F20" s="447"/>
      <c r="G20" s="2606"/>
      <c r="H20" s="447"/>
      <c r="I20" s="2606"/>
      <c r="J20" s="447"/>
      <c r="K20" s="2607"/>
      <c r="L20" s="1139"/>
      <c r="M20" s="1130"/>
      <c r="N20" s="1130"/>
      <c r="O20" s="1130"/>
      <c r="P20" s="3289"/>
      <c r="Q20" s="1809"/>
      <c r="R20" s="773"/>
      <c r="S20" s="774"/>
      <c r="T20" s="773"/>
      <c r="U20" s="774"/>
      <c r="V20" s="773"/>
      <c r="W20" s="774"/>
      <c r="X20" s="1812"/>
      <c r="Y20" s="3282"/>
      <c r="Z20" s="1813"/>
      <c r="AA20" s="1810">
        <v>1</v>
      </c>
      <c r="AB20" s="1810">
        <v>1</v>
      </c>
      <c r="AC20" s="1810">
        <v>1</v>
      </c>
    </row>
    <row r="21" spans="1:29" ht="28.5">
      <c r="A21" s="427"/>
      <c r="B21" s="1383" t="s">
        <v>2095</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89"/>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7"/>
      <c r="G22" s="2612"/>
      <c r="H22" s="447"/>
      <c r="I22" s="446"/>
      <c r="J22" s="447"/>
      <c r="K22" s="2613"/>
      <c r="L22" s="1139"/>
      <c r="M22" s="1130"/>
      <c r="N22" s="1130"/>
      <c r="O22" s="1130"/>
      <c r="P22" s="3289"/>
      <c r="Q22" s="1809"/>
      <c r="R22" s="773"/>
      <c r="S22" s="774"/>
      <c r="T22" s="773"/>
      <c r="U22" s="774"/>
      <c r="V22" s="773"/>
      <c r="W22" s="774"/>
      <c r="X22" s="1812"/>
      <c r="Y22" s="3282"/>
      <c r="Z22" s="1813"/>
      <c r="AA22" s="1810">
        <v>1</v>
      </c>
      <c r="AB22" s="1810">
        <v>1</v>
      </c>
      <c r="AC22" s="1810">
        <v>1</v>
      </c>
    </row>
    <row r="23" spans="1:29" ht="57">
      <c r="A23" s="427"/>
      <c r="B23" s="450" t="s">
        <v>2099</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89"/>
      <c r="Q23" s="1809" t="str">
        <f>B23</f>
        <v>自然及人文环境</v>
      </c>
      <c r="R23" s="773" t="s">
        <v>21</v>
      </c>
      <c r="S23" s="774">
        <f>F23</f>
        <v>100</v>
      </c>
      <c r="T23" s="773" t="s">
        <v>21</v>
      </c>
      <c r="U23" s="774">
        <f>H23</f>
        <v>100</v>
      </c>
      <c r="V23" s="773" t="s">
        <v>21</v>
      </c>
      <c r="W23" s="774">
        <f>J23</f>
        <v>100</v>
      </c>
      <c r="X23" s="1812"/>
      <c r="Y23" s="3282"/>
      <c r="Z23" s="1813" t="str">
        <f>Q23</f>
        <v>自然及人文环境</v>
      </c>
      <c r="AA23" s="1810">
        <f>D23/F23</f>
        <v>1</v>
      </c>
      <c r="AB23" s="1810">
        <f>D23/H23</f>
        <v>1</v>
      </c>
      <c r="AC23" s="1810">
        <f>D23/J23</f>
        <v>1</v>
      </c>
    </row>
    <row r="24" spans="1:29" ht="15">
      <c r="A24" s="427"/>
      <c r="B24" s="455"/>
      <c r="C24" s="446"/>
      <c r="D24" s="447"/>
      <c r="E24" s="2605"/>
      <c r="F24" s="447"/>
      <c r="G24" s="2606"/>
      <c r="H24" s="447"/>
      <c r="I24" s="2606"/>
      <c r="J24" s="447"/>
      <c r="K24" s="2607"/>
      <c r="L24" s="1139"/>
      <c r="M24" s="1130"/>
      <c r="N24" s="1130"/>
      <c r="O24" s="1130"/>
      <c r="P24" s="3289"/>
      <c r="Q24" s="1809"/>
      <c r="R24" s="773"/>
      <c r="S24" s="774"/>
      <c r="T24" s="773"/>
      <c r="U24" s="774"/>
      <c r="V24" s="773"/>
      <c r="W24" s="774"/>
      <c r="X24" s="1812"/>
      <c r="Y24" s="3282"/>
      <c r="Z24" s="1813"/>
      <c r="AA24" s="1810">
        <v>1</v>
      </c>
      <c r="AB24" s="1810">
        <v>1</v>
      </c>
      <c r="AC24" s="1810">
        <v>1</v>
      </c>
    </row>
    <row r="25" spans="1:29" ht="15">
      <c r="A25" s="427"/>
      <c r="B25" s="421" t="s">
        <v>2560</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8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82"/>
      <c r="Z25" s="1813" t="str">
        <f>Q25</f>
        <v>楼层-1</v>
      </c>
      <c r="AA25" s="1810">
        <f t="shared" ref="AA25:AA46" si="15">D25/F25</f>
        <v>1</v>
      </c>
      <c r="AB25" s="1810">
        <f t="shared" ref="AB25:AB46" si="16">D25/H25</f>
        <v>1</v>
      </c>
      <c r="AC25" s="1810">
        <f t="shared" ref="AC25:AC46" si="17">D25/J25</f>
        <v>1</v>
      </c>
    </row>
    <row r="26" spans="1:29" ht="15">
      <c r="A26" s="427"/>
      <c r="B26" s="421" t="s">
        <v>2561</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89"/>
      <c r="Q26" s="1809" t="str">
        <f t="shared" si="11"/>
        <v>朝向</v>
      </c>
      <c r="R26" s="773" t="s">
        <v>21</v>
      </c>
      <c r="S26" s="774">
        <f t="shared" si="12"/>
        <v>100</v>
      </c>
      <c r="T26" s="773" t="s">
        <v>21</v>
      </c>
      <c r="U26" s="774">
        <f t="shared" si="13"/>
        <v>100</v>
      </c>
      <c r="V26" s="773" t="s">
        <v>21</v>
      </c>
      <c r="W26" s="774">
        <f t="shared" si="14"/>
        <v>100</v>
      </c>
      <c r="X26" s="1812"/>
      <c r="Y26" s="3282"/>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89"/>
      <c r="Q27" s="1794">
        <f t="shared" si="11"/>
        <v>111</v>
      </c>
      <c r="R27" s="769" t="s">
        <v>21</v>
      </c>
      <c r="S27" s="770">
        <f t="shared" si="12"/>
        <v>100</v>
      </c>
      <c r="T27" s="769" t="s">
        <v>21</v>
      </c>
      <c r="U27" s="770">
        <f t="shared" si="13"/>
        <v>100</v>
      </c>
      <c r="V27" s="769" t="s">
        <v>21</v>
      </c>
      <c r="W27" s="770">
        <f t="shared" si="14"/>
        <v>100</v>
      </c>
      <c r="X27" s="771"/>
      <c r="Y27" s="3282"/>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89"/>
      <c r="Q28" s="1809">
        <f t="shared" si="11"/>
        <v>111</v>
      </c>
      <c r="R28" s="773" t="s">
        <v>21</v>
      </c>
      <c r="S28" s="774">
        <f t="shared" si="12"/>
        <v>100</v>
      </c>
      <c r="T28" s="773" t="s">
        <v>21</v>
      </c>
      <c r="U28" s="774">
        <f t="shared" si="13"/>
        <v>100</v>
      </c>
      <c r="V28" s="773" t="s">
        <v>21</v>
      </c>
      <c r="W28" s="774">
        <f t="shared" si="14"/>
        <v>100</v>
      </c>
      <c r="X28" s="1812"/>
      <c r="Y28" s="328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89"/>
      <c r="Q29" s="1809">
        <f t="shared" si="11"/>
        <v>111</v>
      </c>
      <c r="R29" s="773" t="s">
        <v>21</v>
      </c>
      <c r="S29" s="774">
        <f t="shared" si="12"/>
        <v>100</v>
      </c>
      <c r="T29" s="773" t="s">
        <v>21</v>
      </c>
      <c r="U29" s="774">
        <f t="shared" si="13"/>
        <v>100</v>
      </c>
      <c r="V29" s="773" t="s">
        <v>21</v>
      </c>
      <c r="W29" s="774">
        <f t="shared" si="14"/>
        <v>100</v>
      </c>
      <c r="X29" s="1812"/>
      <c r="Y29" s="328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89"/>
      <c r="Q30" s="1809">
        <f t="shared" si="11"/>
        <v>111</v>
      </c>
      <c r="R30" s="773" t="s">
        <v>21</v>
      </c>
      <c r="S30" s="774">
        <f t="shared" si="12"/>
        <v>100</v>
      </c>
      <c r="T30" s="773" t="s">
        <v>21</v>
      </c>
      <c r="U30" s="774">
        <f t="shared" si="13"/>
        <v>100</v>
      </c>
      <c r="V30" s="773" t="s">
        <v>21</v>
      </c>
      <c r="W30" s="774">
        <f t="shared" si="14"/>
        <v>100</v>
      </c>
      <c r="X30" s="1812"/>
      <c r="Y30" s="328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89"/>
      <c r="Q31" s="1809">
        <f t="shared" si="11"/>
        <v>111</v>
      </c>
      <c r="R31" s="773" t="s">
        <v>21</v>
      </c>
      <c r="S31" s="774">
        <f t="shared" si="12"/>
        <v>100</v>
      </c>
      <c r="T31" s="773" t="s">
        <v>21</v>
      </c>
      <c r="U31" s="774">
        <f t="shared" si="13"/>
        <v>100</v>
      </c>
      <c r="V31" s="773" t="s">
        <v>21</v>
      </c>
      <c r="W31" s="774">
        <f t="shared" si="14"/>
        <v>100</v>
      </c>
      <c r="X31" s="1812"/>
      <c r="Y31" s="3282"/>
      <c r="Z31" s="1813">
        <f t="shared" si="18"/>
        <v>111</v>
      </c>
      <c r="AA31" s="1810">
        <f t="shared" si="15"/>
        <v>1</v>
      </c>
      <c r="AB31" s="1810">
        <f t="shared" si="16"/>
        <v>1</v>
      </c>
      <c r="AC31" s="1810">
        <f t="shared" si="17"/>
        <v>1</v>
      </c>
    </row>
    <row r="32" spans="1:29" ht="15">
      <c r="A32" s="439" t="s">
        <v>2562</v>
      </c>
      <c r="B32" s="71" t="s">
        <v>2563</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39"/>
      <c r="M32" s="1130"/>
      <c r="N32" s="1130"/>
      <c r="O32" s="1130"/>
      <c r="P32" s="3283" t="s">
        <v>2564</v>
      </c>
      <c r="Q32" s="1809" t="str">
        <f t="shared" si="11"/>
        <v>建筑类型</v>
      </c>
      <c r="R32" s="773" t="s">
        <v>21</v>
      </c>
      <c r="S32" s="774">
        <f t="shared" si="12"/>
        <v>100</v>
      </c>
      <c r="T32" s="773" t="s">
        <v>21</v>
      </c>
      <c r="U32" s="774">
        <f t="shared" si="13"/>
        <v>100</v>
      </c>
      <c r="V32" s="773" t="s">
        <v>21</v>
      </c>
      <c r="W32" s="774">
        <f t="shared" si="14"/>
        <v>100</v>
      </c>
      <c r="X32" s="1812"/>
      <c r="Y32" s="3286" t="s">
        <v>2564</v>
      </c>
      <c r="Z32" s="1813" t="str">
        <f t="shared" si="18"/>
        <v>建筑类型</v>
      </c>
      <c r="AA32" s="1810">
        <f t="shared" si="15"/>
        <v>1</v>
      </c>
      <c r="AB32" s="1810">
        <f t="shared" si="16"/>
        <v>1</v>
      </c>
      <c r="AC32" s="1810">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7"/>
      <c r="M33" s="1140"/>
      <c r="N33" s="1140"/>
      <c r="O33" s="1140"/>
      <c r="P33" s="3284"/>
      <c r="Q33" s="775" t="str">
        <f t="shared" si="11"/>
        <v>项目建筑规模</v>
      </c>
      <c r="R33" s="776" t="s">
        <v>21</v>
      </c>
      <c r="S33" s="777" t="e">
        <f t="shared" si="12"/>
        <v>#N/A</v>
      </c>
      <c r="T33" s="776" t="s">
        <v>21</v>
      </c>
      <c r="U33" s="777" t="e">
        <f t="shared" si="13"/>
        <v>#N/A</v>
      </c>
      <c r="V33" s="776" t="s">
        <v>21</v>
      </c>
      <c r="W33" s="777" t="e">
        <f t="shared" si="14"/>
        <v>#N/A</v>
      </c>
      <c r="X33" s="778"/>
      <c r="Y33" s="3286"/>
      <c r="Z33" s="779" t="str">
        <f t="shared" si="18"/>
        <v>项目建筑规模</v>
      </c>
      <c r="AA33" s="1810" t="e">
        <f t="shared" si="15"/>
        <v>#N/A</v>
      </c>
      <c r="AB33" s="1810" t="e">
        <f t="shared" si="16"/>
        <v>#N/A</v>
      </c>
      <c r="AC33" s="1810" t="e">
        <f t="shared" si="17"/>
        <v>#N/A</v>
      </c>
    </row>
    <row r="34" spans="1:29" ht="15">
      <c r="A34" s="471"/>
      <c r="B34" s="421" t="s">
        <v>2566</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9"/>
      <c r="M34" s="1130"/>
      <c r="N34" s="1130"/>
      <c r="O34" s="1130"/>
      <c r="P34" s="3284"/>
      <c r="Q34" s="1809" t="str">
        <f t="shared" si="11"/>
        <v>建筑结构</v>
      </c>
      <c r="R34" s="773" t="s">
        <v>21</v>
      </c>
      <c r="S34" s="774">
        <f t="shared" si="12"/>
        <v>100</v>
      </c>
      <c r="T34" s="773" t="s">
        <v>21</v>
      </c>
      <c r="U34" s="774">
        <f t="shared" si="13"/>
        <v>100</v>
      </c>
      <c r="V34" s="773" t="s">
        <v>21</v>
      </c>
      <c r="W34" s="774">
        <f t="shared" si="14"/>
        <v>100</v>
      </c>
      <c r="X34" s="1812"/>
      <c r="Y34" s="3286"/>
      <c r="Z34" s="1813" t="str">
        <f t="shared" si="18"/>
        <v>建筑结构</v>
      </c>
      <c r="AA34" s="1810">
        <f t="shared" si="15"/>
        <v>1</v>
      </c>
      <c r="AB34" s="1810">
        <f t="shared" si="16"/>
        <v>1</v>
      </c>
      <c r="AC34" s="1810">
        <f t="shared" si="17"/>
        <v>1</v>
      </c>
    </row>
    <row r="35" spans="1:29" ht="15">
      <c r="A35" s="471"/>
      <c r="B35" s="421" t="s">
        <v>2567</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9"/>
      <c r="M35" s="1130"/>
      <c r="N35" s="1130"/>
      <c r="O35" s="1130"/>
      <c r="P35" s="3284"/>
      <c r="Q35" s="1809" t="str">
        <f t="shared" si="11"/>
        <v>建筑品质</v>
      </c>
      <c r="R35" s="773" t="s">
        <v>21</v>
      </c>
      <c r="S35" s="774">
        <f t="shared" si="12"/>
        <v>100</v>
      </c>
      <c r="T35" s="773" t="s">
        <v>21</v>
      </c>
      <c r="U35" s="774">
        <f t="shared" si="13"/>
        <v>100</v>
      </c>
      <c r="V35" s="773" t="s">
        <v>21</v>
      </c>
      <c r="W35" s="774">
        <f t="shared" si="14"/>
        <v>100</v>
      </c>
      <c r="X35" s="1812"/>
      <c r="Y35" s="3286"/>
      <c r="Z35" s="1813" t="str">
        <f t="shared" si="18"/>
        <v>建筑品质</v>
      </c>
      <c r="AA35" s="1810">
        <f t="shared" si="15"/>
        <v>1</v>
      </c>
      <c r="AB35" s="1810">
        <f t="shared" si="16"/>
        <v>1</v>
      </c>
      <c r="AC35" s="1810">
        <f t="shared" si="17"/>
        <v>1</v>
      </c>
    </row>
    <row r="36" spans="1:29" ht="15">
      <c r="A36" s="471"/>
      <c r="B36" s="421" t="s">
        <v>2568</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9"/>
      <c r="M36" s="1130"/>
      <c r="N36" s="1130"/>
      <c r="O36" s="1130"/>
      <c r="P36" s="3284"/>
      <c r="Q36" s="1809" t="str">
        <f t="shared" si="11"/>
        <v>公共部分装修</v>
      </c>
      <c r="R36" s="773" t="s">
        <v>21</v>
      </c>
      <c r="S36" s="774">
        <f t="shared" si="12"/>
        <v>100</v>
      </c>
      <c r="T36" s="773" t="s">
        <v>21</v>
      </c>
      <c r="U36" s="774">
        <f t="shared" si="13"/>
        <v>100</v>
      </c>
      <c r="V36" s="773" t="s">
        <v>21</v>
      </c>
      <c r="W36" s="774">
        <f t="shared" si="14"/>
        <v>100</v>
      </c>
      <c r="X36" s="1812"/>
      <c r="Y36" s="3286"/>
      <c r="Z36" s="1813" t="str">
        <f t="shared" si="18"/>
        <v>公共部分装修</v>
      </c>
      <c r="AA36" s="1810">
        <f t="shared" si="15"/>
        <v>1</v>
      </c>
      <c r="AB36" s="1810">
        <f t="shared" si="16"/>
        <v>1</v>
      </c>
      <c r="AC36" s="1810">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84"/>
      <c r="Q37" s="1794" t="str">
        <f t="shared" si="11"/>
        <v>成新度</v>
      </c>
      <c r="R37" s="769" t="s">
        <v>21</v>
      </c>
      <c r="S37" s="770" t="e">
        <f t="shared" si="12"/>
        <v>#N/A</v>
      </c>
      <c r="T37" s="769" t="s">
        <v>21</v>
      </c>
      <c r="U37" s="770" t="e">
        <f t="shared" si="13"/>
        <v>#N/A</v>
      </c>
      <c r="V37" s="769" t="s">
        <v>21</v>
      </c>
      <c r="W37" s="770" t="e">
        <f t="shared" si="14"/>
        <v>#N/A</v>
      </c>
      <c r="X37" s="771"/>
      <c r="Y37" s="3286"/>
      <c r="Z37" s="55" t="str">
        <f t="shared" si="18"/>
        <v>成新度</v>
      </c>
      <c r="AA37" s="772" t="e">
        <f t="shared" si="15"/>
        <v>#N/A</v>
      </c>
      <c r="AB37" s="772" t="e">
        <f t="shared" si="16"/>
        <v>#N/A</v>
      </c>
      <c r="AC37" s="772" t="e">
        <f t="shared" si="17"/>
        <v>#N/A</v>
      </c>
    </row>
    <row r="38" spans="1:29" ht="15">
      <c r="A38" s="471"/>
      <c r="B38" s="421" t="s">
        <v>2570</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9"/>
      <c r="M38" s="1130"/>
      <c r="N38" s="1130"/>
      <c r="O38" s="1130"/>
      <c r="P38" s="3284" t="s">
        <v>2564</v>
      </c>
      <c r="Q38" s="1809" t="str">
        <f t="shared" si="11"/>
        <v>物业管理</v>
      </c>
      <c r="R38" s="773" t="s">
        <v>21</v>
      </c>
      <c r="S38" s="774">
        <f t="shared" si="12"/>
        <v>100</v>
      </c>
      <c r="T38" s="773" t="s">
        <v>21</v>
      </c>
      <c r="U38" s="774">
        <f t="shared" si="13"/>
        <v>100</v>
      </c>
      <c r="V38" s="773" t="s">
        <v>21</v>
      </c>
      <c r="W38" s="774">
        <f t="shared" si="14"/>
        <v>100</v>
      </c>
      <c r="X38" s="1812"/>
      <c r="Y38" s="3286" t="s">
        <v>2564</v>
      </c>
      <c r="Z38" s="1813" t="str">
        <f t="shared" si="18"/>
        <v>物业管理</v>
      </c>
      <c r="AA38" s="1810">
        <f t="shared" si="15"/>
        <v>1</v>
      </c>
      <c r="AB38" s="1810">
        <f t="shared" si="16"/>
        <v>1</v>
      </c>
      <c r="AC38" s="1810">
        <f t="shared" si="17"/>
        <v>1</v>
      </c>
    </row>
    <row r="39" spans="1:29" ht="15">
      <c r="A39" s="471"/>
      <c r="B39" s="421" t="s">
        <v>2571</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9"/>
      <c r="M39" s="1130"/>
      <c r="N39" s="1130"/>
      <c r="O39" s="1130"/>
      <c r="P39" s="3284"/>
      <c r="Q39" s="1809" t="str">
        <f t="shared" si="11"/>
        <v>市政基础设施</v>
      </c>
      <c r="R39" s="773" t="s">
        <v>21</v>
      </c>
      <c r="S39" s="774">
        <f t="shared" si="12"/>
        <v>100</v>
      </c>
      <c r="T39" s="773" t="s">
        <v>21</v>
      </c>
      <c r="U39" s="774">
        <f t="shared" si="13"/>
        <v>100</v>
      </c>
      <c r="V39" s="773" t="s">
        <v>21</v>
      </c>
      <c r="W39" s="774">
        <f t="shared" si="14"/>
        <v>100</v>
      </c>
      <c r="X39" s="1812"/>
      <c r="Y39" s="3286"/>
      <c r="Z39" s="1813" t="str">
        <f t="shared" si="18"/>
        <v>市政基础设施</v>
      </c>
      <c r="AA39" s="1810">
        <f t="shared" si="15"/>
        <v>1</v>
      </c>
      <c r="AB39" s="1810">
        <f t="shared" si="16"/>
        <v>1</v>
      </c>
      <c r="AC39" s="1810">
        <f t="shared" si="17"/>
        <v>1</v>
      </c>
    </row>
    <row r="40" spans="1:29" ht="15">
      <c r="A40" s="471"/>
      <c r="B40" s="421" t="s">
        <v>2572</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84"/>
      <c r="Q40" s="1809" t="str">
        <f t="shared" si="11"/>
        <v>房型</v>
      </c>
      <c r="R40" s="773" t="s">
        <v>21</v>
      </c>
      <c r="S40" s="774">
        <f t="shared" si="12"/>
        <v>100</v>
      </c>
      <c r="T40" s="773" t="s">
        <v>21</v>
      </c>
      <c r="U40" s="774">
        <f t="shared" si="13"/>
        <v>100</v>
      </c>
      <c r="V40" s="773" t="s">
        <v>21</v>
      </c>
      <c r="W40" s="774">
        <f t="shared" si="14"/>
        <v>100</v>
      </c>
      <c r="X40" s="1812"/>
      <c r="Y40" s="3286"/>
      <c r="Z40" s="1813" t="str">
        <f t="shared" si="18"/>
        <v>房型</v>
      </c>
      <c r="AA40" s="1810">
        <f t="shared" si="15"/>
        <v>1</v>
      </c>
      <c r="AB40" s="1810">
        <f t="shared" si="16"/>
        <v>1</v>
      </c>
      <c r="AC40" s="1810">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84"/>
      <c r="Q41" s="775" t="str">
        <f t="shared" si="11"/>
        <v>单套/主力户型建筑面积</v>
      </c>
      <c r="R41" s="776" t="s">
        <v>21</v>
      </c>
      <c r="S41" s="777">
        <f t="shared" si="12"/>
        <v>100</v>
      </c>
      <c r="T41" s="776" t="s">
        <v>21</v>
      </c>
      <c r="U41" s="777">
        <f t="shared" si="13"/>
        <v>100</v>
      </c>
      <c r="V41" s="776" t="s">
        <v>21</v>
      </c>
      <c r="W41" s="777">
        <f t="shared" si="14"/>
        <v>100</v>
      </c>
      <c r="X41" s="778"/>
      <c r="Y41" s="3286"/>
      <c r="Z41" s="779" t="str">
        <f t="shared" si="18"/>
        <v>单套/主力户型建筑面积</v>
      </c>
      <c r="AA41" s="1810">
        <f t="shared" si="15"/>
        <v>1</v>
      </c>
      <c r="AB41" s="1810">
        <f t="shared" si="16"/>
        <v>1</v>
      </c>
      <c r="AC41" s="1810">
        <f t="shared" si="17"/>
        <v>1</v>
      </c>
    </row>
    <row r="42" spans="1:29" ht="15">
      <c r="A42" s="471"/>
      <c r="B42" s="421" t="s">
        <v>2574</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9"/>
      <c r="M42" s="1130"/>
      <c r="N42" s="1130"/>
      <c r="O42" s="1130"/>
      <c r="P42" s="3284"/>
      <c r="Q42" s="1809" t="str">
        <f t="shared" si="11"/>
        <v>内部装修</v>
      </c>
      <c r="R42" s="773" t="s">
        <v>21</v>
      </c>
      <c r="S42" s="774">
        <f t="shared" si="12"/>
        <v>100</v>
      </c>
      <c r="T42" s="773" t="s">
        <v>21</v>
      </c>
      <c r="U42" s="774">
        <f t="shared" si="13"/>
        <v>100</v>
      </c>
      <c r="V42" s="773" t="s">
        <v>21</v>
      </c>
      <c r="W42" s="774">
        <f t="shared" si="14"/>
        <v>100</v>
      </c>
      <c r="X42" s="1812"/>
      <c r="Y42" s="3286"/>
      <c r="Z42" s="1813" t="str">
        <f t="shared" si="18"/>
        <v>内部装修</v>
      </c>
      <c r="AA42" s="1810">
        <f t="shared" si="15"/>
        <v>1</v>
      </c>
      <c r="AB42" s="1810">
        <f t="shared" si="16"/>
        <v>1</v>
      </c>
      <c r="AC42" s="1810">
        <f t="shared" si="17"/>
        <v>1</v>
      </c>
    </row>
    <row r="43" spans="1:29" ht="15">
      <c r="A43" s="471"/>
      <c r="B43" s="421" t="s">
        <v>2575</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84"/>
      <c r="Q43" s="1809" t="str">
        <f t="shared" si="11"/>
        <v>内部装修维护情况</v>
      </c>
      <c r="R43" s="773" t="s">
        <v>21</v>
      </c>
      <c r="S43" s="774">
        <f t="shared" si="12"/>
        <v>100</v>
      </c>
      <c r="T43" s="773" t="s">
        <v>21</v>
      </c>
      <c r="U43" s="774">
        <f t="shared" si="13"/>
        <v>100</v>
      </c>
      <c r="V43" s="773" t="s">
        <v>21</v>
      </c>
      <c r="W43" s="774">
        <f t="shared" si="14"/>
        <v>100</v>
      </c>
      <c r="X43" s="1812"/>
      <c r="Y43" s="3286"/>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84"/>
      <c r="Q44" s="1794">
        <f t="shared" si="11"/>
        <v>111</v>
      </c>
      <c r="R44" s="769" t="s">
        <v>21</v>
      </c>
      <c r="S44" s="770">
        <f t="shared" si="12"/>
        <v>100</v>
      </c>
      <c r="T44" s="769" t="s">
        <v>21</v>
      </c>
      <c r="U44" s="770">
        <f t="shared" si="13"/>
        <v>100</v>
      </c>
      <c r="V44" s="769" t="s">
        <v>21</v>
      </c>
      <c r="W44" s="770">
        <f t="shared" si="14"/>
        <v>100</v>
      </c>
      <c r="X44" s="771"/>
      <c r="Y44" s="328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84"/>
      <c r="Q45" s="1809">
        <f t="shared" si="11"/>
        <v>111</v>
      </c>
      <c r="R45" s="773" t="s">
        <v>21</v>
      </c>
      <c r="S45" s="774">
        <f t="shared" si="12"/>
        <v>100</v>
      </c>
      <c r="T45" s="773" t="s">
        <v>21</v>
      </c>
      <c r="U45" s="774">
        <f t="shared" si="13"/>
        <v>100</v>
      </c>
      <c r="V45" s="773" t="s">
        <v>21</v>
      </c>
      <c r="W45" s="774">
        <f t="shared" si="14"/>
        <v>100</v>
      </c>
      <c r="X45" s="1812"/>
      <c r="Y45" s="3286"/>
      <c r="Z45" s="1813">
        <f t="shared" si="18"/>
        <v>111</v>
      </c>
      <c r="AA45" s="1810">
        <f t="shared" si="15"/>
        <v>1</v>
      </c>
      <c r="AB45" s="1810">
        <f t="shared" si="16"/>
        <v>1</v>
      </c>
      <c r="AC45" s="1810">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85"/>
      <c r="Q46" s="1809">
        <f t="shared" si="11"/>
        <v>111</v>
      </c>
      <c r="R46" s="773" t="s">
        <v>20</v>
      </c>
      <c r="S46" s="774">
        <f t="shared" si="12"/>
        <v>100</v>
      </c>
      <c r="T46" s="773" t="s">
        <v>20</v>
      </c>
      <c r="U46" s="774">
        <f t="shared" si="13"/>
        <v>100</v>
      </c>
      <c r="V46" s="773" t="s">
        <v>20</v>
      </c>
      <c r="W46" s="774">
        <f t="shared" si="14"/>
        <v>100</v>
      </c>
      <c r="X46" s="1812"/>
      <c r="Y46" s="3287"/>
      <c r="Z46" s="1813">
        <f t="shared" si="18"/>
        <v>111</v>
      </c>
      <c r="AA46" s="1810">
        <f t="shared" si="15"/>
        <v>1</v>
      </c>
      <c r="AB46" s="1810">
        <f t="shared" si="16"/>
        <v>1</v>
      </c>
      <c r="AC46" s="1810">
        <f t="shared" si="17"/>
        <v>1</v>
      </c>
    </row>
    <row r="47" spans="1:29" ht="15">
      <c r="A47" s="478" t="s">
        <v>2576</v>
      </c>
      <c r="B47" s="479"/>
      <c r="C47" s="1406" t="s">
        <v>19</v>
      </c>
      <c r="D47" s="1407"/>
      <c r="E47" s="1408"/>
      <c r="F47" s="1409"/>
      <c r="G47" s="1410"/>
      <c r="H47" s="1411"/>
      <c r="I47" s="1408"/>
      <c r="J47" s="1411"/>
      <c r="K47" s="2622"/>
      <c r="L47" s="1142"/>
      <c r="M47" s="1143"/>
      <c r="N47" s="1130"/>
      <c r="O47" s="1143"/>
      <c r="P47" s="3279" t="str">
        <f>A47</f>
        <v>成交单价（元/平方米）</v>
      </c>
      <c r="Q47" s="3279"/>
      <c r="R47" s="3280">
        <f>E47</f>
        <v>0</v>
      </c>
      <c r="S47" s="3280"/>
      <c r="T47" s="3280">
        <f>G47</f>
        <v>0</v>
      </c>
      <c r="U47" s="3280"/>
      <c r="V47" s="3280">
        <f>I47</f>
        <v>0</v>
      </c>
      <c r="W47" s="3280"/>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23"/>
      <c r="L48" s="1142"/>
      <c r="M48" s="1143"/>
      <c r="N48" s="1143"/>
      <c r="O48" s="1143"/>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24"/>
      <c r="L49" s="1142"/>
      <c r="M49" s="1143"/>
      <c r="N49" s="1143"/>
      <c r="O49" s="1143"/>
      <c r="P49" s="3276" t="str">
        <f>A49</f>
        <v>估价对象XX用房的比较价值（楼面单价，元/平方米）</v>
      </c>
      <c r="Q49" s="3277"/>
      <c r="R49" s="3278" t="e">
        <f>IF(F1="售价",ROUND(AVERAGE(R48:V48),0),ROUND(AVERAGE(R48:V48),1))</f>
        <v>#DIV/0!</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7"/>
      <c r="Q57" s="503"/>
    </row>
    <row r="58" spans="1:29" s="507" customFormat="1" ht="15">
      <c r="A58" s="504" t="s">
        <v>2583</v>
      </c>
      <c r="B58" s="505"/>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8"/>
      <c r="B59" s="2628"/>
      <c r="C59" s="1572">
        <v>100</v>
      </c>
      <c r="D59" s="510"/>
      <c r="E59" s="511"/>
      <c r="F59" s="511"/>
      <c r="G59" s="511"/>
      <c r="H59" s="511"/>
      <c r="I59" s="511"/>
      <c r="J59" s="511"/>
      <c r="K59" s="511"/>
      <c r="L59" s="511"/>
      <c r="M59" s="512"/>
      <c r="N59" s="511"/>
      <c r="O59" s="512"/>
      <c r="P59" s="2629"/>
    </row>
    <row r="60" spans="1:29" s="117" customFormat="1" ht="15.75" thickBot="1">
      <c r="A60" s="514" t="s">
        <v>2584</v>
      </c>
      <c r="B60" s="515"/>
      <c r="C60" s="516"/>
      <c r="D60" s="517"/>
      <c r="E60" s="517"/>
      <c r="F60" s="517"/>
      <c r="G60" s="517"/>
      <c r="H60" s="517"/>
      <c r="I60" s="517"/>
      <c r="J60" s="517"/>
      <c r="K60" s="517"/>
      <c r="L60" s="517"/>
      <c r="M60" s="518"/>
      <c r="N60" s="517"/>
      <c r="O60" s="518"/>
      <c r="P60" s="2629"/>
      <c r="Q60" s="503"/>
    </row>
    <row r="61" spans="1:29" s="117" customFormat="1" ht="15">
      <c r="A61" s="520" t="s">
        <v>2585</v>
      </c>
      <c r="B61" s="509"/>
      <c r="C61" s="521" t="s">
        <v>2586</v>
      </c>
      <c r="D61" s="522"/>
      <c r="E61" s="522"/>
      <c r="F61" s="522"/>
      <c r="G61" s="522"/>
      <c r="H61" s="522"/>
      <c r="I61" s="522"/>
      <c r="J61" s="522"/>
      <c r="K61" s="522"/>
      <c r="L61" s="523"/>
      <c r="M61" s="524"/>
      <c r="N61" s="1150"/>
      <c r="O61" s="1150"/>
      <c r="P61" s="2630"/>
      <c r="Q61" s="503"/>
    </row>
    <row r="62" spans="1:29" s="117"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1"/>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2095</v>
      </c>
      <c r="C82" s="538" t="s">
        <v>2603</v>
      </c>
      <c r="D82" s="538" t="s">
        <v>2604</v>
      </c>
      <c r="E82" s="538" t="s">
        <v>2605</v>
      </c>
      <c r="F82" s="538" t="s">
        <v>2606</v>
      </c>
      <c r="G82" s="538" t="s">
        <v>2607</v>
      </c>
      <c r="H82" s="538"/>
      <c r="I82" s="538"/>
      <c r="J82" s="538"/>
      <c r="K82" s="538"/>
      <c r="L82" s="538"/>
      <c r="M82" s="1381"/>
      <c r="N82" s="1152"/>
      <c r="O82" s="1152"/>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7" customFormat="1" ht="15.75" thickTop="1">
      <c r="A86" s="578"/>
      <c r="B86" s="537" t="s">
        <v>2609</v>
      </c>
      <c r="C86" s="553"/>
      <c r="D86" s="553"/>
      <c r="E86" s="553"/>
      <c r="F86" s="553"/>
      <c r="G86" s="553"/>
      <c r="H86" s="553"/>
      <c r="I86" s="553"/>
      <c r="J86" s="553"/>
      <c r="K86" s="553"/>
      <c r="L86" s="579"/>
      <c r="M86" s="580"/>
      <c r="N86" s="1150"/>
      <c r="O86" s="1150"/>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7" customFormat="1" ht="15.75" thickTop="1">
      <c r="A88" s="578"/>
      <c r="B88" s="537" t="s">
        <v>2610</v>
      </c>
      <c r="C88" s="553"/>
      <c r="D88" s="553"/>
      <c r="E88" s="553"/>
      <c r="F88" s="2636"/>
      <c r="G88" s="553"/>
      <c r="H88" s="553"/>
      <c r="I88" s="553"/>
      <c r="J88" s="553"/>
      <c r="K88" s="553"/>
      <c r="L88" s="553"/>
      <c r="M88" s="580"/>
      <c r="N88" s="1150"/>
      <c r="O88" s="1150"/>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2562</v>
      </c>
      <c r="B100" s="527" t="s">
        <v>2611</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1"/>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2"/>
      <c r="Q104" s="558"/>
    </row>
    <row r="105" spans="1:17" ht="15" thickTop="1">
      <c r="A105" s="598"/>
      <c r="B105" s="537" t="s">
        <v>2613</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1"/>
      <c r="Q106" s="503"/>
    </row>
    <row r="107" spans="1:17" ht="15" thickTop="1">
      <c r="A107" s="598"/>
      <c r="B107" s="537" t="s">
        <v>2614</v>
      </c>
      <c r="C107" s="582"/>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1"/>
      <c r="Q108" s="503"/>
    </row>
    <row r="109" spans="1:17" ht="15" thickTop="1">
      <c r="A109" s="598"/>
      <c r="B109" s="537" t="s">
        <v>2615</v>
      </c>
      <c r="C109" s="553"/>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2"/>
      <c r="Q113" s="558"/>
    </row>
    <row r="114" spans="1:17" ht="15" thickTop="1">
      <c r="A114" s="598"/>
      <c r="B114" s="537" t="s">
        <v>2616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1"/>
      <c r="Q115" s="503"/>
    </row>
    <row r="116" spans="1:17" ht="15" thickTop="1">
      <c r="A116" s="598"/>
      <c r="B116" s="537" t="s">
        <v>2617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2618</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2619</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5" t="s">
        <v>2624</v>
      </c>
      <c r="D138" s="145" t="s">
        <v>2625</v>
      </c>
      <c r="E138" s="2646" t="s">
        <v>2626</v>
      </c>
      <c r="F138" s="2647" t="s">
        <v>2627</v>
      </c>
      <c r="G138" s="145" t="s">
        <v>2625</v>
      </c>
      <c r="H138" s="146" t="s">
        <v>2626</v>
      </c>
      <c r="I138" s="2648"/>
      <c r="J138" s="145" t="s">
        <v>2628</v>
      </c>
      <c r="K138" s="146" t="s">
        <v>2629</v>
      </c>
    </row>
    <row r="139" spans="1:17" ht="15">
      <c r="B139" s="1083">
        <v>6</v>
      </c>
      <c r="C139" s="1084">
        <v>96</v>
      </c>
      <c r="D139" s="2649" t="s">
        <v>2630</v>
      </c>
      <c r="E139" s="1085">
        <v>100</v>
      </c>
      <c r="F139" s="1086">
        <v>102.5</v>
      </c>
      <c r="G139" s="2649" t="s">
        <v>2630</v>
      </c>
      <c r="H139" s="1087">
        <v>105</v>
      </c>
      <c r="I139" s="2650" t="s">
        <v>2631</v>
      </c>
      <c r="J139" s="1084">
        <v>20</v>
      </c>
      <c r="K139" s="1088">
        <f>C145/(J139-2)</f>
        <v>4.0555555555555553E-3</v>
      </c>
    </row>
    <row r="140" spans="1:17" ht="15">
      <c r="B140" s="1089">
        <v>5</v>
      </c>
      <c r="C140" s="1090">
        <v>100</v>
      </c>
      <c r="D140" s="1090"/>
      <c r="E140" s="1091"/>
      <c r="F140" s="1092">
        <v>102</v>
      </c>
      <c r="G140" s="1090"/>
      <c r="H140" s="1093"/>
      <c r="I140" s="2651" t="s">
        <v>2632</v>
      </c>
      <c r="J140" s="314">
        <f>ROUNDUP((J139-1)/2,0)</f>
        <v>10</v>
      </c>
      <c r="K140" s="1094">
        <v>100</v>
      </c>
    </row>
    <row r="141" spans="1:17" ht="15">
      <c r="B141" s="1089">
        <v>4</v>
      </c>
      <c r="C141" s="1090">
        <v>102</v>
      </c>
      <c r="D141" s="1090"/>
      <c r="E141" s="1091"/>
      <c r="F141" s="1092">
        <v>101.5</v>
      </c>
      <c r="G141" s="1090"/>
      <c r="H141" s="1093"/>
      <c r="I141" s="2651" t="s">
        <v>2633</v>
      </c>
      <c r="J141" s="314">
        <v>1</v>
      </c>
      <c r="K141" s="1095">
        <f>ROUND(100+(J141-J140)*K139*100,1)</f>
        <v>96.4</v>
      </c>
    </row>
    <row r="142" spans="1:17" ht="15">
      <c r="B142" s="1089">
        <v>3</v>
      </c>
      <c r="C142" s="1090">
        <v>103</v>
      </c>
      <c r="D142" s="1090"/>
      <c r="E142" s="1091"/>
      <c r="F142" s="1092">
        <v>101</v>
      </c>
      <c r="G142" s="1090"/>
      <c r="H142" s="1093"/>
      <c r="I142" s="2651" t="s">
        <v>2634</v>
      </c>
      <c r="J142" s="314">
        <f>J139</f>
        <v>20</v>
      </c>
      <c r="K142" s="1096">
        <v>95</v>
      </c>
    </row>
    <row r="143" spans="1:17" ht="15">
      <c r="B143" s="1089">
        <v>2</v>
      </c>
      <c r="C143" s="1090">
        <v>100</v>
      </c>
      <c r="D143" s="1090"/>
      <c r="E143" s="1091"/>
      <c r="F143" s="1092">
        <v>100.5</v>
      </c>
      <c r="G143" s="1090"/>
      <c r="H143" s="1093"/>
      <c r="I143" s="2651" t="s">
        <v>2635</v>
      </c>
      <c r="J143" s="1090">
        <v>15</v>
      </c>
      <c r="K143" s="1095">
        <f>ROUND(100+(J143-J140)*K139*100,1)</f>
        <v>102</v>
      </c>
    </row>
    <row r="144" spans="1:17" ht="15">
      <c r="B144" s="1089">
        <v>1</v>
      </c>
      <c r="C144" s="1090">
        <v>98</v>
      </c>
      <c r="D144" s="2652" t="s">
        <v>2636</v>
      </c>
      <c r="E144" s="1091">
        <v>102</v>
      </c>
      <c r="F144" s="1097">
        <v>100</v>
      </c>
      <c r="G144" s="2652" t="s">
        <v>2636</v>
      </c>
      <c r="H144" s="1093">
        <v>105</v>
      </c>
      <c r="I144" s="2651" t="s">
        <v>2635</v>
      </c>
      <c r="J144" s="1090">
        <v>18</v>
      </c>
      <c r="K144" s="1095">
        <f>ROUND(100+(J144-J140)*K139*100,1)</f>
        <v>103.2</v>
      </c>
    </row>
    <row r="145" spans="2:11" ht="15.75" thickBot="1">
      <c r="B145" s="2653" t="s">
        <v>2637</v>
      </c>
      <c r="C145" s="1098">
        <f>ROUND(MAX(C139:C144)/MIN(C139:C144)-1,3)</f>
        <v>7.2999999999999995E-2</v>
      </c>
      <c r="D145" s="1099"/>
      <c r="E145" s="1099"/>
      <c r="F145" s="2654" t="s">
        <v>2638</v>
      </c>
      <c r="G145" s="2655"/>
      <c r="H145" s="2656"/>
      <c r="I145" s="2657" t="s">
        <v>2635</v>
      </c>
      <c r="J145" s="1100">
        <v>8</v>
      </c>
      <c r="K145" s="1101">
        <f>ROUND(100+(J145-J140)*K139*100,1)</f>
        <v>99.2</v>
      </c>
    </row>
    <row r="147" spans="2:11">
      <c r="B147" s="2638" t="s">
        <v>2639</v>
      </c>
    </row>
    <row r="148" spans="2:11">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2641</v>
      </c>
      <c r="C1" s="1633" t="s">
        <v>2529</v>
      </c>
      <c r="D1" s="1620">
        <v>-201</v>
      </c>
      <c r="E1" s="2658"/>
      <c r="F1" s="2585" t="s">
        <v>3115</v>
      </c>
      <c r="G1" s="1630" t="s">
        <v>2642</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2326</v>
      </c>
      <c r="B2" s="1417">
        <f>IF(C2="——",ROUND(C49*D3/10000,0),ROUND(C49*D3/10000,0)-D2)</f>
        <v>0</v>
      </c>
      <c r="C2" s="2587" t="s">
        <v>70</v>
      </c>
      <c r="D2" s="1364" t="e">
        <f ca="1">SUMIF(INDIRECT("'"&amp;F2&amp;"'"&amp;"!A:A"),"承租人权益价值",INDIRECT("'"&amp;F2&amp;"'"&amp;"!c:c"))</f>
        <v>#REF!</v>
      </c>
      <c r="E2" s="2588" t="s">
        <v>2327</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2328</v>
      </c>
      <c r="B3" s="608">
        <f>IF(C2="——",C49,ROUND(B2*10000/D3,0))</f>
        <v>30077</v>
      </c>
      <c r="C3" s="399" t="s">
        <v>2643</v>
      </c>
      <c r="D3" s="398">
        <f>IF(D1="",'数据-汇总表'!E3,SUMIF('数据-汇总表'!$C19:$C33,D1,'数据-汇总表'!$E19:$E33))</f>
        <v>0</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49" t="s">
        <v>2646</v>
      </c>
      <c r="S4" s="3250"/>
      <c r="T4" s="3249" t="s">
        <v>2647</v>
      </c>
      <c r="U4" s="3250"/>
      <c r="V4" s="3274" t="s">
        <v>2648</v>
      </c>
      <c r="W4" s="3274"/>
      <c r="X4" s="1812"/>
      <c r="Y4" s="3249" t="s">
        <v>2650</v>
      </c>
      <c r="Z4" s="3250"/>
      <c r="AA4" s="3244" t="s">
        <v>2646</v>
      </c>
      <c r="AB4" s="3274" t="s">
        <v>2647</v>
      </c>
      <c r="AC4" s="3244" t="s">
        <v>2648</v>
      </c>
    </row>
    <row r="5" spans="1:29" ht="15">
      <c r="A5" s="403"/>
      <c r="B5" s="404"/>
      <c r="C5" s="3255" t="s">
        <v>2541</v>
      </c>
      <c r="D5" s="3256"/>
      <c r="E5" s="3296" t="s">
        <v>3145</v>
      </c>
      <c r="F5" s="3297"/>
      <c r="G5" s="3292" t="s">
        <v>3146</v>
      </c>
      <c r="H5" s="3293"/>
      <c r="I5" s="3292" t="s">
        <v>3147</v>
      </c>
      <c r="J5" s="3293"/>
      <c r="K5" s="609"/>
      <c r="L5" s="1129"/>
      <c r="M5" s="1130"/>
      <c r="N5" s="1130"/>
      <c r="O5" s="1130"/>
      <c r="P5" s="3268"/>
      <c r="Q5" s="3269"/>
      <c r="R5" s="3251"/>
      <c r="S5" s="3252"/>
      <c r="T5" s="3251"/>
      <c r="U5" s="3252"/>
      <c r="V5" s="3274"/>
      <c r="W5" s="3274"/>
      <c r="X5" s="1812"/>
      <c r="Y5" s="3251"/>
      <c r="Z5" s="3252"/>
      <c r="AA5" s="3245"/>
      <c r="AB5" s="3274"/>
      <c r="AC5" s="3245"/>
    </row>
    <row r="6" spans="1:29" ht="15.75" thickBot="1">
      <c r="A6" s="405"/>
      <c r="B6" s="406"/>
      <c r="C6" s="3257" t="s">
        <v>2545</v>
      </c>
      <c r="D6" s="3258"/>
      <c r="E6" s="3294" t="s">
        <v>3148</v>
      </c>
      <c r="F6" s="3295"/>
      <c r="G6" s="3290" t="s">
        <v>3148</v>
      </c>
      <c r="H6" s="3291"/>
      <c r="I6" s="3290" t="s">
        <v>3148</v>
      </c>
      <c r="J6" s="3291"/>
      <c r="K6" s="609" t="s">
        <v>2546</v>
      </c>
      <c r="L6" s="1129"/>
      <c r="M6" s="1130"/>
      <c r="N6" s="1130"/>
      <c r="O6" s="1130"/>
      <c r="P6" s="3270"/>
      <c r="Q6" s="3271"/>
      <c r="R6" s="3251"/>
      <c r="S6" s="3252"/>
      <c r="T6" s="3272"/>
      <c r="U6" s="3273"/>
      <c r="V6" s="3274"/>
      <c r="W6" s="3274"/>
      <c r="X6" s="1812"/>
      <c r="Y6" s="3272"/>
      <c r="Z6" s="3273"/>
      <c r="AA6" s="3246"/>
      <c r="AB6" s="3274"/>
      <c r="AC6" s="3246"/>
    </row>
    <row r="7" spans="1:29" s="117" customFormat="1" ht="15.75" thickBot="1">
      <c r="A7" s="407" t="s">
        <v>2547</v>
      </c>
      <c r="B7" s="408"/>
      <c r="C7" s="409">
        <f>'数据-取费表'!B2</f>
        <v>43914</v>
      </c>
      <c r="D7" s="410">
        <v>100</v>
      </c>
      <c r="E7" s="411">
        <v>43891</v>
      </c>
      <c r="F7" s="412">
        <f>SUMIF(58:58,YEAR(E7)&amp;"-"&amp;MONTH(E7),59:59)</f>
        <v>100</v>
      </c>
      <c r="G7" s="411">
        <v>43891</v>
      </c>
      <c r="H7" s="410">
        <f>SUMIF(58:58,YEAR(G7)&amp;"-"&amp;MONTH(G7),59:59)</f>
        <v>100</v>
      </c>
      <c r="I7" s="411">
        <v>43891</v>
      </c>
      <c r="J7" s="410">
        <f>SUMIF(58:58,YEAR(I7)&amp;"-"&amp;MONTH(I7),59:59)</f>
        <v>100</v>
      </c>
      <c r="K7" s="610"/>
      <c r="L7" s="1131"/>
      <c r="M7" s="1132"/>
      <c r="N7" s="1132"/>
      <c r="O7" s="1132"/>
      <c r="P7" s="3247" t="s">
        <v>2548</v>
      </c>
      <c r="Q7" s="3275"/>
      <c r="R7" s="769" t="s">
        <v>17</v>
      </c>
      <c r="S7" s="770">
        <f t="shared" ref="S7:S15" si="0">F7</f>
        <v>100</v>
      </c>
      <c r="T7" s="769" t="s">
        <v>17</v>
      </c>
      <c r="U7" s="770">
        <f t="shared" ref="U7:U15" si="1">H7</f>
        <v>100</v>
      </c>
      <c r="V7" s="769" t="s">
        <v>17</v>
      </c>
      <c r="W7" s="770">
        <f t="shared" ref="W7:W15" si="2">J7</f>
        <v>100</v>
      </c>
      <c r="X7" s="771"/>
      <c r="Y7" s="3247" t="s">
        <v>2548</v>
      </c>
      <c r="Z7" s="3248"/>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1"/>
      <c r="M8" s="1132"/>
      <c r="N8" s="1132"/>
      <c r="O8" s="1132"/>
      <c r="P8" s="3247" t="s">
        <v>2551</v>
      </c>
      <c r="Q8" s="3248"/>
      <c r="R8" s="769" t="s">
        <v>17</v>
      </c>
      <c r="S8" s="770">
        <f t="shared" si="0"/>
        <v>100</v>
      </c>
      <c r="T8" s="769" t="s">
        <v>17</v>
      </c>
      <c r="U8" s="770">
        <f t="shared" si="1"/>
        <v>100</v>
      </c>
      <c r="V8" s="769" t="s">
        <v>17</v>
      </c>
      <c r="W8" s="770">
        <f t="shared" si="2"/>
        <v>100</v>
      </c>
      <c r="X8" s="771"/>
      <c r="Y8" s="3247" t="s">
        <v>2551</v>
      </c>
      <c r="Z8" s="3248"/>
      <c r="AA8" s="772">
        <f t="shared" ref="AA8:AA46" si="3">D8/F8</f>
        <v>1</v>
      </c>
      <c r="AB8" s="772">
        <f t="shared" ref="AB8:AB46" si="4">D8/H8</f>
        <v>1</v>
      </c>
      <c r="AC8" s="772">
        <f t="shared" ref="AC8:AC46" si="5">D8/J8</f>
        <v>1</v>
      </c>
    </row>
    <row r="9" spans="1:29" s="117" customFormat="1">
      <c r="A9" s="414" t="s">
        <v>2552</v>
      </c>
      <c r="B9" s="71" t="s">
        <v>2553</v>
      </c>
      <c r="C9" s="3014" t="s">
        <v>3124</v>
      </c>
      <c r="D9" s="134">
        <v>100</v>
      </c>
      <c r="E9" s="3014" t="s">
        <v>3124</v>
      </c>
      <c r="F9" s="417">
        <f>SUMIF(63:63,E9,64:64)-SUMIF(63:63,C9,64:64)+100</f>
        <v>100</v>
      </c>
      <c r="G9" s="3014" t="s">
        <v>3124</v>
      </c>
      <c r="H9" s="134">
        <f>SUMIF(63:63,G9,64:64)-SUMIF(63:63,C9,64:64)+100</f>
        <v>100</v>
      </c>
      <c r="I9" s="3014" t="s">
        <v>3124</v>
      </c>
      <c r="J9" s="134">
        <f>SUMIF(63:63,I9,64:64)-SUMIF(63:63,C9,64:64)+100</f>
        <v>100</v>
      </c>
      <c r="K9" s="610"/>
      <c r="L9" s="1131"/>
      <c r="M9" s="1132"/>
      <c r="N9" s="1132"/>
      <c r="O9" s="1132"/>
      <c r="P9" s="3261" t="s">
        <v>2554</v>
      </c>
      <c r="Q9" s="1794"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22" t="s">
        <v>3125</v>
      </c>
      <c r="D10" s="135">
        <v>100</v>
      </c>
      <c r="E10" s="422" t="s">
        <v>3125</v>
      </c>
      <c r="F10" s="424">
        <f>SUMIF(65:65,E10,66:66)-SUMIF(65:65,C10,66:66)+100</f>
        <v>100</v>
      </c>
      <c r="G10" s="422" t="s">
        <v>3125</v>
      </c>
      <c r="H10" s="135">
        <f>SUMIF(65:65,G10,66:66)-SUMIF(65:65,C10,66:66)+100</f>
        <v>100</v>
      </c>
      <c r="I10" s="422" t="s">
        <v>3125</v>
      </c>
      <c r="J10" s="135">
        <f>SUMIF(65:65,I10,66:66)-SUMIF(65:65,C10,66:66)+100</f>
        <v>100</v>
      </c>
      <c r="K10" s="611"/>
      <c r="L10" s="1134"/>
      <c r="M10" s="1135"/>
      <c r="N10" s="1135"/>
      <c r="O10" s="1135"/>
      <c r="P10" s="3261"/>
      <c r="Q10" s="1794"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7"/>
      <c r="M11" s="1130"/>
      <c r="N11" s="1130"/>
      <c r="O11" s="1130"/>
      <c r="P11" s="3261"/>
      <c r="Q11" s="1794" t="str">
        <f t="shared" si="6"/>
        <v>容积率</v>
      </c>
      <c r="R11" s="769" t="s">
        <v>17</v>
      </c>
      <c r="S11" s="770">
        <f t="shared" si="0"/>
        <v>100</v>
      </c>
      <c r="T11" s="769" t="s">
        <v>17</v>
      </c>
      <c r="U11" s="770">
        <f t="shared" si="1"/>
        <v>100</v>
      </c>
      <c r="V11" s="769" t="s">
        <v>17</v>
      </c>
      <c r="W11" s="770">
        <f t="shared" si="2"/>
        <v>100</v>
      </c>
      <c r="X11" s="771"/>
      <c r="Y11" s="3090"/>
      <c r="Z11" s="55" t="str">
        <f t="shared" si="7"/>
        <v>容积率</v>
      </c>
      <c r="AA11" s="772">
        <f t="shared" si="3"/>
        <v>1</v>
      </c>
      <c r="AB11" s="772">
        <f t="shared" si="4"/>
        <v>1</v>
      </c>
      <c r="AC11" s="772">
        <f t="shared" si="5"/>
        <v>1</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61"/>
      <c r="Q12" s="1794">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61"/>
      <c r="Q13" s="1794">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61"/>
      <c r="Q14" s="1794">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71.25">
      <c r="A15" s="439" t="s">
        <v>2558</v>
      </c>
      <c r="B15" s="69" t="s">
        <v>2652</v>
      </c>
      <c r="C15" s="2604" t="str">
        <f>估价对象房地状况!C4</f>
        <v>估价对象位于顺义商圈，周边商业氛围成熟，人流量大，商业繁华度好</v>
      </c>
      <c r="D15" s="440">
        <v>100</v>
      </c>
      <c r="E15" s="441"/>
      <c r="F15" s="442">
        <f>SUMIF(76:76,E16,77:77)-SUMIF(76:76,C16,77:77)+100</f>
        <v>102</v>
      </c>
      <c r="G15" s="443"/>
      <c r="H15" s="440">
        <f>SUMIF(76:76,G16,77:77)-SUMIF(76:76,C16,77:77)+100</f>
        <v>102</v>
      </c>
      <c r="I15" s="441"/>
      <c r="J15" s="440">
        <f>SUMIF(76:76,I16,77:77)-SUMIF(76:76,C16,77:77)+100</f>
        <v>100</v>
      </c>
      <c r="K15" s="613">
        <v>2</v>
      </c>
      <c r="L15" s="1139"/>
      <c r="M15" s="1130"/>
      <c r="N15" s="1130"/>
      <c r="O15" s="1130"/>
      <c r="P15" s="3288" t="s">
        <v>2559</v>
      </c>
      <c r="Q15" s="1809" t="str">
        <f t="shared" si="6"/>
        <v>商业繁华度</v>
      </c>
      <c r="R15" s="773" t="s">
        <v>17</v>
      </c>
      <c r="S15" s="774">
        <f t="shared" si="0"/>
        <v>102</v>
      </c>
      <c r="T15" s="773" t="s">
        <v>17</v>
      </c>
      <c r="U15" s="774">
        <f t="shared" si="1"/>
        <v>102</v>
      </c>
      <c r="V15" s="773" t="s">
        <v>17</v>
      </c>
      <c r="W15" s="774">
        <f t="shared" si="2"/>
        <v>100</v>
      </c>
      <c r="X15" s="1812"/>
      <c r="Y15" s="3281" t="s">
        <v>2559</v>
      </c>
      <c r="Z15" s="1813" t="str">
        <f t="shared" si="7"/>
        <v>商业繁华度</v>
      </c>
      <c r="AA15" s="1810">
        <f t="shared" si="3"/>
        <v>0.98039215686274506</v>
      </c>
      <c r="AB15" s="1810">
        <f t="shared" si="4"/>
        <v>0.98039215686274506</v>
      </c>
      <c r="AC15" s="1810">
        <f t="shared" si="5"/>
        <v>1</v>
      </c>
    </row>
    <row r="16" spans="1:29" ht="15">
      <c r="A16" s="427"/>
      <c r="B16" s="445"/>
      <c r="C16" s="446" t="s">
        <v>3126</v>
      </c>
      <c r="D16" s="447"/>
      <c r="E16" s="446" t="s">
        <v>3127</v>
      </c>
      <c r="F16" s="448"/>
      <c r="G16" s="446" t="s">
        <v>3127</v>
      </c>
      <c r="H16" s="449"/>
      <c r="I16" s="446" t="s">
        <v>3126</v>
      </c>
      <c r="J16" s="447"/>
      <c r="K16" s="614"/>
      <c r="L16" s="1139"/>
      <c r="M16" s="1130"/>
      <c r="N16" s="1130"/>
      <c r="O16" s="1130"/>
      <c r="P16" s="3289"/>
      <c r="Q16" s="1809"/>
      <c r="R16" s="773"/>
      <c r="S16" s="774"/>
      <c r="T16" s="773"/>
      <c r="U16" s="774"/>
      <c r="V16" s="773"/>
      <c r="W16" s="774"/>
      <c r="X16" s="1812"/>
      <c r="Y16" s="3282"/>
      <c r="Z16" s="1813"/>
      <c r="AA16" s="1810">
        <v>1</v>
      </c>
      <c r="AB16" s="1810">
        <v>1</v>
      </c>
      <c r="AC16" s="1810">
        <v>1</v>
      </c>
    </row>
    <row r="17" spans="1:29" ht="85.5">
      <c r="A17" s="427"/>
      <c r="B17" s="450" t="s">
        <v>2094</v>
      </c>
      <c r="C17" s="2608"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100</v>
      </c>
      <c r="K17" s="613">
        <v>2</v>
      </c>
      <c r="L17" s="1139"/>
      <c r="M17" s="1130"/>
      <c r="N17" s="1130"/>
      <c r="O17" s="1130"/>
      <c r="P17" s="3289"/>
      <c r="Q17" s="1809" t="str">
        <f>B17</f>
        <v>交通便捷度</v>
      </c>
      <c r="R17" s="773" t="s">
        <v>17</v>
      </c>
      <c r="S17" s="774">
        <f>F17</f>
        <v>102</v>
      </c>
      <c r="T17" s="773" t="s">
        <v>17</v>
      </c>
      <c r="U17" s="774">
        <f>H17</f>
        <v>102</v>
      </c>
      <c r="V17" s="773" t="s">
        <v>17</v>
      </c>
      <c r="W17" s="774">
        <f>J17</f>
        <v>100</v>
      </c>
      <c r="X17" s="1812"/>
      <c r="Y17" s="3282"/>
      <c r="Z17" s="1813" t="str">
        <f>Q17</f>
        <v>交通便捷度</v>
      </c>
      <c r="AA17" s="1810">
        <f t="shared" si="3"/>
        <v>0.98039215686274506</v>
      </c>
      <c r="AB17" s="1810">
        <f t="shared" si="4"/>
        <v>0.98039215686274506</v>
      </c>
      <c r="AC17" s="1810">
        <f t="shared" si="5"/>
        <v>1</v>
      </c>
    </row>
    <row r="18" spans="1:29" ht="15">
      <c r="A18" s="427"/>
      <c r="B18" s="455"/>
      <c r="C18" s="2609" t="s">
        <v>3126</v>
      </c>
      <c r="D18" s="449"/>
      <c r="E18" s="2611" t="s">
        <v>3127</v>
      </c>
      <c r="F18" s="452"/>
      <c r="G18" s="2610" t="s">
        <v>3127</v>
      </c>
      <c r="H18" s="447"/>
      <c r="I18" s="2611" t="s">
        <v>3126</v>
      </c>
      <c r="J18" s="447"/>
      <c r="K18" s="614"/>
      <c r="L18" s="1139"/>
      <c r="M18" s="1130"/>
      <c r="N18" s="1130"/>
      <c r="O18" s="1130"/>
      <c r="P18" s="3289"/>
      <c r="Q18" s="1809"/>
      <c r="R18" s="773"/>
      <c r="S18" s="774"/>
      <c r="T18" s="773"/>
      <c r="U18" s="774"/>
      <c r="V18" s="773"/>
      <c r="W18" s="774"/>
      <c r="X18" s="1812"/>
      <c r="Y18" s="3282"/>
      <c r="Z18" s="1813"/>
      <c r="AA18" s="1810">
        <v>1</v>
      </c>
      <c r="AB18" s="1810">
        <v>1</v>
      </c>
      <c r="AC18" s="1810">
        <v>1</v>
      </c>
    </row>
    <row r="19" spans="1:29" ht="42.75">
      <c r="A19" s="427"/>
      <c r="B19" s="450" t="s">
        <v>2653</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1</v>
      </c>
      <c r="L19" s="1139"/>
      <c r="M19" s="1130"/>
      <c r="N19" s="1130"/>
      <c r="O19" s="1130"/>
      <c r="P19" s="3289"/>
      <c r="Q19" s="1809" t="str">
        <f>B19</f>
        <v>公共配套设施</v>
      </c>
      <c r="R19" s="773" t="s">
        <v>17</v>
      </c>
      <c r="S19" s="774">
        <f>F19</f>
        <v>100</v>
      </c>
      <c r="T19" s="773" t="s">
        <v>17</v>
      </c>
      <c r="U19" s="774">
        <f>H19</f>
        <v>100</v>
      </c>
      <c r="V19" s="773" t="s">
        <v>17</v>
      </c>
      <c r="W19" s="774">
        <f>J19</f>
        <v>100</v>
      </c>
      <c r="X19" s="1812"/>
      <c r="Y19" s="3282"/>
      <c r="Z19" s="1813" t="str">
        <f>Q19</f>
        <v>公共配套设施</v>
      </c>
      <c r="AA19" s="1810">
        <f t="shared" si="3"/>
        <v>1</v>
      </c>
      <c r="AB19" s="1810">
        <f t="shared" si="4"/>
        <v>1</v>
      </c>
      <c r="AC19" s="1810">
        <f t="shared" si="5"/>
        <v>1</v>
      </c>
    </row>
    <row r="20" spans="1:29" ht="15">
      <c r="A20" s="427"/>
      <c r="B20" s="455"/>
      <c r="C20" s="446" t="s">
        <v>3127</v>
      </c>
      <c r="D20" s="447"/>
      <c r="E20" s="446" t="s">
        <v>3127</v>
      </c>
      <c r="F20" s="448"/>
      <c r="G20" s="446" t="s">
        <v>3127</v>
      </c>
      <c r="H20" s="447"/>
      <c r="I20" s="446" t="s">
        <v>3127</v>
      </c>
      <c r="J20" s="447"/>
      <c r="K20" s="614"/>
      <c r="L20" s="1139"/>
      <c r="M20" s="1130"/>
      <c r="N20" s="1130"/>
      <c r="O20" s="1130"/>
      <c r="P20" s="3289"/>
      <c r="Q20" s="1809"/>
      <c r="R20" s="773"/>
      <c r="S20" s="774"/>
      <c r="T20" s="773"/>
      <c r="U20" s="774"/>
      <c r="V20" s="773"/>
      <c r="W20" s="774"/>
      <c r="X20" s="1812"/>
      <c r="Y20" s="3282"/>
      <c r="Z20" s="1813"/>
      <c r="AA20" s="1810">
        <v>1</v>
      </c>
      <c r="AB20" s="1810">
        <v>1</v>
      </c>
      <c r="AC20" s="1810">
        <v>1</v>
      </c>
    </row>
    <row r="21" spans="1:29" ht="28.5">
      <c r="A21" s="427"/>
      <c r="B21" s="1383" t="s">
        <v>2654</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89"/>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1810">
        <f t="shared" ref="AC21" si="10">D21/J21</f>
        <v>1</v>
      </c>
    </row>
    <row r="22" spans="1:29" ht="15">
      <c r="A22" s="427"/>
      <c r="B22" s="1383"/>
      <c r="C22" s="2609" t="s">
        <v>3128</v>
      </c>
      <c r="D22" s="447"/>
      <c r="E22" s="2609" t="s">
        <v>3128</v>
      </c>
      <c r="F22" s="448"/>
      <c r="G22" s="2609" t="s">
        <v>3128</v>
      </c>
      <c r="H22" s="447"/>
      <c r="I22" s="2609" t="s">
        <v>3128</v>
      </c>
      <c r="J22" s="447"/>
      <c r="K22" s="1382"/>
      <c r="L22" s="1139"/>
      <c r="M22" s="1130"/>
      <c r="N22" s="1130"/>
      <c r="O22" s="1130"/>
      <c r="P22" s="3289"/>
      <c r="Q22" s="1809"/>
      <c r="R22" s="773"/>
      <c r="S22" s="774"/>
      <c r="T22" s="773"/>
      <c r="U22" s="774"/>
      <c r="V22" s="773"/>
      <c r="W22" s="774"/>
      <c r="X22" s="1812"/>
      <c r="Y22" s="3282"/>
      <c r="Z22" s="1813"/>
      <c r="AA22" s="1810">
        <v>1</v>
      </c>
      <c r="AB22" s="1810">
        <v>1</v>
      </c>
      <c r="AC22" s="1810">
        <v>1</v>
      </c>
    </row>
    <row r="23" spans="1:29" ht="57">
      <c r="A23" s="427"/>
      <c r="B23" s="450" t="s">
        <v>2099</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1</v>
      </c>
      <c r="L23" s="1139"/>
      <c r="M23" s="1130"/>
      <c r="N23" s="1130"/>
      <c r="O23" s="1130"/>
      <c r="P23" s="3289"/>
      <c r="Q23" s="1809" t="str">
        <f>B23</f>
        <v>自然及人文环境</v>
      </c>
      <c r="R23" s="773" t="s">
        <v>17</v>
      </c>
      <c r="S23" s="774">
        <f>F23</f>
        <v>100</v>
      </c>
      <c r="T23" s="773" t="s">
        <v>17</v>
      </c>
      <c r="U23" s="774">
        <f>H23</f>
        <v>100</v>
      </c>
      <c r="V23" s="773" t="s">
        <v>17</v>
      </c>
      <c r="W23" s="774">
        <f>J23</f>
        <v>100</v>
      </c>
      <c r="X23" s="1812"/>
      <c r="Y23" s="3282"/>
      <c r="Z23" s="1813" t="str">
        <f>Q23</f>
        <v>自然及人文环境</v>
      </c>
      <c r="AA23" s="1810">
        <f t="shared" si="3"/>
        <v>1</v>
      </c>
      <c r="AB23" s="1810">
        <f t="shared" si="4"/>
        <v>1</v>
      </c>
      <c r="AC23" s="1810">
        <f t="shared" si="5"/>
        <v>1</v>
      </c>
    </row>
    <row r="24" spans="1:29" ht="15">
      <c r="A24" s="427"/>
      <c r="B24" s="455"/>
      <c r="C24" s="446" t="s">
        <v>3127</v>
      </c>
      <c r="D24" s="447"/>
      <c r="E24" s="446" t="s">
        <v>3127</v>
      </c>
      <c r="F24" s="448"/>
      <c r="G24" s="446" t="s">
        <v>3127</v>
      </c>
      <c r="H24" s="447"/>
      <c r="I24" s="446" t="s">
        <v>3127</v>
      </c>
      <c r="J24" s="447"/>
      <c r="K24" s="614"/>
      <c r="L24" s="1139"/>
      <c r="M24" s="1130"/>
      <c r="N24" s="1130"/>
      <c r="O24" s="1130"/>
      <c r="P24" s="3289"/>
      <c r="Q24" s="1809"/>
      <c r="R24" s="773"/>
      <c r="S24" s="774"/>
      <c r="T24" s="773"/>
      <c r="U24" s="774"/>
      <c r="V24" s="773"/>
      <c r="W24" s="774"/>
      <c r="X24" s="1812"/>
      <c r="Y24" s="3282"/>
      <c r="Z24" s="1813"/>
      <c r="AA24" s="1810">
        <v>1</v>
      </c>
      <c r="AB24" s="1810">
        <v>1</v>
      </c>
      <c r="AC24" s="1810">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v>1</v>
      </c>
      <c r="L25" s="1139"/>
      <c r="M25" s="1130"/>
      <c r="N25" s="1130"/>
      <c r="O25" s="1130"/>
      <c r="P25" s="3289"/>
      <c r="Q25" s="1809" t="str">
        <f t="shared" ref="Q25:Q46" si="11">B25</f>
        <v>临街状况</v>
      </c>
      <c r="R25" s="773" t="s">
        <v>17</v>
      </c>
      <c r="S25" s="774">
        <f>F25</f>
        <v>100</v>
      </c>
      <c r="T25" s="773" t="s">
        <v>17</v>
      </c>
      <c r="U25" s="774">
        <f>H25</f>
        <v>100</v>
      </c>
      <c r="V25" s="773" t="s">
        <v>17</v>
      </c>
      <c r="W25" s="774">
        <f>J25</f>
        <v>100</v>
      </c>
      <c r="X25" s="1812"/>
      <c r="Y25" s="3282"/>
      <c r="Z25" s="1813" t="str">
        <f>Q25</f>
        <v>临街状况</v>
      </c>
      <c r="AA25" s="1810">
        <f t="shared" si="3"/>
        <v>1</v>
      </c>
      <c r="AB25" s="1810">
        <f t="shared" si="4"/>
        <v>1</v>
      </c>
      <c r="AC25" s="1810">
        <f t="shared" si="5"/>
        <v>1</v>
      </c>
    </row>
    <row r="26" spans="1:29" ht="15">
      <c r="A26" s="427"/>
      <c r="B26" s="1385" t="s">
        <v>2656</v>
      </c>
      <c r="C26" s="3020" t="s">
        <v>3150</v>
      </c>
      <c r="D26" s="434">
        <v>100</v>
      </c>
      <c r="E26" s="3020" t="s">
        <v>3151</v>
      </c>
      <c r="F26" s="460">
        <f>SUMIF(88:88,E26,89:89)-SUMIF(88:88,C26,89:89)+100</f>
        <v>102</v>
      </c>
      <c r="G26" s="3020" t="s">
        <v>3152</v>
      </c>
      <c r="H26" s="434">
        <f>SUMIF(88:88,G26,89:89)-SUMIF(88:88,C26,89:89)+100</f>
        <v>102</v>
      </c>
      <c r="I26" s="3020" t="s">
        <v>3151</v>
      </c>
      <c r="J26" s="434">
        <f>SUMIF(88:88,I26,89:89)-SUMIF(88:88,C26,89:89)+100</f>
        <v>102</v>
      </c>
      <c r="K26" s="612"/>
      <c r="L26" s="1139"/>
      <c r="M26" s="1130"/>
      <c r="N26" s="1130"/>
      <c r="O26" s="1130"/>
      <c r="P26" s="3289"/>
      <c r="Q26" s="1809" t="str">
        <f t="shared" si="11"/>
        <v>平面位置/可视性</v>
      </c>
      <c r="R26" s="773" t="s">
        <v>17</v>
      </c>
      <c r="S26" s="774">
        <f>F26</f>
        <v>102</v>
      </c>
      <c r="T26" s="773" t="s">
        <v>17</v>
      </c>
      <c r="U26" s="774">
        <f>H26</f>
        <v>102</v>
      </c>
      <c r="V26" s="773" t="s">
        <v>17</v>
      </c>
      <c r="W26" s="774">
        <f>J26</f>
        <v>102</v>
      </c>
      <c r="X26" s="1812"/>
      <c r="Y26" s="3282"/>
      <c r="Z26" s="1813" t="str">
        <f>Q26</f>
        <v>平面位置/可视性</v>
      </c>
      <c r="AA26" s="1810">
        <f t="shared" si="3"/>
        <v>0.98039215686274506</v>
      </c>
      <c r="AB26" s="1810">
        <f t="shared" si="4"/>
        <v>0.98039215686274506</v>
      </c>
      <c r="AC26" s="1810">
        <f t="shared" si="5"/>
        <v>0.98039215686274506</v>
      </c>
    </row>
    <row r="27" spans="1:29" s="117" customFormat="1" ht="15.75" thickBot="1">
      <c r="A27" s="430"/>
      <c r="B27" s="450" t="s">
        <v>2657</v>
      </c>
      <c r="C27" s="2666" t="s">
        <v>3126</v>
      </c>
      <c r="D27" s="461">
        <v>100</v>
      </c>
      <c r="E27" s="2666" t="s">
        <v>3153</v>
      </c>
      <c r="F27" s="463">
        <f>SUMIF(90:90,E27,91:91)-SUMIF(90:90,C27,91:91)+100</f>
        <v>101</v>
      </c>
      <c r="G27" s="2666" t="s">
        <v>3153</v>
      </c>
      <c r="H27" s="461">
        <f>SUMIF(90:90,G27,91:91)-SUMIF(90:90,C27,91:91)+100</f>
        <v>101</v>
      </c>
      <c r="I27" s="2666" t="s">
        <v>3153</v>
      </c>
      <c r="J27" s="461">
        <f>SUMIF(90:90,I27,91:91)-SUMIF(90:90,C27,91:91)+100</f>
        <v>101</v>
      </c>
      <c r="K27" s="611">
        <v>1</v>
      </c>
      <c r="L27" s="1131"/>
      <c r="M27" s="1132"/>
      <c r="N27" s="1132"/>
      <c r="O27" s="1132"/>
      <c r="P27" s="3289"/>
      <c r="Q27" s="1794" t="str">
        <f t="shared" si="11"/>
        <v>人流量</v>
      </c>
      <c r="R27" s="769" t="s">
        <v>17</v>
      </c>
      <c r="S27" s="770">
        <f>F27</f>
        <v>101</v>
      </c>
      <c r="T27" s="769" t="s">
        <v>17</v>
      </c>
      <c r="U27" s="770">
        <f>H27</f>
        <v>101</v>
      </c>
      <c r="V27" s="769" t="s">
        <v>17</v>
      </c>
      <c r="W27" s="770">
        <f>J27</f>
        <v>101</v>
      </c>
      <c r="X27" s="771"/>
      <c r="Y27" s="3282"/>
      <c r="Z27" s="55" t="str">
        <f>Q27</f>
        <v>人流量</v>
      </c>
      <c r="AA27" s="1810">
        <f>D27/F27</f>
        <v>0.99009900990099009</v>
      </c>
      <c r="AB27" s="1810">
        <f>D27/H27</f>
        <v>0.99009900990099009</v>
      </c>
      <c r="AC27" s="1810">
        <f>D27/J27</f>
        <v>0.99009900990099009</v>
      </c>
    </row>
    <row r="28" spans="1:29" ht="15.75" hidden="1" thickBot="1">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8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82"/>
      <c r="Z28" s="1813" t="str">
        <f t="shared" ref="Z28:Z46" si="15">Q28</f>
        <v>楼层</v>
      </c>
      <c r="AA28" s="1810">
        <f t="shared" si="3"/>
        <v>1</v>
      </c>
      <c r="AB28" s="1810">
        <f t="shared" si="4"/>
        <v>1</v>
      </c>
      <c r="AC28" s="1810">
        <f t="shared" si="5"/>
        <v>1</v>
      </c>
    </row>
    <row r="29" spans="1:29" ht="15" hidden="1">
      <c r="A29" s="427"/>
      <c r="B29" s="3013" t="s">
        <v>3117</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89"/>
      <c r="Q29" s="1809" t="str">
        <f t="shared" si="11"/>
        <v>楼层</v>
      </c>
      <c r="R29" s="773" t="s">
        <v>17</v>
      </c>
      <c r="S29" s="774">
        <f t="shared" si="12"/>
        <v>100</v>
      </c>
      <c r="T29" s="773" t="s">
        <v>17</v>
      </c>
      <c r="U29" s="774">
        <f t="shared" si="13"/>
        <v>100</v>
      </c>
      <c r="V29" s="773" t="s">
        <v>17</v>
      </c>
      <c r="W29" s="774">
        <f t="shared" si="14"/>
        <v>100</v>
      </c>
      <c r="X29" s="1812"/>
      <c r="Y29" s="3282"/>
      <c r="Z29" s="1813" t="str">
        <f t="shared" si="15"/>
        <v>楼层</v>
      </c>
      <c r="AA29" s="1810">
        <f t="shared" si="3"/>
        <v>1</v>
      </c>
      <c r="AB29" s="1810">
        <f t="shared" si="4"/>
        <v>1</v>
      </c>
      <c r="AC29" s="1810">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89"/>
      <c r="Q30" s="1809">
        <f t="shared" si="11"/>
        <v>111</v>
      </c>
      <c r="R30" s="773" t="s">
        <v>17</v>
      </c>
      <c r="S30" s="774">
        <f t="shared" si="12"/>
        <v>100</v>
      </c>
      <c r="T30" s="773" t="s">
        <v>17</v>
      </c>
      <c r="U30" s="774">
        <f t="shared" si="13"/>
        <v>100</v>
      </c>
      <c r="V30" s="773" t="s">
        <v>17</v>
      </c>
      <c r="W30" s="774">
        <f t="shared" si="14"/>
        <v>100</v>
      </c>
      <c r="X30" s="1812"/>
      <c r="Y30" s="3282"/>
      <c r="Z30" s="1813">
        <f t="shared" si="15"/>
        <v>111</v>
      </c>
      <c r="AA30" s="1810">
        <f t="shared" si="3"/>
        <v>1</v>
      </c>
      <c r="AB30" s="1810">
        <f t="shared" si="4"/>
        <v>1</v>
      </c>
      <c r="AC30" s="1810">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89"/>
      <c r="Q31" s="1809">
        <f t="shared" si="11"/>
        <v>111</v>
      </c>
      <c r="R31" s="773" t="s">
        <v>17</v>
      </c>
      <c r="S31" s="774">
        <f t="shared" si="12"/>
        <v>100</v>
      </c>
      <c r="T31" s="773" t="s">
        <v>17</v>
      </c>
      <c r="U31" s="774">
        <f t="shared" si="13"/>
        <v>100</v>
      </c>
      <c r="V31" s="773" t="s">
        <v>17</v>
      </c>
      <c r="W31" s="774">
        <f t="shared" si="14"/>
        <v>100</v>
      </c>
      <c r="X31" s="1812"/>
      <c r="Y31" s="3282"/>
      <c r="Z31" s="1813">
        <f t="shared" si="15"/>
        <v>111</v>
      </c>
      <c r="AA31" s="1810">
        <f t="shared" si="3"/>
        <v>1</v>
      </c>
      <c r="AB31" s="1810">
        <f t="shared" si="4"/>
        <v>1</v>
      </c>
      <c r="AC31" s="1810">
        <f t="shared" si="5"/>
        <v>1</v>
      </c>
    </row>
    <row r="32" spans="1:29" ht="15">
      <c r="A32" s="439" t="s">
        <v>2562</v>
      </c>
      <c r="B32" s="71" t="s">
        <v>2659</v>
      </c>
      <c r="C32" s="2618" t="s">
        <v>3107</v>
      </c>
      <c r="D32" s="466">
        <v>100</v>
      </c>
      <c r="E32" s="2618" t="s">
        <v>3107</v>
      </c>
      <c r="F32" s="460">
        <f>SUMIF(100:100,E32,101:101)-SUMIF(100:100,C32,101:101)+100</f>
        <v>100</v>
      </c>
      <c r="G32" s="2618" t="s">
        <v>3107</v>
      </c>
      <c r="H32" s="434">
        <f>SUMIF(100:100,G32,101:101)-SUMIF(100:100,C32,101:101)+100</f>
        <v>100</v>
      </c>
      <c r="I32" s="2618" t="s">
        <v>3107</v>
      </c>
      <c r="J32" s="466">
        <f>SUMIF(100:100,I32,101:101)-SUMIF(100:100,C32,101:101)+100</f>
        <v>100</v>
      </c>
      <c r="K32" s="611">
        <v>2</v>
      </c>
      <c r="L32" s="1139"/>
      <c r="M32" s="1130"/>
      <c r="N32" s="1130"/>
      <c r="O32" s="1130"/>
      <c r="P32" s="3283" t="s">
        <v>2564</v>
      </c>
      <c r="Q32" s="1809" t="str">
        <f t="shared" si="11"/>
        <v>商业类型</v>
      </c>
      <c r="R32" s="773" t="s">
        <v>17</v>
      </c>
      <c r="S32" s="774">
        <f t="shared" si="12"/>
        <v>100</v>
      </c>
      <c r="T32" s="773" t="s">
        <v>17</v>
      </c>
      <c r="U32" s="774">
        <f t="shared" si="13"/>
        <v>100</v>
      </c>
      <c r="V32" s="773" t="s">
        <v>17</v>
      </c>
      <c r="W32" s="774">
        <f t="shared" si="14"/>
        <v>100</v>
      </c>
      <c r="X32" s="1812"/>
      <c r="Y32" s="3286" t="s">
        <v>2564</v>
      </c>
      <c r="Z32" s="1813" t="str">
        <f t="shared" si="15"/>
        <v>商业类型</v>
      </c>
      <c r="AA32" s="1810">
        <f t="shared" si="3"/>
        <v>1</v>
      </c>
      <c r="AB32" s="1810">
        <f t="shared" si="4"/>
        <v>1</v>
      </c>
      <c r="AC32" s="1810">
        <f t="shared" si="5"/>
        <v>1</v>
      </c>
    </row>
    <row r="33" spans="1:29" s="470" customFormat="1" ht="15">
      <c r="A33" s="467"/>
      <c r="B33" s="421" t="s">
        <v>2565</v>
      </c>
      <c r="C33" s="468">
        <f>'数据-基础表'!I13</f>
        <v>296.95999999999998</v>
      </c>
      <c r="D33" s="135">
        <v>100</v>
      </c>
      <c r="E33" s="429">
        <v>116</v>
      </c>
      <c r="F33" s="424">
        <f>LOOKUP(E33,103:103,104:104)-LOOKUP(C33,103:103,104:104)+100</f>
        <v>100</v>
      </c>
      <c r="G33" s="428">
        <v>206</v>
      </c>
      <c r="H33" s="135">
        <f>LOOKUP(G33,103:103,104:104)-LOOKUP(C33,103:103,104:104)+100</f>
        <v>100</v>
      </c>
      <c r="I33" s="428">
        <v>208</v>
      </c>
      <c r="J33" s="135">
        <f>LOOKUP(I33,103:103,104:104)-LOOKUP(C33,103:103,104:104)+100</f>
        <v>100</v>
      </c>
      <c r="K33" s="612"/>
      <c r="L33" s="1137"/>
      <c r="M33" s="1140"/>
      <c r="N33" s="1140"/>
      <c r="O33" s="1140"/>
      <c r="P33" s="3284"/>
      <c r="Q33" s="775" t="str">
        <f t="shared" si="11"/>
        <v>项目建筑规模</v>
      </c>
      <c r="R33" s="776" t="s">
        <v>17</v>
      </c>
      <c r="S33" s="777">
        <f t="shared" si="12"/>
        <v>100</v>
      </c>
      <c r="T33" s="776" t="s">
        <v>17</v>
      </c>
      <c r="U33" s="777">
        <f t="shared" si="13"/>
        <v>100</v>
      </c>
      <c r="V33" s="776" t="s">
        <v>17</v>
      </c>
      <c r="W33" s="777">
        <f t="shared" si="14"/>
        <v>100</v>
      </c>
      <c r="X33" s="778"/>
      <c r="Y33" s="3286"/>
      <c r="Z33" s="779" t="str">
        <f t="shared" si="15"/>
        <v>项目建筑规模</v>
      </c>
      <c r="AA33" s="1810">
        <f t="shared" si="3"/>
        <v>1</v>
      </c>
      <c r="AB33" s="1810">
        <f t="shared" si="4"/>
        <v>1</v>
      </c>
      <c r="AC33" s="1810">
        <f t="shared" si="5"/>
        <v>1</v>
      </c>
    </row>
    <row r="34" spans="1:29" ht="15">
      <c r="A34" s="471"/>
      <c r="B34" s="421" t="s">
        <v>2566</v>
      </c>
      <c r="C34" s="2620" t="s">
        <v>3113</v>
      </c>
      <c r="D34" s="434">
        <v>100</v>
      </c>
      <c r="E34" s="2620" t="s">
        <v>3113</v>
      </c>
      <c r="F34" s="460">
        <f>SUMIF(105:105,E34,106:106)-SUMIF(105:105,C34,106:106)+100</f>
        <v>100</v>
      </c>
      <c r="G34" s="2620" t="s">
        <v>3113</v>
      </c>
      <c r="H34" s="434">
        <f>SUMIF(105:105,G34,106:106)-SUMIF(105:105,C34,106:106)+100</f>
        <v>100</v>
      </c>
      <c r="I34" s="2620" t="s">
        <v>3113</v>
      </c>
      <c r="J34" s="434">
        <f>SUMIF(105:105,I34,106:106)-SUMIF(105:105,C34,106:106)+100</f>
        <v>100</v>
      </c>
      <c r="K34" s="611">
        <v>1</v>
      </c>
      <c r="L34" s="1139"/>
      <c r="M34" s="1130"/>
      <c r="N34" s="1130"/>
      <c r="O34" s="1130"/>
      <c r="P34" s="3284"/>
      <c r="Q34" s="1809" t="str">
        <f t="shared" si="11"/>
        <v>建筑结构</v>
      </c>
      <c r="R34" s="773" t="s">
        <v>17</v>
      </c>
      <c r="S34" s="774">
        <f t="shared" si="12"/>
        <v>100</v>
      </c>
      <c r="T34" s="773" t="s">
        <v>17</v>
      </c>
      <c r="U34" s="774">
        <f t="shared" si="13"/>
        <v>100</v>
      </c>
      <c r="V34" s="773" t="s">
        <v>17</v>
      </c>
      <c r="W34" s="774">
        <f t="shared" si="14"/>
        <v>100</v>
      </c>
      <c r="X34" s="1812"/>
      <c r="Y34" s="3286"/>
      <c r="Z34" s="1813" t="str">
        <f t="shared" si="15"/>
        <v>建筑结构</v>
      </c>
      <c r="AA34" s="1810">
        <f t="shared" si="3"/>
        <v>1</v>
      </c>
      <c r="AB34" s="1810">
        <f t="shared" si="4"/>
        <v>1</v>
      </c>
      <c r="AC34" s="1810">
        <f t="shared" si="5"/>
        <v>1</v>
      </c>
    </row>
    <row r="35" spans="1:29" ht="15">
      <c r="A35" s="471"/>
      <c r="B35" s="421" t="s">
        <v>2660</v>
      </c>
      <c r="C35" s="2614" t="s">
        <v>3132</v>
      </c>
      <c r="D35" s="434">
        <v>100</v>
      </c>
      <c r="E35" s="2614" t="s">
        <v>3132</v>
      </c>
      <c r="F35" s="460">
        <f>SUMIF(107:107,E35,108:108)-SUMIF(107:107,C35,108:108)+100</f>
        <v>100</v>
      </c>
      <c r="G35" s="2614" t="s">
        <v>3132</v>
      </c>
      <c r="H35" s="434">
        <f>SUMIF(107:107,G35,108:108)-SUMIF(107:107,C35,108:108)+100</f>
        <v>100</v>
      </c>
      <c r="I35" s="2614" t="s">
        <v>3132</v>
      </c>
      <c r="J35" s="434">
        <f>SUMIF(107:107,I35,108:108)-SUMIF(107:107,C35,108:108)+100</f>
        <v>100</v>
      </c>
      <c r="K35" s="611">
        <v>1</v>
      </c>
      <c r="L35" s="1139"/>
      <c r="M35" s="1130"/>
      <c r="N35" s="1130"/>
      <c r="O35" s="1130"/>
      <c r="P35" s="3284"/>
      <c r="Q35" s="1809" t="str">
        <f t="shared" si="11"/>
        <v>公共部分装修</v>
      </c>
      <c r="R35" s="773" t="s">
        <v>17</v>
      </c>
      <c r="S35" s="774">
        <f t="shared" si="12"/>
        <v>100</v>
      </c>
      <c r="T35" s="773" t="s">
        <v>17</v>
      </c>
      <c r="U35" s="774">
        <f t="shared" si="13"/>
        <v>100</v>
      </c>
      <c r="V35" s="773" t="s">
        <v>17</v>
      </c>
      <c r="W35" s="774">
        <f t="shared" si="14"/>
        <v>100</v>
      </c>
      <c r="X35" s="1812"/>
      <c r="Y35" s="3286"/>
      <c r="Z35" s="1813" t="str">
        <f t="shared" si="15"/>
        <v>公共部分装修</v>
      </c>
      <c r="AA35" s="1810">
        <f t="shared" si="3"/>
        <v>1</v>
      </c>
      <c r="AB35" s="1810">
        <f t="shared" si="4"/>
        <v>1</v>
      </c>
      <c r="AC35" s="1810">
        <f t="shared" si="5"/>
        <v>1</v>
      </c>
    </row>
    <row r="36" spans="1:29" ht="15">
      <c r="A36" s="471"/>
      <c r="B36" s="421" t="s">
        <v>2661</v>
      </c>
      <c r="C36" s="473">
        <v>0.87</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39"/>
      <c r="M36" s="1130"/>
      <c r="N36" s="1130"/>
      <c r="O36" s="1130"/>
      <c r="P36" s="3284"/>
      <c r="Q36" s="1809" t="str">
        <f t="shared" si="11"/>
        <v>成新度</v>
      </c>
      <c r="R36" s="773" t="s">
        <v>17</v>
      </c>
      <c r="S36" s="774">
        <f t="shared" si="12"/>
        <v>100</v>
      </c>
      <c r="T36" s="773" t="s">
        <v>17</v>
      </c>
      <c r="U36" s="774">
        <f t="shared" si="13"/>
        <v>100</v>
      </c>
      <c r="V36" s="773" t="s">
        <v>17</v>
      </c>
      <c r="W36" s="774">
        <f t="shared" si="14"/>
        <v>100</v>
      </c>
      <c r="X36" s="1812"/>
      <c r="Y36" s="3286"/>
      <c r="Z36" s="1813" t="str">
        <f t="shared" si="15"/>
        <v>成新度</v>
      </c>
      <c r="AA36" s="1810">
        <f t="shared" si="3"/>
        <v>1</v>
      </c>
      <c r="AB36" s="1810">
        <f t="shared" si="4"/>
        <v>1</v>
      </c>
      <c r="AC36" s="1810">
        <f t="shared" si="5"/>
        <v>1</v>
      </c>
    </row>
    <row r="37" spans="1:29" s="117" customFormat="1" ht="15">
      <c r="A37" s="472"/>
      <c r="B37" s="421" t="s">
        <v>2662</v>
      </c>
      <c r="C37" s="2614" t="s">
        <v>3140</v>
      </c>
      <c r="D37" s="135">
        <v>100</v>
      </c>
      <c r="E37" s="2614" t="s">
        <v>3140</v>
      </c>
      <c r="F37" s="460">
        <f>SUMIF(112:112,E37,113:113)-SUMIF(112:112,C37,113:113)+100</f>
        <v>100</v>
      </c>
      <c r="G37" s="2614" t="s">
        <v>3140</v>
      </c>
      <c r="H37" s="434">
        <f>SUMIF(112:112,G37,113:113)-SUMIF(112:112,C37,113:113)+100</f>
        <v>100</v>
      </c>
      <c r="I37" s="2614" t="s">
        <v>3140</v>
      </c>
      <c r="J37" s="434">
        <f>SUMIF(112:112,I37,113:113)-SUMIF(112:112,C37,113:113)+100</f>
        <v>100</v>
      </c>
      <c r="K37" s="611">
        <v>1</v>
      </c>
      <c r="L37" s="1131"/>
      <c r="M37" s="1132"/>
      <c r="N37" s="1132"/>
      <c r="O37" s="1132"/>
      <c r="P37" s="3284"/>
      <c r="Q37" s="1794" t="str">
        <f t="shared" si="11"/>
        <v>市政基础设施</v>
      </c>
      <c r="R37" s="769" t="s">
        <v>17</v>
      </c>
      <c r="S37" s="770">
        <f t="shared" si="12"/>
        <v>100</v>
      </c>
      <c r="T37" s="769" t="s">
        <v>17</v>
      </c>
      <c r="U37" s="770">
        <f t="shared" si="13"/>
        <v>100</v>
      </c>
      <c r="V37" s="769" t="s">
        <v>17</v>
      </c>
      <c r="W37" s="770">
        <f t="shared" si="14"/>
        <v>100</v>
      </c>
      <c r="X37" s="771"/>
      <c r="Y37" s="3286"/>
      <c r="Z37" s="55" t="str">
        <f t="shared" si="15"/>
        <v>市政基础设施</v>
      </c>
      <c r="AA37" s="772">
        <f t="shared" si="3"/>
        <v>1</v>
      </c>
      <c r="AB37" s="772">
        <f t="shared" si="4"/>
        <v>1</v>
      </c>
      <c r="AC37" s="772">
        <f t="shared" si="5"/>
        <v>1</v>
      </c>
    </row>
    <row r="38" spans="1:29" ht="15">
      <c r="A38" s="471"/>
      <c r="B38" s="421" t="s">
        <v>2663</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v>1</v>
      </c>
      <c r="L38" s="1139"/>
      <c r="M38" s="1130"/>
      <c r="N38" s="1130"/>
      <c r="O38" s="1130"/>
      <c r="P38" s="3284" t="s">
        <v>2564</v>
      </c>
      <c r="Q38" s="1809" t="str">
        <f t="shared" si="11"/>
        <v>业态</v>
      </c>
      <c r="R38" s="773" t="s">
        <v>17</v>
      </c>
      <c r="S38" s="774">
        <f t="shared" si="12"/>
        <v>100</v>
      </c>
      <c r="T38" s="773" t="s">
        <v>17</v>
      </c>
      <c r="U38" s="774">
        <f t="shared" si="13"/>
        <v>100</v>
      </c>
      <c r="V38" s="773" t="s">
        <v>17</v>
      </c>
      <c r="W38" s="774">
        <f t="shared" si="14"/>
        <v>100</v>
      </c>
      <c r="X38" s="1812"/>
      <c r="Y38" s="3286" t="s">
        <v>2564</v>
      </c>
      <c r="Z38" s="1813" t="str">
        <f t="shared" si="15"/>
        <v>业态</v>
      </c>
      <c r="AA38" s="1810">
        <f t="shared" si="3"/>
        <v>1</v>
      </c>
      <c r="AB38" s="1810">
        <f t="shared" si="4"/>
        <v>1</v>
      </c>
      <c r="AC38" s="1810">
        <f t="shared" si="5"/>
        <v>1</v>
      </c>
    </row>
    <row r="39" spans="1:29" ht="15">
      <c r="A39" s="471"/>
      <c r="B39" s="421" t="s">
        <v>2664</v>
      </c>
      <c r="C39" s="2614" t="s">
        <v>3156</v>
      </c>
      <c r="D39" s="434">
        <v>100</v>
      </c>
      <c r="E39" s="2614" t="s">
        <v>3156</v>
      </c>
      <c r="F39" s="460">
        <f>SUMIF(116:116,E39,117:117)-SUMIF(116:116,C39,117:117)+100</f>
        <v>100</v>
      </c>
      <c r="G39" s="2614" t="s">
        <v>3156</v>
      </c>
      <c r="H39" s="434">
        <f>SUMIF(116:116,G39,117:117)-SUMIF(116:116,C39,117:117)+100</f>
        <v>100</v>
      </c>
      <c r="I39" s="2614" t="s">
        <v>3156</v>
      </c>
      <c r="J39" s="434">
        <f>SUMIF(116:116,I39,117:117)-SUMIF(116:116,C39,117:117)+100</f>
        <v>100</v>
      </c>
      <c r="K39" s="611">
        <v>1</v>
      </c>
      <c r="L39" s="1139"/>
      <c r="M39" s="1130"/>
      <c r="N39" s="1130"/>
      <c r="O39" s="1130"/>
      <c r="P39" s="3284"/>
      <c r="Q39" s="1809" t="str">
        <f t="shared" si="11"/>
        <v>层高</v>
      </c>
      <c r="R39" s="773" t="s">
        <v>17</v>
      </c>
      <c r="S39" s="774">
        <f t="shared" si="12"/>
        <v>100</v>
      </c>
      <c r="T39" s="773" t="s">
        <v>17</v>
      </c>
      <c r="U39" s="774">
        <f t="shared" si="13"/>
        <v>100</v>
      </c>
      <c r="V39" s="773" t="s">
        <v>17</v>
      </c>
      <c r="W39" s="774">
        <f t="shared" si="14"/>
        <v>100</v>
      </c>
      <c r="X39" s="1812"/>
      <c r="Y39" s="3286"/>
      <c r="Z39" s="1813" t="str">
        <f t="shared" si="15"/>
        <v>层高</v>
      </c>
      <c r="AA39" s="1810">
        <f t="shared" si="3"/>
        <v>1</v>
      </c>
      <c r="AB39" s="1810">
        <f t="shared" si="4"/>
        <v>1</v>
      </c>
      <c r="AC39" s="1810">
        <f t="shared" si="5"/>
        <v>1</v>
      </c>
    </row>
    <row r="40" spans="1:29" ht="15" hidden="1">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4"/>
      <c r="Q40" s="1809" t="str">
        <f t="shared" si="11"/>
        <v>单套建筑面积</v>
      </c>
      <c r="R40" s="773" t="s">
        <v>17</v>
      </c>
      <c r="S40" s="774">
        <f t="shared" si="12"/>
        <v>100</v>
      </c>
      <c r="T40" s="773" t="s">
        <v>17</v>
      </c>
      <c r="U40" s="774">
        <f t="shared" si="13"/>
        <v>100</v>
      </c>
      <c r="V40" s="773" t="s">
        <v>17</v>
      </c>
      <c r="W40" s="774">
        <f t="shared" si="14"/>
        <v>100</v>
      </c>
      <c r="X40" s="1812"/>
      <c r="Y40" s="3286"/>
      <c r="Z40" s="1813" t="str">
        <f t="shared" si="15"/>
        <v>单套建筑面积</v>
      </c>
      <c r="AA40" s="1810">
        <f t="shared" si="3"/>
        <v>1</v>
      </c>
      <c r="AB40" s="1810">
        <f t="shared" si="4"/>
        <v>1</v>
      </c>
      <c r="AC40" s="1810">
        <f t="shared" si="5"/>
        <v>1</v>
      </c>
    </row>
    <row r="41" spans="1:29" s="470" customFormat="1" ht="15" hidden="1">
      <c r="A41" s="467"/>
      <c r="B41" s="1811"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1</v>
      </c>
      <c r="L41" s="1137"/>
      <c r="M41" s="1140"/>
      <c r="N41" s="1140"/>
      <c r="O41" s="1140"/>
      <c r="P41" s="3284"/>
      <c r="Q41" s="775" t="str">
        <f t="shared" si="11"/>
        <v>进深比</v>
      </c>
      <c r="R41" s="776" t="s">
        <v>17</v>
      </c>
      <c r="S41" s="777">
        <f t="shared" si="12"/>
        <v>100</v>
      </c>
      <c r="T41" s="776" t="s">
        <v>17</v>
      </c>
      <c r="U41" s="777">
        <f t="shared" si="13"/>
        <v>100</v>
      </c>
      <c r="V41" s="776" t="s">
        <v>17</v>
      </c>
      <c r="W41" s="777">
        <f t="shared" si="14"/>
        <v>100</v>
      </c>
      <c r="X41" s="778"/>
      <c r="Y41" s="3286"/>
      <c r="Z41" s="779" t="str">
        <f t="shared" si="15"/>
        <v>进深比</v>
      </c>
      <c r="AA41" s="1810">
        <f t="shared" si="3"/>
        <v>1</v>
      </c>
      <c r="AB41" s="1810">
        <f t="shared" si="4"/>
        <v>1</v>
      </c>
      <c r="AC41" s="1810">
        <f t="shared" si="5"/>
        <v>1</v>
      </c>
    </row>
    <row r="42" spans="1:29" ht="15">
      <c r="A42" s="471"/>
      <c r="B42" s="421" t="s">
        <v>2667</v>
      </c>
      <c r="C42" s="2614" t="s">
        <v>3138</v>
      </c>
      <c r="D42" s="434">
        <v>100</v>
      </c>
      <c r="E42" s="2614" t="s">
        <v>3136</v>
      </c>
      <c r="F42" s="460">
        <f>SUMIF(122:122,E42,123:123)-SUMIF(122:122,C42,123:123)+100</f>
        <v>101</v>
      </c>
      <c r="G42" s="2614" t="s">
        <v>3134</v>
      </c>
      <c r="H42" s="434">
        <f>SUMIF(122:122,G42,123:123)-SUMIF(122:122,C42,123:123)+100</f>
        <v>102</v>
      </c>
      <c r="I42" s="2614" t="s">
        <v>3134</v>
      </c>
      <c r="J42" s="434">
        <f>SUMIF(122:122,I42,123:123)-SUMIF(122:122,C42,123:123)+100</f>
        <v>102</v>
      </c>
      <c r="K42" s="611">
        <v>1</v>
      </c>
      <c r="L42" s="1139"/>
      <c r="M42" s="1130"/>
      <c r="N42" s="1130"/>
      <c r="O42" s="1130"/>
      <c r="P42" s="3284"/>
      <c r="Q42" s="1809" t="str">
        <f t="shared" si="11"/>
        <v>内部装修</v>
      </c>
      <c r="R42" s="773" t="s">
        <v>17</v>
      </c>
      <c r="S42" s="774">
        <f t="shared" si="12"/>
        <v>101</v>
      </c>
      <c r="T42" s="773" t="s">
        <v>17</v>
      </c>
      <c r="U42" s="774">
        <f t="shared" si="13"/>
        <v>102</v>
      </c>
      <c r="V42" s="773" t="s">
        <v>17</v>
      </c>
      <c r="W42" s="774">
        <f t="shared" si="14"/>
        <v>102</v>
      </c>
      <c r="X42" s="1812"/>
      <c r="Y42" s="3286"/>
      <c r="Z42" s="1813" t="str">
        <f t="shared" si="15"/>
        <v>内部装修</v>
      </c>
      <c r="AA42" s="1810">
        <f t="shared" si="3"/>
        <v>0.99009900990099009</v>
      </c>
      <c r="AB42" s="1810">
        <f t="shared" si="4"/>
        <v>0.98039215686274506</v>
      </c>
      <c r="AC42" s="1810">
        <f t="shared" si="5"/>
        <v>0.98039215686274506</v>
      </c>
    </row>
    <row r="43" spans="1:29" ht="15">
      <c r="A43" s="471"/>
      <c r="B43" s="421" t="s">
        <v>2575</v>
      </c>
      <c r="C43" s="2614" t="s">
        <v>3127</v>
      </c>
      <c r="D43" s="434">
        <v>100</v>
      </c>
      <c r="E43" s="2614" t="s">
        <v>3127</v>
      </c>
      <c r="F43" s="460">
        <f>SUMIF(124:124,E43,125:125)-SUMIF(124:124,C43,125:125)+100</f>
        <v>100</v>
      </c>
      <c r="G43" s="2614" t="s">
        <v>3127</v>
      </c>
      <c r="H43" s="434">
        <f>SUMIF(124:124,G43,125:125)-SUMIF(124:124,C43,125:125)+100</f>
        <v>100</v>
      </c>
      <c r="I43" s="2614" t="s">
        <v>3127</v>
      </c>
      <c r="J43" s="434">
        <f>SUMIF(124:124,I43,125:125)-SUMIF(124:124,C43,125:125)+100</f>
        <v>100</v>
      </c>
      <c r="K43" s="611">
        <v>1</v>
      </c>
      <c r="L43" s="1139"/>
      <c r="M43" s="1130"/>
      <c r="N43" s="1130"/>
      <c r="O43" s="1130"/>
      <c r="P43" s="3284"/>
      <c r="Q43" s="1809" t="str">
        <f t="shared" si="11"/>
        <v>内部装修维护情况</v>
      </c>
      <c r="R43" s="773" t="s">
        <v>17</v>
      </c>
      <c r="S43" s="774">
        <f t="shared" si="12"/>
        <v>100</v>
      </c>
      <c r="T43" s="773" t="s">
        <v>17</v>
      </c>
      <c r="U43" s="774">
        <f t="shared" si="13"/>
        <v>100</v>
      </c>
      <c r="V43" s="773" t="s">
        <v>17</v>
      </c>
      <c r="W43" s="774">
        <f t="shared" si="14"/>
        <v>100</v>
      </c>
      <c r="X43" s="1812"/>
      <c r="Y43" s="3286"/>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4"/>
      <c r="Q44" s="1794">
        <f t="shared" si="11"/>
        <v>111</v>
      </c>
      <c r="R44" s="769" t="s">
        <v>17</v>
      </c>
      <c r="S44" s="770">
        <f t="shared" si="12"/>
        <v>100</v>
      </c>
      <c r="T44" s="769" t="s">
        <v>17</v>
      </c>
      <c r="U44" s="770">
        <f t="shared" si="13"/>
        <v>100</v>
      </c>
      <c r="V44" s="769" t="s">
        <v>17</v>
      </c>
      <c r="W44" s="770">
        <f t="shared" si="14"/>
        <v>100</v>
      </c>
      <c r="X44" s="771"/>
      <c r="Y44" s="328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4"/>
      <c r="Q45" s="1809">
        <f t="shared" si="11"/>
        <v>111</v>
      </c>
      <c r="R45" s="773" t="s">
        <v>17</v>
      </c>
      <c r="S45" s="774">
        <f t="shared" si="12"/>
        <v>100</v>
      </c>
      <c r="T45" s="773" t="s">
        <v>17</v>
      </c>
      <c r="U45" s="774">
        <f t="shared" si="13"/>
        <v>100</v>
      </c>
      <c r="V45" s="773" t="s">
        <v>17</v>
      </c>
      <c r="W45" s="774">
        <f t="shared" si="14"/>
        <v>100</v>
      </c>
      <c r="X45" s="1812"/>
      <c r="Y45" s="3286"/>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5"/>
      <c r="Q46" s="1809">
        <f t="shared" si="11"/>
        <v>111</v>
      </c>
      <c r="R46" s="773" t="s">
        <v>17</v>
      </c>
      <c r="S46" s="774">
        <f t="shared" si="12"/>
        <v>100</v>
      </c>
      <c r="T46" s="773" t="s">
        <v>17</v>
      </c>
      <c r="U46" s="774">
        <f t="shared" si="13"/>
        <v>100</v>
      </c>
      <c r="V46" s="773" t="s">
        <v>17</v>
      </c>
      <c r="W46" s="774">
        <f t="shared" si="14"/>
        <v>100</v>
      </c>
      <c r="X46" s="1812"/>
      <c r="Y46" s="3287"/>
      <c r="Z46" s="1813">
        <f t="shared" si="15"/>
        <v>111</v>
      </c>
      <c r="AA46" s="1810">
        <f t="shared" si="3"/>
        <v>1</v>
      </c>
      <c r="AB46" s="1810">
        <f t="shared" si="4"/>
        <v>1</v>
      </c>
      <c r="AC46" s="1810">
        <f t="shared" si="5"/>
        <v>1</v>
      </c>
    </row>
    <row r="47" spans="1:29" ht="15">
      <c r="A47" s="478" t="s">
        <v>2576</v>
      </c>
      <c r="B47" s="479"/>
      <c r="C47" s="1406" t="s">
        <v>1</v>
      </c>
      <c r="D47" s="1407"/>
      <c r="E47" s="1408">
        <v>31500</v>
      </c>
      <c r="F47" s="1409"/>
      <c r="G47" s="1410">
        <v>32500</v>
      </c>
      <c r="H47" s="1411"/>
      <c r="I47" s="1408">
        <v>33000</v>
      </c>
      <c r="J47" s="1411"/>
      <c r="K47" s="782"/>
      <c r="L47" s="1142"/>
      <c r="M47" s="1143"/>
      <c r="N47" s="1130"/>
      <c r="O47" s="1143"/>
      <c r="P47" s="3279" t="str">
        <f>A47</f>
        <v>成交单价（元/平方米）</v>
      </c>
      <c r="Q47" s="3279"/>
      <c r="R47" s="3274">
        <f>E47</f>
        <v>31500</v>
      </c>
      <c r="S47" s="3274"/>
      <c r="T47" s="3274">
        <f>G47</f>
        <v>32500</v>
      </c>
      <c r="U47" s="3274"/>
      <c r="V47" s="3274">
        <f>I47</f>
        <v>33000</v>
      </c>
      <c r="W47" s="3274"/>
      <c r="X47" s="758"/>
      <c r="Y47" s="780"/>
      <c r="Z47" s="758"/>
      <c r="AA47" s="758"/>
      <c r="AB47" s="758"/>
      <c r="AC47" s="758"/>
    </row>
    <row r="48" spans="1:29" ht="15.75" thickBot="1">
      <c r="A48" s="485" t="s">
        <v>2668</v>
      </c>
      <c r="B48" s="486"/>
      <c r="C48" s="1412">
        <f>R49</f>
        <v>30077</v>
      </c>
      <c r="D48" s="1413"/>
      <c r="E48" s="1414">
        <f>R48</f>
        <v>29098</v>
      </c>
      <c r="F48" s="1414"/>
      <c r="G48" s="1412">
        <f>T48</f>
        <v>29728</v>
      </c>
      <c r="H48" s="1413"/>
      <c r="I48" s="1414">
        <f>V48</f>
        <v>31405</v>
      </c>
      <c r="J48" s="1413"/>
      <c r="K48" s="783"/>
      <c r="L48" s="1142"/>
      <c r="M48" s="1143">
        <v>8.5</v>
      </c>
      <c r="N48" s="1130"/>
      <c r="O48" s="1143"/>
      <c r="P48" s="3279" t="str">
        <f>A48</f>
        <v>比较价值（元/平方米）</v>
      </c>
      <c r="Q48" s="3279"/>
      <c r="R48" s="3280">
        <f>IF(F1="售价",ROUND(PRODUCT(R47,AA7:AA46),0),ROUND(PRODUCT(R47,AA7:AA46),1))</f>
        <v>29098</v>
      </c>
      <c r="S48" s="3280"/>
      <c r="T48" s="3280">
        <f>IF(F1="售价",ROUND(PRODUCT(T47,AB7:AB46),0),ROUND(PRODUCT(T47,AB7:AB46),1))</f>
        <v>29728</v>
      </c>
      <c r="U48" s="3280"/>
      <c r="V48" s="3280">
        <f>IF(F1="售价",ROUND(PRODUCT(V47,AC7:AC46),0),ROUND(PRODUCT(V47,AC7:AC46),1))</f>
        <v>31405</v>
      </c>
      <c r="W48" s="3280"/>
      <c r="X48" s="758"/>
      <c r="Y48" s="758"/>
      <c r="Z48" s="758"/>
      <c r="AA48" s="758"/>
      <c r="AB48" s="758"/>
      <c r="AC48" s="758"/>
    </row>
    <row r="49" spans="1:29" ht="15.75" thickBot="1">
      <c r="A49" s="491" t="s">
        <v>2669</v>
      </c>
      <c r="B49" s="492"/>
      <c r="C49" s="1416">
        <f>R49</f>
        <v>30077</v>
      </c>
      <c r="D49" s="1416"/>
      <c r="E49" s="1416"/>
      <c r="F49" s="1416"/>
      <c r="G49" s="1416"/>
      <c r="H49" s="1416"/>
      <c r="I49" s="1416"/>
      <c r="J49" s="1416"/>
      <c r="K49" s="784"/>
      <c r="L49" s="1142"/>
      <c r="M49" s="1143">
        <v>10</v>
      </c>
      <c r="N49" s="1130"/>
      <c r="O49" s="1143"/>
      <c r="P49" s="3276" t="str">
        <f>A49</f>
        <v>估价对象XX用房的比较价值（楼面单价，元/平方米）</v>
      </c>
      <c r="Q49" s="3277"/>
      <c r="R49" s="3278">
        <f>IF(F1="售价",ROUND(AVERAGE(R48:V48),0),ROUND(AVERAGE(R48:V48),1))</f>
        <v>30077</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v>10</v>
      </c>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8.2548628771736965E-2</v>
      </c>
      <c r="F52" s="499" t="str">
        <f>IF(OR(E52&gt;=0.3,E52&lt;=-0.3),"超过30%","")</f>
        <v/>
      </c>
      <c r="G52" s="498">
        <f>IF(G47&lt;G48,G48/G47-1,G47/G48-1)</f>
        <v>9.3245425188374531E-2</v>
      </c>
      <c r="H52" s="499" t="str">
        <f>IF(OR(G52&gt;=0.3,G52&lt;=-0.3),"超过30%","")</f>
        <v/>
      </c>
      <c r="I52" s="498">
        <f>IF(I47&lt;I48,I48/I47-1,I47/I48-1)</f>
        <v>5.0788091068301178E-2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2.1650972575434801E-2</v>
      </c>
      <c r="F53" s="499" t="str">
        <f>IF(OR(E53&gt;=0.2,E53&lt;=-0.2),"超过20%","")</f>
        <v/>
      </c>
      <c r="G53" s="498">
        <f>IF(G48&lt;I48,I48/G48-1,G48/I48-1)</f>
        <v>5.6411463939720186E-2</v>
      </c>
      <c r="H53" s="499" t="str">
        <f>IF(OR(G53&gt;=0.2,G53&lt;=-0.2),"超过20%","")</f>
        <v/>
      </c>
      <c r="I53" s="498">
        <f>IF(I48&lt;E48,E48/I48-1,I48/E48-1)</f>
        <v>7.9283799573853786E-2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3.1746031746031855E-2</v>
      </c>
      <c r="F54" s="499" t="str">
        <f>IF(OR(E54&gt;=0.3,E54&lt;=-0.3),"超过30%","")</f>
        <v/>
      </c>
      <c r="G54" s="498">
        <f>IF(G47&lt;I47,I47/G47-1,G47/I47-1)</f>
        <v>1.538461538461533E-2</v>
      </c>
      <c r="H54" s="499" t="str">
        <f>IF(OR(G54&gt;=0.3,G54&lt;=-0.3),"超过30%","")</f>
        <v/>
      </c>
      <c r="I54" s="498">
        <f>IF(I47&lt;E47,E47/I47-1,I47/E47-1)</f>
        <v>4.7619047619047672E-2</v>
      </c>
      <c r="J54" s="499" t="str">
        <f>IF(OR(I54&gt;=0.3,I54&lt;=-0.3),"超过30%","")</f>
        <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2547</v>
      </c>
      <c r="B58" s="505"/>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8"/>
      <c r="B59" s="509"/>
      <c r="C59" s="1572">
        <v>100</v>
      </c>
      <c r="D59" s="511"/>
      <c r="E59" s="511"/>
      <c r="F59" s="511"/>
      <c r="G59" s="511"/>
      <c r="H59" s="511"/>
      <c r="I59" s="511"/>
      <c r="J59" s="511"/>
      <c r="K59" s="511"/>
      <c r="L59" s="511"/>
      <c r="M59" s="512"/>
      <c r="N59" s="511"/>
      <c r="O59" s="512"/>
      <c r="P59" s="2629"/>
    </row>
    <row r="60" spans="1:29" s="117" customFormat="1" ht="15.75" thickBot="1">
      <c r="A60" s="514" t="s">
        <v>2584</v>
      </c>
      <c r="B60" s="515"/>
      <c r="C60" s="516"/>
      <c r="D60" s="517"/>
      <c r="E60" s="517"/>
      <c r="F60" s="517"/>
      <c r="G60" s="517"/>
      <c r="H60" s="517"/>
      <c r="I60" s="517"/>
      <c r="J60" s="517"/>
      <c r="K60" s="517"/>
      <c r="L60" s="517"/>
      <c r="M60" s="518"/>
      <c r="N60" s="517"/>
      <c r="O60" s="518"/>
      <c r="P60" s="2629"/>
      <c r="Q60" s="503"/>
    </row>
    <row r="61" spans="1:29" s="117" customFormat="1" ht="15">
      <c r="A61" s="520" t="s">
        <v>2549</v>
      </c>
      <c r="B61" s="509"/>
      <c r="C61" s="521" t="s">
        <v>2651</v>
      </c>
      <c r="D61" s="522"/>
      <c r="E61" s="522"/>
      <c r="F61" s="522"/>
      <c r="G61" s="522"/>
      <c r="H61" s="522"/>
      <c r="I61" s="522"/>
      <c r="J61" s="522"/>
      <c r="K61" s="522"/>
      <c r="L61" s="523"/>
      <c r="M61" s="524"/>
      <c r="N61" s="1150"/>
      <c r="O61" s="1150"/>
      <c r="P61" s="2630"/>
      <c r="Q61" s="503"/>
    </row>
    <row r="62" spans="1:29" s="117"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t="str">
        <f>C9</f>
        <v>商业</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31"/>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1"/>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2"/>
      <c r="O85" s="1152"/>
      <c r="P85" s="2631"/>
      <c r="Q85" s="503"/>
    </row>
    <row r="86" spans="1:17" s="117" customFormat="1" ht="15.75" thickTop="1">
      <c r="A86" s="578"/>
      <c r="B86" s="537" t="s">
        <v>2679</v>
      </c>
      <c r="C86" s="553"/>
      <c r="D86" s="553"/>
      <c r="E86" s="553"/>
      <c r="F86" s="553"/>
      <c r="G86" s="553"/>
      <c r="H86" s="553"/>
      <c r="I86" s="553"/>
      <c r="J86" s="553"/>
      <c r="K86" s="553"/>
      <c r="L86" s="579"/>
      <c r="M86" s="580"/>
      <c r="N86" s="1150"/>
      <c r="O86" s="1150"/>
      <c r="P86" s="2631"/>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2"/>
      <c r="O87" s="1152"/>
      <c r="P87" s="2631"/>
      <c r="Q87" s="503"/>
    </row>
    <row r="88" spans="1:17" s="117" customFormat="1" ht="15.75" thickTop="1">
      <c r="A88" s="578"/>
      <c r="B88" s="537" t="str">
        <f>B26</f>
        <v>平面位置/可视性</v>
      </c>
      <c r="C88" s="3016" t="s">
        <v>3150</v>
      </c>
      <c r="D88" s="3016" t="s">
        <v>3151</v>
      </c>
      <c r="E88" s="553"/>
      <c r="F88" s="2636"/>
      <c r="G88" s="553"/>
      <c r="H88" s="553"/>
      <c r="I88" s="553"/>
      <c r="J88" s="553"/>
      <c r="K88" s="553"/>
      <c r="L88" s="553"/>
      <c r="M88" s="580"/>
      <c r="N88" s="1150"/>
      <c r="O88" s="1150"/>
      <c r="P88" s="2631"/>
      <c r="Q88" s="503"/>
    </row>
    <row r="89" spans="1:17" s="117" customFormat="1" ht="15.75" thickBot="1">
      <c r="A89" s="578"/>
      <c r="B89" s="542"/>
      <c r="C89" s="559">
        <v>100</v>
      </c>
      <c r="D89" s="535">
        <v>102</v>
      </c>
      <c r="E89" s="535"/>
      <c r="F89" s="535"/>
      <c r="G89" s="535"/>
      <c r="H89" s="535"/>
      <c r="I89" s="535"/>
      <c r="J89" s="535"/>
      <c r="K89" s="535"/>
      <c r="L89" s="535"/>
      <c r="M89" s="535"/>
      <c r="N89" s="1152"/>
      <c r="O89" s="1152"/>
      <c r="P89" s="2631"/>
      <c r="Q89" s="503"/>
    </row>
    <row r="90" spans="1:17" s="470" customFormat="1" ht="15.75" thickTop="1">
      <c r="A90" s="552"/>
      <c r="B90" s="537" t="str">
        <f>B27</f>
        <v>人流量</v>
      </c>
      <c r="C90" s="3016" t="s">
        <v>3154</v>
      </c>
      <c r="D90" s="3016" t="s">
        <v>3155</v>
      </c>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3"/>
      <c r="O91" s="1153"/>
      <c r="P91" s="2632"/>
      <c r="Q91" s="558"/>
    </row>
    <row r="92" spans="1:17" ht="15.75" thickTop="1">
      <c r="A92" s="533"/>
      <c r="B92" s="537" t="str">
        <f>B28</f>
        <v>楼层</v>
      </c>
      <c r="C92" s="553">
        <v>-2</v>
      </c>
      <c r="D92" s="553">
        <v>-1</v>
      </c>
      <c r="E92" s="553">
        <v>1</v>
      </c>
      <c r="F92" s="553"/>
      <c r="G92" s="553"/>
      <c r="H92" s="553"/>
      <c r="I92" s="553"/>
      <c r="J92" s="553"/>
      <c r="K92" s="553"/>
      <c r="L92" s="579"/>
      <c r="M92" s="580"/>
      <c r="N92" s="1151"/>
      <c r="O92" s="1151"/>
      <c r="P92" s="2631"/>
      <c r="Q92" s="503"/>
    </row>
    <row r="93" spans="1:17" ht="15.75" thickBot="1">
      <c r="A93" s="533"/>
      <c r="B93" s="542"/>
      <c r="C93" s="535">
        <v>50</v>
      </c>
      <c r="D93" s="535">
        <v>50</v>
      </c>
      <c r="E93" s="535">
        <v>100</v>
      </c>
      <c r="F93" s="535"/>
      <c r="G93" s="535"/>
      <c r="H93" s="535"/>
      <c r="I93" s="535"/>
      <c r="J93" s="535"/>
      <c r="K93" s="535"/>
      <c r="L93" s="535"/>
      <c r="M93" s="536"/>
      <c r="N93" s="1152"/>
      <c r="O93" s="1152"/>
      <c r="P93" s="2631"/>
      <c r="Q93" s="503"/>
    </row>
    <row r="94" spans="1:17" ht="15.75" thickTop="1">
      <c r="A94" s="533"/>
      <c r="B94" s="537" t="str">
        <f>B29</f>
        <v>楼层</v>
      </c>
      <c r="C94" s="553">
        <v>1</v>
      </c>
      <c r="D94" s="553">
        <v>-1</v>
      </c>
      <c r="E94" s="553">
        <v>-2</v>
      </c>
      <c r="F94" s="553"/>
      <c r="G94" s="582"/>
      <c r="H94" s="582"/>
      <c r="I94" s="582"/>
      <c r="J94" s="582"/>
      <c r="K94" s="583"/>
      <c r="L94" s="584"/>
      <c r="M94" s="585"/>
      <c r="N94" s="1151"/>
      <c r="O94" s="1151"/>
      <c r="P94" s="2631"/>
      <c r="Q94" s="503"/>
    </row>
    <row r="95" spans="1:17" ht="15.75" thickBot="1">
      <c r="A95" s="533"/>
      <c r="B95" s="542"/>
      <c r="C95" s="559">
        <v>100</v>
      </c>
      <c r="D95" s="535">
        <v>60</v>
      </c>
      <c r="E95" s="535">
        <v>50</v>
      </c>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2562</v>
      </c>
      <c r="B100" s="527" t="s">
        <v>2680</v>
      </c>
      <c r="C100" s="3015" t="s">
        <v>3129</v>
      </c>
      <c r="D100" s="3015" t="s">
        <v>3130</v>
      </c>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31"/>
      <c r="Q101" s="503"/>
    </row>
    <row r="102" spans="1:17" ht="15.75" thickTop="1">
      <c r="A102" s="533"/>
      <c r="B102" s="537" t="s">
        <v>2612</v>
      </c>
      <c r="C102" s="577" t="str">
        <f>C103&amp;"(含)"&amp;"-"&amp;D103</f>
        <v>0(含)-100</v>
      </c>
      <c r="D102" s="577" t="str">
        <f t="shared" ref="D102:L102" si="23">D103&amp;"(含)"&amp;"-"&amp;E103</f>
        <v>100(含)-500</v>
      </c>
      <c r="E102" s="577" t="str">
        <f t="shared" si="23"/>
        <v>500(含)-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v>0</v>
      </c>
      <c r="D103" s="594">
        <v>100</v>
      </c>
      <c r="E103" s="594">
        <v>500</v>
      </c>
      <c r="F103" s="594"/>
      <c r="G103" s="594"/>
      <c r="H103" s="594"/>
      <c r="I103" s="594"/>
      <c r="J103" s="595"/>
      <c r="K103" s="595"/>
      <c r="L103" s="596"/>
      <c r="M103" s="597"/>
      <c r="N103" s="1153"/>
      <c r="O103" s="1153"/>
      <c r="P103" s="2632"/>
      <c r="Q103" s="558"/>
    </row>
    <row r="104" spans="1:17" s="470" customFormat="1" ht="15.75" thickBot="1">
      <c r="A104" s="552"/>
      <c r="B104" s="542"/>
      <c r="C104" s="559">
        <v>100</v>
      </c>
      <c r="D104" s="535">
        <v>98</v>
      </c>
      <c r="E104" s="535">
        <v>96</v>
      </c>
      <c r="F104" s="535"/>
      <c r="G104" s="535"/>
      <c r="H104" s="535"/>
      <c r="I104" s="535"/>
      <c r="J104" s="535"/>
      <c r="K104" s="535"/>
      <c r="L104" s="535"/>
      <c r="M104" s="536"/>
      <c r="N104" s="1152"/>
      <c r="O104" s="1152"/>
      <c r="P104" s="2632"/>
      <c r="Q104" s="558"/>
    </row>
    <row r="105" spans="1:17" ht="15" thickTop="1">
      <c r="A105" s="598"/>
      <c r="B105" s="537" t="s">
        <v>2613</v>
      </c>
      <c r="C105" s="3016" t="s">
        <v>3131</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2"/>
      <c r="O106" s="1152"/>
      <c r="P106" s="2631"/>
      <c r="Q106" s="503"/>
    </row>
    <row r="107" spans="1:17" ht="15" thickTop="1">
      <c r="A107" s="598"/>
      <c r="B107" s="537" t="s">
        <v>2615</v>
      </c>
      <c r="C107" s="3016" t="s">
        <v>3133</v>
      </c>
      <c r="D107" s="3016" t="s">
        <v>3135</v>
      </c>
      <c r="E107" s="3016" t="s">
        <v>3137</v>
      </c>
      <c r="F107" s="3017" t="s">
        <v>3139</v>
      </c>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2"/>
      <c r="O108" s="1152"/>
      <c r="P108" s="263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31"/>
      <c r="Q111" s="503"/>
    </row>
    <row r="112" spans="1:17" s="470" customFormat="1" ht="15" thickTop="1">
      <c r="A112" s="592"/>
      <c r="B112" s="537" t="s">
        <v>2617</v>
      </c>
      <c r="C112" s="553" t="s">
        <v>3128</v>
      </c>
      <c r="D112" s="553" t="s">
        <v>3140</v>
      </c>
      <c r="E112" s="553" t="s">
        <v>3141</v>
      </c>
      <c r="F112" s="553" t="s">
        <v>3142</v>
      </c>
      <c r="G112" s="553" t="s">
        <v>3143</v>
      </c>
      <c r="H112" s="582"/>
      <c r="I112" s="582"/>
      <c r="J112" s="582"/>
      <c r="K112" s="583"/>
      <c r="L112" s="584"/>
      <c r="M112" s="585"/>
      <c r="N112" s="1153"/>
      <c r="O112" s="1153"/>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32"/>
      <c r="Q113" s="558"/>
    </row>
    <row r="114" spans="1:17" ht="15" thickTop="1">
      <c r="A114" s="598"/>
      <c r="B114" s="537" t="s">
        <v>2681</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2"/>
      <c r="O115" s="1152"/>
      <c r="P115" s="2631"/>
      <c r="Q115" s="503"/>
    </row>
    <row r="116" spans="1:17" ht="15" thickTop="1">
      <c r="A116" s="598"/>
      <c r="B116" s="537" t="s">
        <v>2682</v>
      </c>
      <c r="C116" s="3016" t="s">
        <v>3144</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2683</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3"/>
      <c r="O121" s="1153"/>
      <c r="P121" s="2632"/>
      <c r="Q121" s="558"/>
    </row>
    <row r="122" spans="1:17" ht="15" thickTop="1">
      <c r="A122" s="598"/>
      <c r="B122" s="537" t="s">
        <v>2619</v>
      </c>
      <c r="C122" s="3016" t="s">
        <v>3133</v>
      </c>
      <c r="D122" s="3016" t="s">
        <v>3135</v>
      </c>
      <c r="E122" s="3016" t="s">
        <v>3137</v>
      </c>
      <c r="F122" s="3017" t="s">
        <v>3139</v>
      </c>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G5:H5"/>
    <mergeCell ref="I5:J5"/>
    <mergeCell ref="E6:F6"/>
    <mergeCell ref="G6:H6"/>
    <mergeCell ref="E5:F5"/>
    <mergeCell ref="AA4:AA6"/>
    <mergeCell ref="AB4:AB6"/>
    <mergeCell ref="Y7:Z7"/>
    <mergeCell ref="R4:S6"/>
    <mergeCell ref="I6:J6"/>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2685</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87"/>
      <c r="D2" s="1364"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708.8</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304" t="s">
        <v>2650</v>
      </c>
      <c r="Q4" s="3305"/>
      <c r="R4" s="3299" t="s">
        <v>2646</v>
      </c>
      <c r="S4" s="3300"/>
      <c r="T4" s="3299" t="s">
        <v>2647</v>
      </c>
      <c r="U4" s="3300"/>
      <c r="V4" s="3308" t="s">
        <v>2648</v>
      </c>
      <c r="W4" s="3308"/>
      <c r="X4" s="2671"/>
      <c r="Y4" s="3299" t="s">
        <v>2650</v>
      </c>
      <c r="Z4" s="3300"/>
      <c r="AA4" s="3298" t="s">
        <v>2646</v>
      </c>
      <c r="AB4" s="3298" t="s">
        <v>2647</v>
      </c>
      <c r="AC4" s="3301" t="s">
        <v>2648</v>
      </c>
    </row>
    <row r="5" spans="1:29" ht="15">
      <c r="A5" s="403"/>
      <c r="B5" s="404"/>
      <c r="C5" s="3255" t="s">
        <v>2541</v>
      </c>
      <c r="D5" s="3256"/>
      <c r="E5" s="3253" t="s">
        <v>2542</v>
      </c>
      <c r="F5" s="3254"/>
      <c r="G5" s="3255" t="s">
        <v>2543</v>
      </c>
      <c r="H5" s="3256"/>
      <c r="I5" s="3255" t="s">
        <v>2544</v>
      </c>
      <c r="J5" s="3256"/>
      <c r="K5" s="609"/>
      <c r="L5" s="1129"/>
      <c r="M5" s="1130"/>
      <c r="N5" s="1130"/>
      <c r="O5" s="1130"/>
      <c r="P5" s="3306"/>
      <c r="Q5" s="3269"/>
      <c r="R5" s="3251"/>
      <c r="S5" s="3252"/>
      <c r="T5" s="3251"/>
      <c r="U5" s="3252"/>
      <c r="V5" s="3274"/>
      <c r="W5" s="3274"/>
      <c r="X5" s="1812"/>
      <c r="Y5" s="3251"/>
      <c r="Z5" s="3252"/>
      <c r="AA5" s="3245"/>
      <c r="AB5" s="3245"/>
      <c r="AC5" s="3302"/>
    </row>
    <row r="6" spans="1:29" ht="15.75" thickBot="1">
      <c r="A6" s="405"/>
      <c r="B6" s="406"/>
      <c r="C6" s="3257" t="s">
        <v>2545</v>
      </c>
      <c r="D6" s="3258"/>
      <c r="E6" s="3259" t="s">
        <v>2545</v>
      </c>
      <c r="F6" s="3260"/>
      <c r="G6" s="3257" t="s">
        <v>2545</v>
      </c>
      <c r="H6" s="3258"/>
      <c r="I6" s="3257" t="s">
        <v>2545</v>
      </c>
      <c r="J6" s="3258"/>
      <c r="K6" s="609" t="s">
        <v>2546</v>
      </c>
      <c r="L6" s="1129"/>
      <c r="M6" s="1130"/>
      <c r="N6" s="1130"/>
      <c r="O6" s="1130"/>
      <c r="P6" s="3307"/>
      <c r="Q6" s="3271"/>
      <c r="R6" s="3251"/>
      <c r="S6" s="3252"/>
      <c r="T6" s="3272"/>
      <c r="U6" s="3273"/>
      <c r="V6" s="3274"/>
      <c r="W6" s="3274"/>
      <c r="X6" s="1812"/>
      <c r="Y6" s="3272"/>
      <c r="Z6" s="3273"/>
      <c r="AA6" s="3246"/>
      <c r="AB6" s="3246"/>
      <c r="AC6" s="3303"/>
    </row>
    <row r="7" spans="1:29" s="117" customFormat="1" ht="15.75" thickBot="1">
      <c r="A7" s="407" t="s">
        <v>2547</v>
      </c>
      <c r="B7" s="408"/>
      <c r="C7" s="409">
        <f>'数据-取费表'!B2</f>
        <v>43914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09"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2672"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09" t="s">
        <v>2551</v>
      </c>
      <c r="Q8" s="3248"/>
      <c r="R8" s="769" t="s">
        <v>17</v>
      </c>
      <c r="S8" s="770">
        <f t="shared" si="0"/>
        <v>0</v>
      </c>
      <c r="T8" s="769" t="s">
        <v>17</v>
      </c>
      <c r="U8" s="770">
        <f t="shared" si="1"/>
        <v>0</v>
      </c>
      <c r="V8" s="769" t="s">
        <v>17</v>
      </c>
      <c r="W8" s="770">
        <f t="shared" si="2"/>
        <v>0</v>
      </c>
      <c r="X8" s="771"/>
      <c r="Y8" s="3247" t="s">
        <v>2551</v>
      </c>
      <c r="Z8" s="3248"/>
      <c r="AA8" s="772" t="e">
        <f t="shared" ref="AA8:AA47" si="3">D8/F8</f>
        <v>#DIV/0!</v>
      </c>
      <c r="AB8" s="772" t="e">
        <f t="shared" ref="AB8:AB47" si="4">D8/H8</f>
        <v>#DIV/0!</v>
      </c>
      <c r="AC8" s="2672"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61" t="s">
        <v>2554</v>
      </c>
      <c r="Q9" s="1794"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2672">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61"/>
      <c r="Q10" s="1794"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2672">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61"/>
      <c r="Q11" s="1794"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61"/>
      <c r="Q12" s="1794">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61"/>
      <c r="Q13" s="1794">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61"/>
      <c r="Q14" s="1794">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2672">
        <f t="shared" si="5"/>
        <v>1</v>
      </c>
    </row>
    <row r="15" spans="1:29" ht="71.25">
      <c r="A15" s="439" t="s">
        <v>2558</v>
      </c>
      <c r="B15" s="628" t="s">
        <v>2686</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8" t="s">
        <v>2559</v>
      </c>
      <c r="Q15" s="1809" t="str">
        <f t="shared" si="6"/>
        <v>办公集聚程度</v>
      </c>
      <c r="R15" s="773" t="s">
        <v>17</v>
      </c>
      <c r="S15" s="774">
        <f t="shared" si="0"/>
        <v>100</v>
      </c>
      <c r="T15" s="773" t="s">
        <v>17</v>
      </c>
      <c r="U15" s="774">
        <f t="shared" si="1"/>
        <v>100</v>
      </c>
      <c r="V15" s="773" t="s">
        <v>17</v>
      </c>
      <c r="W15" s="774">
        <f t="shared" si="2"/>
        <v>100</v>
      </c>
      <c r="X15" s="1812"/>
      <c r="Y15" s="3281" t="s">
        <v>2559</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89"/>
      <c r="Q16" s="1809"/>
      <c r="R16" s="773"/>
      <c r="S16" s="774"/>
      <c r="T16" s="773"/>
      <c r="U16" s="774"/>
      <c r="V16" s="773"/>
      <c r="W16" s="774"/>
      <c r="X16" s="1812"/>
      <c r="Y16" s="3282"/>
      <c r="Z16" s="1813"/>
      <c r="AA16" s="1810">
        <v>1</v>
      </c>
      <c r="AB16" s="1810">
        <v>1</v>
      </c>
      <c r="AC16" s="2675">
        <v>1</v>
      </c>
    </row>
    <row r="17" spans="1:29" ht="71.25">
      <c r="A17" s="427"/>
      <c r="B17" s="630" t="s">
        <v>2094</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89"/>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89"/>
      <c r="Q18" s="1809"/>
      <c r="R18" s="773"/>
      <c r="S18" s="774"/>
      <c r="T18" s="773"/>
      <c r="U18" s="774"/>
      <c r="V18" s="773"/>
      <c r="W18" s="774"/>
      <c r="X18" s="1812"/>
      <c r="Y18" s="3282"/>
      <c r="Z18" s="1813"/>
      <c r="AA18" s="1810">
        <v>1</v>
      </c>
      <c r="AB18" s="1810">
        <v>1</v>
      </c>
      <c r="AC18" s="2675">
        <v>1</v>
      </c>
    </row>
    <row r="19" spans="1:29" ht="42.75">
      <c r="A19" s="427"/>
      <c r="B19" s="630" t="s">
        <v>2687</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89"/>
      <c r="Q19" s="1809" t="str">
        <f>B19</f>
        <v>公共配套设施</v>
      </c>
      <c r="R19" s="773" t="s">
        <v>17</v>
      </c>
      <c r="S19" s="774">
        <f>F19</f>
        <v>100</v>
      </c>
      <c r="T19" s="773" t="s">
        <v>17</v>
      </c>
      <c r="U19" s="774">
        <f>H19</f>
        <v>100</v>
      </c>
      <c r="V19" s="773" t="s">
        <v>17</v>
      </c>
      <c r="W19" s="774">
        <f>J19</f>
        <v>100</v>
      </c>
      <c r="X19" s="1812"/>
      <c r="Y19" s="3282"/>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89"/>
      <c r="Q20" s="1809"/>
      <c r="R20" s="773"/>
      <c r="S20" s="774"/>
      <c r="T20" s="773"/>
      <c r="U20" s="774"/>
      <c r="V20" s="773"/>
      <c r="W20" s="774"/>
      <c r="X20" s="1812"/>
      <c r="Y20" s="3282"/>
      <c r="Z20" s="1813"/>
      <c r="AA20" s="1810">
        <v>1</v>
      </c>
      <c r="AB20" s="1810">
        <v>1</v>
      </c>
      <c r="AC20" s="2675">
        <v>1</v>
      </c>
    </row>
    <row r="21" spans="1:29" ht="28.5">
      <c r="A21" s="427"/>
      <c r="B21" s="632" t="s">
        <v>2688</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89"/>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89"/>
      <c r="Q22" s="1809"/>
      <c r="R22" s="773"/>
      <c r="S22" s="774"/>
      <c r="T22" s="773"/>
      <c r="U22" s="774"/>
      <c r="V22" s="773"/>
      <c r="W22" s="774"/>
      <c r="X22" s="1812"/>
      <c r="Y22" s="3282"/>
      <c r="Z22" s="1813"/>
      <c r="AA22" s="1810">
        <v>1</v>
      </c>
      <c r="AB22" s="1810">
        <v>1</v>
      </c>
      <c r="AC22" s="2675">
        <v>1</v>
      </c>
    </row>
    <row r="23" spans="1:29" ht="42.75">
      <c r="A23" s="427"/>
      <c r="B23" s="630" t="s">
        <v>2689</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89"/>
      <c r="Q23" s="1809" t="str">
        <f>B23</f>
        <v>环境质量</v>
      </c>
      <c r="R23" s="773" t="s">
        <v>17</v>
      </c>
      <c r="S23" s="774">
        <f>F23</f>
        <v>100</v>
      </c>
      <c r="T23" s="773" t="s">
        <v>17</v>
      </c>
      <c r="U23" s="774">
        <f>H23</f>
        <v>100</v>
      </c>
      <c r="V23" s="773" t="s">
        <v>17</v>
      </c>
      <c r="W23" s="774">
        <f>J23</f>
        <v>100</v>
      </c>
      <c r="X23" s="1812"/>
      <c r="Y23" s="3282"/>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89"/>
      <c r="Q24" s="1809"/>
      <c r="R24" s="773"/>
      <c r="S24" s="774"/>
      <c r="T24" s="773"/>
      <c r="U24" s="774"/>
      <c r="V24" s="773"/>
      <c r="W24" s="774"/>
      <c r="X24" s="1812"/>
      <c r="Y24" s="3282"/>
      <c r="Z24" s="1813"/>
      <c r="AA24" s="1810">
        <v>1</v>
      </c>
      <c r="AB24" s="1810">
        <v>1</v>
      </c>
      <c r="AC24" s="2675">
        <v>1</v>
      </c>
    </row>
    <row r="25" spans="1:29" ht="27">
      <c r="A25" s="403"/>
      <c r="B25" s="630" t="s">
        <v>2690</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89"/>
      <c r="Q25" s="1809" t="str">
        <f>B25</f>
        <v>毗邻道路的类型与等级</v>
      </c>
      <c r="R25" s="773" t="s">
        <v>17</v>
      </c>
      <c r="S25" s="774">
        <f>F25</f>
        <v>100</v>
      </c>
      <c r="T25" s="773" t="s">
        <v>17</v>
      </c>
      <c r="U25" s="774">
        <f>H25</f>
        <v>100</v>
      </c>
      <c r="V25" s="773" t="s">
        <v>17</v>
      </c>
      <c r="W25" s="774">
        <f>J25</f>
        <v>100</v>
      </c>
      <c r="X25" s="1812"/>
      <c r="Y25" s="3282"/>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89"/>
      <c r="Q26" s="1809"/>
      <c r="R26" s="773"/>
      <c r="S26" s="774"/>
      <c r="T26" s="773"/>
      <c r="U26" s="774"/>
      <c r="V26" s="773"/>
      <c r="W26" s="774"/>
      <c r="X26" s="1812"/>
      <c r="Y26" s="3282"/>
      <c r="Z26" s="1813"/>
      <c r="AA26" s="1810">
        <v>1</v>
      </c>
      <c r="AB26" s="1810">
        <v>1</v>
      </c>
      <c r="AC26" s="2675">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89"/>
      <c r="Q27" s="1809" t="str">
        <f t="shared" ref="Q27:Q47" si="11">B27</f>
        <v>楼层</v>
      </c>
      <c r="R27" s="773" t="s">
        <v>17</v>
      </c>
      <c r="S27" s="774">
        <f>F27</f>
        <v>100</v>
      </c>
      <c r="T27" s="773" t="s">
        <v>17</v>
      </c>
      <c r="U27" s="774">
        <f>H27</f>
        <v>100</v>
      </c>
      <c r="V27" s="773" t="s">
        <v>17</v>
      </c>
      <c r="W27" s="774">
        <f>J27</f>
        <v>100</v>
      </c>
      <c r="X27" s="1812"/>
      <c r="Y27" s="3282"/>
      <c r="Z27" s="1813" t="str">
        <f>Q27</f>
        <v>楼层</v>
      </c>
      <c r="AA27" s="1810">
        <f t="shared" si="3"/>
        <v>1</v>
      </c>
      <c r="AB27" s="1810">
        <f t="shared" si="4"/>
        <v>1</v>
      </c>
      <c r="AC27" s="2675">
        <f t="shared" si="5"/>
        <v>1</v>
      </c>
    </row>
    <row r="28" spans="1:29" s="117" customFormat="1" ht="15">
      <c r="A28" s="430"/>
      <c r="B28" s="630" t="s">
        <v>2691</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89"/>
      <c r="Q28" s="1794" t="str">
        <f t="shared" si="11"/>
        <v>朝向</v>
      </c>
      <c r="R28" s="769" t="s">
        <v>17</v>
      </c>
      <c r="S28" s="770">
        <f>F28</f>
        <v>100</v>
      </c>
      <c r="T28" s="769" t="s">
        <v>17</v>
      </c>
      <c r="U28" s="770">
        <f>H28</f>
        <v>100</v>
      </c>
      <c r="V28" s="769" t="s">
        <v>17</v>
      </c>
      <c r="W28" s="770">
        <f>J28</f>
        <v>100</v>
      </c>
      <c r="X28" s="771"/>
      <c r="Y28" s="3282"/>
      <c r="Z28" s="55"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89"/>
      <c r="Q29" s="1809">
        <f t="shared" si="11"/>
        <v>111</v>
      </c>
      <c r="R29" s="773" t="s">
        <v>17</v>
      </c>
      <c r="S29" s="774">
        <f t="shared" ref="S29:S47" si="12">F29</f>
        <v>100</v>
      </c>
      <c r="T29" s="773" t="s">
        <v>17</v>
      </c>
      <c r="U29" s="774">
        <f t="shared" ref="U29:U47" si="13">H29</f>
        <v>100</v>
      </c>
      <c r="V29" s="773" t="s">
        <v>17</v>
      </c>
      <c r="W29" s="774">
        <f t="shared" ref="W29:W47" si="14">J29</f>
        <v>100</v>
      </c>
      <c r="X29" s="1812"/>
      <c r="Y29" s="3282"/>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89"/>
      <c r="Q30" s="1809">
        <f t="shared" si="11"/>
        <v>111</v>
      </c>
      <c r="R30" s="773" t="s">
        <v>17</v>
      </c>
      <c r="S30" s="774">
        <f t="shared" si="12"/>
        <v>100</v>
      </c>
      <c r="T30" s="773" t="s">
        <v>17</v>
      </c>
      <c r="U30" s="774">
        <f t="shared" si="13"/>
        <v>100</v>
      </c>
      <c r="V30" s="773" t="s">
        <v>17</v>
      </c>
      <c r="W30" s="774">
        <f t="shared" si="14"/>
        <v>100</v>
      </c>
      <c r="X30" s="1812"/>
      <c r="Y30" s="3282"/>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89"/>
      <c r="Q31" s="1809">
        <f t="shared" si="11"/>
        <v>111</v>
      </c>
      <c r="R31" s="773" t="s">
        <v>17</v>
      </c>
      <c r="S31" s="774">
        <f t="shared" si="12"/>
        <v>100</v>
      </c>
      <c r="T31" s="773" t="s">
        <v>17</v>
      </c>
      <c r="U31" s="774">
        <f t="shared" si="13"/>
        <v>100</v>
      </c>
      <c r="V31" s="773" t="s">
        <v>17</v>
      </c>
      <c r="W31" s="774">
        <f t="shared" si="14"/>
        <v>100</v>
      </c>
      <c r="X31" s="1812"/>
      <c r="Y31" s="3282"/>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89"/>
      <c r="Q32" s="1809">
        <f t="shared" si="11"/>
        <v>111</v>
      </c>
      <c r="R32" s="773" t="s">
        <v>17</v>
      </c>
      <c r="S32" s="774">
        <f t="shared" si="12"/>
        <v>100</v>
      </c>
      <c r="T32" s="773" t="s">
        <v>17</v>
      </c>
      <c r="U32" s="774">
        <f t="shared" si="13"/>
        <v>100</v>
      </c>
      <c r="V32" s="773" t="s">
        <v>17</v>
      </c>
      <c r="W32" s="774">
        <f t="shared" si="14"/>
        <v>100</v>
      </c>
      <c r="X32" s="1812"/>
      <c r="Y32" s="3282"/>
      <c r="Z32" s="1813">
        <f t="shared" si="15"/>
        <v>111</v>
      </c>
      <c r="AA32" s="1810">
        <f t="shared" si="3"/>
        <v>1</v>
      </c>
      <c r="AB32" s="1810">
        <f t="shared" si="4"/>
        <v>1</v>
      </c>
      <c r="AC32" s="2675">
        <f t="shared" si="5"/>
        <v>1</v>
      </c>
    </row>
    <row r="33" spans="1:29" ht="15">
      <c r="A33" s="439" t="s">
        <v>2562</v>
      </c>
      <c r="B33" s="71" t="s">
        <v>2692</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83" t="s">
        <v>2564</v>
      </c>
      <c r="Q33" s="1809" t="str">
        <f t="shared" si="11"/>
        <v>建筑类型</v>
      </c>
      <c r="R33" s="773" t="s">
        <v>17</v>
      </c>
      <c r="S33" s="774">
        <f t="shared" si="12"/>
        <v>100</v>
      </c>
      <c r="T33" s="773" t="s">
        <v>17</v>
      </c>
      <c r="U33" s="774">
        <f t="shared" si="13"/>
        <v>100</v>
      </c>
      <c r="V33" s="773" t="s">
        <v>17</v>
      </c>
      <c r="W33" s="774">
        <f t="shared" si="14"/>
        <v>100</v>
      </c>
      <c r="X33" s="1812"/>
      <c r="Y33" s="3286" t="s">
        <v>2564</v>
      </c>
      <c r="Z33" s="1813" t="str">
        <f t="shared" si="15"/>
        <v>建筑类型</v>
      </c>
      <c r="AA33" s="1810">
        <f t="shared" si="3"/>
        <v>1</v>
      </c>
      <c r="AB33" s="1810">
        <f t="shared" si="4"/>
        <v>1</v>
      </c>
      <c r="AC33" s="2675">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4"/>
      <c r="Q34" s="775" t="str">
        <f t="shared" si="11"/>
        <v>项目建筑规模</v>
      </c>
      <c r="R34" s="776" t="s">
        <v>17</v>
      </c>
      <c r="S34" s="777" t="e">
        <f t="shared" si="12"/>
        <v>#N/A</v>
      </c>
      <c r="T34" s="776" t="s">
        <v>17</v>
      </c>
      <c r="U34" s="777" t="e">
        <f t="shared" si="13"/>
        <v>#N/A</v>
      </c>
      <c r="V34" s="776" t="s">
        <v>17</v>
      </c>
      <c r="W34" s="777" t="e">
        <f t="shared" si="14"/>
        <v>#N/A</v>
      </c>
      <c r="X34" s="778"/>
      <c r="Y34" s="3286"/>
      <c r="Z34" s="779" t="str">
        <f t="shared" si="15"/>
        <v>项目建筑规模</v>
      </c>
      <c r="AA34" s="1810" t="e">
        <f t="shared" si="3"/>
        <v>#N/A</v>
      </c>
      <c r="AB34" s="1810" t="e">
        <f t="shared" si="4"/>
        <v>#N/A</v>
      </c>
      <c r="AC34" s="2675"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4"/>
      <c r="Q35" s="1809" t="str">
        <f t="shared" si="11"/>
        <v>建筑结构</v>
      </c>
      <c r="R35" s="773" t="s">
        <v>17</v>
      </c>
      <c r="S35" s="774">
        <f t="shared" si="12"/>
        <v>100</v>
      </c>
      <c r="T35" s="773" t="s">
        <v>17</v>
      </c>
      <c r="U35" s="774">
        <f t="shared" si="13"/>
        <v>100</v>
      </c>
      <c r="V35" s="773" t="s">
        <v>17</v>
      </c>
      <c r="W35" s="774">
        <f t="shared" si="14"/>
        <v>100</v>
      </c>
      <c r="X35" s="1812"/>
      <c r="Y35" s="3286"/>
      <c r="Z35" s="1813" t="str">
        <f t="shared" si="15"/>
        <v>建筑结构</v>
      </c>
      <c r="AA35" s="1810">
        <f t="shared" si="3"/>
        <v>1</v>
      </c>
      <c r="AB35" s="1810">
        <f t="shared" si="4"/>
        <v>1</v>
      </c>
      <c r="AC35" s="2675">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4"/>
      <c r="Q36" s="1809" t="str">
        <f t="shared" si="11"/>
        <v>公共部分装修</v>
      </c>
      <c r="R36" s="773" t="s">
        <v>17</v>
      </c>
      <c r="S36" s="774">
        <f t="shared" si="12"/>
        <v>100</v>
      </c>
      <c r="T36" s="773" t="s">
        <v>17</v>
      </c>
      <c r="U36" s="774">
        <f t="shared" si="13"/>
        <v>100</v>
      </c>
      <c r="V36" s="773" t="s">
        <v>17</v>
      </c>
      <c r="W36" s="774">
        <f t="shared" si="14"/>
        <v>100</v>
      </c>
      <c r="X36" s="1812"/>
      <c r="Y36" s="3286"/>
      <c r="Z36" s="1813" t="str">
        <f t="shared" si="15"/>
        <v>公共部分装修</v>
      </c>
      <c r="AA36" s="1810">
        <f t="shared" si="3"/>
        <v>1</v>
      </c>
      <c r="AB36" s="1810">
        <f t="shared" si="4"/>
        <v>1</v>
      </c>
      <c r="AC36" s="2675">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4"/>
      <c r="Q37" s="1809" t="str">
        <f t="shared" si="11"/>
        <v>成新度</v>
      </c>
      <c r="R37" s="773" t="s">
        <v>17</v>
      </c>
      <c r="S37" s="774" t="e">
        <f t="shared" si="12"/>
        <v>#N/A</v>
      </c>
      <c r="T37" s="773" t="s">
        <v>17</v>
      </c>
      <c r="U37" s="774" t="e">
        <f t="shared" si="13"/>
        <v>#N/A</v>
      </c>
      <c r="V37" s="773" t="s">
        <v>17</v>
      </c>
      <c r="W37" s="774" t="e">
        <f t="shared" si="14"/>
        <v>#N/A</v>
      </c>
      <c r="X37" s="1812"/>
      <c r="Y37" s="3286"/>
      <c r="Z37" s="1813" t="str">
        <f t="shared" si="15"/>
        <v>成新度</v>
      </c>
      <c r="AA37" s="1810" t="e">
        <f t="shared" si="3"/>
        <v>#N/A</v>
      </c>
      <c r="AB37" s="1810" t="e">
        <f t="shared" si="4"/>
        <v>#N/A</v>
      </c>
      <c r="AC37" s="2675"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4"/>
      <c r="Q38" s="1794" t="str">
        <f t="shared" si="11"/>
        <v>写字楼等级</v>
      </c>
      <c r="R38" s="769" t="s">
        <v>17</v>
      </c>
      <c r="S38" s="770">
        <f t="shared" si="12"/>
        <v>100</v>
      </c>
      <c r="T38" s="769" t="s">
        <v>17</v>
      </c>
      <c r="U38" s="770">
        <f t="shared" si="13"/>
        <v>100</v>
      </c>
      <c r="V38" s="769" t="s">
        <v>17</v>
      </c>
      <c r="W38" s="770">
        <f t="shared" si="14"/>
        <v>100</v>
      </c>
      <c r="X38" s="771"/>
      <c r="Y38" s="3286"/>
      <c r="Z38" s="55" t="str">
        <f t="shared" si="15"/>
        <v>写字楼等级</v>
      </c>
      <c r="AA38" s="772">
        <f t="shared" si="3"/>
        <v>1</v>
      </c>
      <c r="AB38" s="772">
        <f t="shared" si="4"/>
        <v>1</v>
      </c>
      <c r="AC38" s="2672">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4" t="s">
        <v>2564</v>
      </c>
      <c r="Q39" s="1809" t="str">
        <f t="shared" si="11"/>
        <v>物业管理</v>
      </c>
      <c r="R39" s="773" t="s">
        <v>17</v>
      </c>
      <c r="S39" s="774">
        <f t="shared" si="12"/>
        <v>100</v>
      </c>
      <c r="T39" s="773" t="s">
        <v>17</v>
      </c>
      <c r="U39" s="774">
        <f t="shared" si="13"/>
        <v>100</v>
      </c>
      <c r="V39" s="773" t="s">
        <v>17</v>
      </c>
      <c r="W39" s="774">
        <f t="shared" si="14"/>
        <v>100</v>
      </c>
      <c r="X39" s="1812"/>
      <c r="Y39" s="3286" t="s">
        <v>2564</v>
      </c>
      <c r="Z39" s="1813" t="str">
        <f t="shared" si="15"/>
        <v>物业管理</v>
      </c>
      <c r="AA39" s="1810">
        <f t="shared" si="3"/>
        <v>1</v>
      </c>
      <c r="AB39" s="1810">
        <f t="shared" si="4"/>
        <v>1</v>
      </c>
      <c r="AC39" s="2675">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4"/>
      <c r="Q40" s="1809" t="str">
        <f t="shared" si="11"/>
        <v>市政基础设施</v>
      </c>
      <c r="R40" s="773" t="s">
        <v>17</v>
      </c>
      <c r="S40" s="774">
        <f t="shared" si="12"/>
        <v>100</v>
      </c>
      <c r="T40" s="773" t="s">
        <v>17</v>
      </c>
      <c r="U40" s="774">
        <f t="shared" si="13"/>
        <v>100</v>
      </c>
      <c r="V40" s="773" t="s">
        <v>17</v>
      </c>
      <c r="W40" s="774">
        <f t="shared" si="14"/>
        <v>100</v>
      </c>
      <c r="X40" s="1812"/>
      <c r="Y40" s="3286"/>
      <c r="Z40" s="1813" t="str">
        <f t="shared" si="15"/>
        <v>市政基础设施</v>
      </c>
      <c r="AA40" s="1810">
        <f t="shared" si="3"/>
        <v>1</v>
      </c>
      <c r="AB40" s="1810">
        <f t="shared" si="4"/>
        <v>1</v>
      </c>
      <c r="AC40" s="2675">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4"/>
      <c r="Q41" s="1809" t="str">
        <f t="shared" si="11"/>
        <v>层高</v>
      </c>
      <c r="R41" s="773" t="s">
        <v>17</v>
      </c>
      <c r="S41" s="774">
        <f t="shared" si="12"/>
        <v>100</v>
      </c>
      <c r="T41" s="773" t="s">
        <v>17</v>
      </c>
      <c r="U41" s="774">
        <f t="shared" si="13"/>
        <v>100</v>
      </c>
      <c r="V41" s="773" t="s">
        <v>17</v>
      </c>
      <c r="W41" s="774">
        <f t="shared" si="14"/>
        <v>100</v>
      </c>
      <c r="X41" s="1812"/>
      <c r="Y41" s="3286"/>
      <c r="Z41" s="1813" t="str">
        <f t="shared" si="15"/>
        <v>层高</v>
      </c>
      <c r="AA41" s="1810">
        <f t="shared" si="3"/>
        <v>1</v>
      </c>
      <c r="AB41" s="1810">
        <f t="shared" si="4"/>
        <v>1</v>
      </c>
      <c r="AC41" s="2675">
        <f t="shared" si="5"/>
        <v>1</v>
      </c>
    </row>
    <row r="42" spans="1:29" s="470" customFormat="1" ht="15">
      <c r="A42" s="467"/>
      <c r="B42" s="1811"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4"/>
      <c r="Q42" s="775" t="str">
        <f t="shared" si="11"/>
        <v>单套建筑面积</v>
      </c>
      <c r="R42" s="776" t="s">
        <v>17</v>
      </c>
      <c r="S42" s="777">
        <f t="shared" si="12"/>
        <v>100</v>
      </c>
      <c r="T42" s="776" t="s">
        <v>17</v>
      </c>
      <c r="U42" s="777">
        <f t="shared" si="13"/>
        <v>100</v>
      </c>
      <c r="V42" s="776" t="s">
        <v>17</v>
      </c>
      <c r="W42" s="777">
        <f t="shared" si="14"/>
        <v>100</v>
      </c>
      <c r="X42" s="778"/>
      <c r="Y42" s="3286"/>
      <c r="Z42" s="779" t="str">
        <f t="shared" si="15"/>
        <v>单套建筑面积</v>
      </c>
      <c r="AA42" s="1810">
        <f t="shared" si="3"/>
        <v>1</v>
      </c>
      <c r="AB42" s="1810">
        <f t="shared" si="4"/>
        <v>1</v>
      </c>
      <c r="AC42" s="2675">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4"/>
      <c r="Q43" s="1809" t="str">
        <f t="shared" si="11"/>
        <v>内部装修</v>
      </c>
      <c r="R43" s="773" t="s">
        <v>17</v>
      </c>
      <c r="S43" s="774">
        <f t="shared" si="12"/>
        <v>100</v>
      </c>
      <c r="T43" s="773" t="s">
        <v>17</v>
      </c>
      <c r="U43" s="774">
        <f t="shared" si="13"/>
        <v>100</v>
      </c>
      <c r="V43" s="773" t="s">
        <v>17</v>
      </c>
      <c r="W43" s="774">
        <f t="shared" si="14"/>
        <v>100</v>
      </c>
      <c r="X43" s="1812"/>
      <c r="Y43" s="3286"/>
      <c r="Z43" s="1813" t="str">
        <f t="shared" si="15"/>
        <v>内部装修</v>
      </c>
      <c r="AA43" s="1810">
        <f t="shared" si="3"/>
        <v>1</v>
      </c>
      <c r="AB43" s="1810">
        <f t="shared" si="4"/>
        <v>1</v>
      </c>
      <c r="AC43" s="2675">
        <f t="shared" si="5"/>
        <v>1</v>
      </c>
    </row>
    <row r="44" spans="1:29" ht="15">
      <c r="A44" s="471"/>
      <c r="B44" s="421" t="s">
        <v>2575</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84"/>
      <c r="Q44" s="1809" t="str">
        <f t="shared" si="11"/>
        <v>内部装修维护情况</v>
      </c>
      <c r="R44" s="773" t="s">
        <v>17</v>
      </c>
      <c r="S44" s="774">
        <f t="shared" si="12"/>
        <v>100</v>
      </c>
      <c r="T44" s="773" t="s">
        <v>17</v>
      </c>
      <c r="U44" s="774">
        <f t="shared" si="13"/>
        <v>100</v>
      </c>
      <c r="V44" s="773" t="s">
        <v>17</v>
      </c>
      <c r="W44" s="774">
        <f t="shared" si="14"/>
        <v>100</v>
      </c>
      <c r="X44" s="1812"/>
      <c r="Y44" s="3286"/>
      <c r="Z44" s="1813" t="str">
        <f t="shared" si="15"/>
        <v>内部装修维护情况</v>
      </c>
      <c r="AA44" s="1810">
        <f t="shared" si="3"/>
        <v>1</v>
      </c>
      <c r="AB44" s="1810">
        <f t="shared" si="4"/>
        <v>1</v>
      </c>
      <c r="AC44" s="2675">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4"/>
      <c r="Q45" s="1794">
        <f t="shared" si="11"/>
        <v>111</v>
      </c>
      <c r="R45" s="769" t="s">
        <v>17</v>
      </c>
      <c r="S45" s="770">
        <f t="shared" si="12"/>
        <v>100</v>
      </c>
      <c r="T45" s="769" t="s">
        <v>17</v>
      </c>
      <c r="U45" s="770">
        <f t="shared" si="13"/>
        <v>100</v>
      </c>
      <c r="V45" s="769" t="s">
        <v>17</v>
      </c>
      <c r="W45" s="770">
        <f t="shared" si="14"/>
        <v>100</v>
      </c>
      <c r="X45" s="771"/>
      <c r="Y45" s="3286"/>
      <c r="Z45" s="55">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4"/>
      <c r="Q46" s="1809">
        <f t="shared" si="11"/>
        <v>111</v>
      </c>
      <c r="R46" s="773" t="s">
        <v>17</v>
      </c>
      <c r="S46" s="774">
        <f t="shared" si="12"/>
        <v>100</v>
      </c>
      <c r="T46" s="773" t="s">
        <v>17</v>
      </c>
      <c r="U46" s="774">
        <f t="shared" si="13"/>
        <v>100</v>
      </c>
      <c r="V46" s="773" t="s">
        <v>17</v>
      </c>
      <c r="W46" s="774">
        <f t="shared" si="14"/>
        <v>100</v>
      </c>
      <c r="X46" s="1812"/>
      <c r="Y46" s="3286"/>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5"/>
      <c r="Q47" s="1809">
        <f t="shared" si="11"/>
        <v>111</v>
      </c>
      <c r="R47" s="773" t="s">
        <v>17</v>
      </c>
      <c r="S47" s="774">
        <f t="shared" si="12"/>
        <v>100</v>
      </c>
      <c r="T47" s="773" t="s">
        <v>17</v>
      </c>
      <c r="U47" s="774">
        <f t="shared" si="13"/>
        <v>100</v>
      </c>
      <c r="V47" s="773" t="s">
        <v>17</v>
      </c>
      <c r="W47" s="774">
        <f t="shared" si="14"/>
        <v>100</v>
      </c>
      <c r="X47" s="1812"/>
      <c r="Y47" s="3287"/>
      <c r="Z47" s="1813">
        <f t="shared" si="15"/>
        <v>111</v>
      </c>
      <c r="AA47" s="1810">
        <f t="shared" si="3"/>
        <v>1</v>
      </c>
      <c r="AB47" s="1810">
        <f t="shared" si="4"/>
        <v>1</v>
      </c>
      <c r="AC47" s="2675">
        <f t="shared" si="5"/>
        <v>1</v>
      </c>
    </row>
    <row r="48" spans="1:29" ht="15">
      <c r="A48" s="478" t="s">
        <v>2576</v>
      </c>
      <c r="B48" s="479"/>
      <c r="C48" s="1406" t="s">
        <v>1</v>
      </c>
      <c r="D48" s="1407"/>
      <c r="E48" s="1408"/>
      <c r="F48" s="1409"/>
      <c r="G48" s="1410"/>
      <c r="H48" s="1411"/>
      <c r="I48" s="1408"/>
      <c r="J48" s="484"/>
      <c r="K48" s="782"/>
      <c r="L48" s="1142"/>
      <c r="M48" s="1130"/>
      <c r="N48" s="1130"/>
      <c r="O48" s="1130"/>
      <c r="P48" s="3261" t="str">
        <f>A48</f>
        <v>成交单价（元/平方米）</v>
      </c>
      <c r="Q48" s="3279"/>
      <c r="R48" s="3280">
        <f>E48</f>
        <v>0</v>
      </c>
      <c r="S48" s="3280"/>
      <c r="T48" s="3280">
        <f>G48</f>
        <v>0</v>
      </c>
      <c r="U48" s="3280"/>
      <c r="V48" s="3280">
        <f>I48</f>
        <v>0</v>
      </c>
      <c r="W48" s="3280"/>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61"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310" t="str">
        <f>A50</f>
        <v>估价对象XX用房的比较价值（楼面单价，元/平方米）</v>
      </c>
      <c r="Q50" s="3311"/>
      <c r="R50" s="3312" t="e">
        <f>IF(F1="售价",ROUND(AVERAGE(R49:V49),0),ROUND(AVERAGE(R49:V49),1))</f>
        <v>#DIV/0!</v>
      </c>
      <c r="S50" s="3312"/>
      <c r="T50" s="3312"/>
      <c r="U50" s="3312"/>
      <c r="V50" s="3312"/>
      <c r="W50" s="3312"/>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82"/>
      <c r="Q58" s="503"/>
    </row>
    <row r="59" spans="1:29" s="507" customFormat="1" ht="15">
      <c r="A59" s="504" t="s">
        <v>2547</v>
      </c>
      <c r="B59" s="505"/>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8"/>
      <c r="B60" s="509"/>
      <c r="C60" s="1572">
        <v>100</v>
      </c>
      <c r="D60" s="511"/>
      <c r="E60" s="511"/>
      <c r="F60" s="511"/>
      <c r="G60" s="511"/>
      <c r="H60" s="511"/>
      <c r="I60" s="511"/>
      <c r="J60" s="511"/>
      <c r="K60" s="511"/>
      <c r="L60" s="511"/>
      <c r="M60" s="512"/>
      <c r="N60" s="511"/>
      <c r="O60" s="512"/>
      <c r="P60" s="2683"/>
    </row>
    <row r="61" spans="1:29" s="117" customFormat="1" ht="15.75" thickBot="1">
      <c r="A61" s="514" t="s">
        <v>2584</v>
      </c>
      <c r="B61" s="515"/>
      <c r="C61" s="516"/>
      <c r="D61" s="517"/>
      <c r="E61" s="517"/>
      <c r="F61" s="517"/>
      <c r="G61" s="517"/>
      <c r="H61" s="517"/>
      <c r="I61" s="517"/>
      <c r="J61" s="517"/>
      <c r="K61" s="517"/>
      <c r="L61" s="517"/>
      <c r="M61" s="518"/>
      <c r="N61" s="517"/>
      <c r="O61" s="518"/>
      <c r="P61" s="2683"/>
      <c r="Q61" s="503"/>
    </row>
    <row r="62" spans="1:29" s="117" customFormat="1" ht="15">
      <c r="A62" s="520" t="s">
        <v>2549</v>
      </c>
      <c r="B62" s="509"/>
      <c r="C62" s="521" t="s">
        <v>2651</v>
      </c>
      <c r="D62" s="522"/>
      <c r="E62" s="522"/>
      <c r="F62" s="522"/>
      <c r="G62" s="522"/>
      <c r="H62" s="522"/>
      <c r="I62" s="522"/>
      <c r="J62" s="522"/>
      <c r="K62" s="522"/>
      <c r="L62" s="523"/>
      <c r="M62" s="524"/>
      <c r="N62" s="1150"/>
      <c r="O62" s="1150"/>
      <c r="P62" s="2684"/>
      <c r="Q62" s="503"/>
    </row>
    <row r="63" spans="1:29" s="117"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2587</v>
      </c>
      <c r="B64" s="527" t="s">
        <v>2553</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7" customFormat="1" ht="27.75" thickTop="1">
      <c r="A87" s="578"/>
      <c r="B87" s="537" t="s">
        <v>2698</v>
      </c>
      <c r="C87" s="553"/>
      <c r="D87" s="553"/>
      <c r="E87" s="553"/>
      <c r="F87" s="553"/>
      <c r="G87" s="553"/>
      <c r="H87" s="553"/>
      <c r="I87" s="553"/>
      <c r="J87" s="553"/>
      <c r="K87" s="553"/>
      <c r="L87" s="579"/>
      <c r="M87" s="580"/>
      <c r="N87" s="1150"/>
      <c r="O87" s="1150"/>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7"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2562</v>
      </c>
      <c r="B101" s="527" t="s">
        <v>2611</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2613</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2615</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2616</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2617</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2700</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2619</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估价对象为北京市出让国有建设用地使用权及在建建筑物房地产，为所有。根据《国有土地使用证》[]，估价对象（分摊）出让国有建设用地使用权面积为0平方米，建筑面积为708.8平方米。</v>
      </c>
    </row>
    <row r="8" spans="1:1" ht="57.75">
      <c r="A8" s="1949" t="s">
        <v>1608</v>
      </c>
    </row>
    <row r="9" spans="1:1" ht="18.75">
      <c r="A9" s="1948" t="s">
        <v>1609</v>
      </c>
    </row>
    <row r="10" spans="1:1" ht="54">
      <c r="A10" s="1946"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"本次评估采用的主估价方法为"&amp;'结果表（1）'!K4&amp;"和"&amp;'结果表（1）'!L4&amp;"。"</f>
        <v>本次评估采用的主估价方法为收益法和比较法。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2701</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87"/>
      <c r="D2" s="1123"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708.8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49" t="s">
        <v>2646</v>
      </c>
      <c r="S4" s="3250"/>
      <c r="T4" s="3249" t="s">
        <v>2647</v>
      </c>
      <c r="U4" s="3250"/>
      <c r="V4" s="3274" t="s">
        <v>2648</v>
      </c>
      <c r="W4" s="3274"/>
      <c r="X4" s="1812"/>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9"/>
      <c r="M5" s="1130"/>
      <c r="N5" s="1130"/>
      <c r="O5" s="1130"/>
      <c r="P5" s="3268"/>
      <c r="Q5" s="3269"/>
      <c r="R5" s="3251"/>
      <c r="S5" s="3252"/>
      <c r="T5" s="3251"/>
      <c r="U5" s="3252"/>
      <c r="V5" s="3274"/>
      <c r="W5" s="3274"/>
      <c r="X5" s="1812"/>
      <c r="Y5" s="3251"/>
      <c r="Z5" s="3252"/>
      <c r="AA5" s="3245"/>
      <c r="AB5" s="3245"/>
      <c r="AC5" s="3245"/>
    </row>
    <row r="6" spans="1:29" ht="15.75" thickBot="1">
      <c r="A6" s="405"/>
      <c r="B6" s="406"/>
      <c r="C6" s="3257" t="s">
        <v>2545</v>
      </c>
      <c r="D6" s="3258"/>
      <c r="E6" s="3259" t="s">
        <v>2545</v>
      </c>
      <c r="F6" s="3260"/>
      <c r="G6" s="3257" t="s">
        <v>2545</v>
      </c>
      <c r="H6" s="3258"/>
      <c r="I6" s="3257" t="s">
        <v>2545</v>
      </c>
      <c r="J6" s="3258"/>
      <c r="K6" s="609" t="s">
        <v>2546</v>
      </c>
      <c r="L6" s="1129"/>
      <c r="M6" s="1130"/>
      <c r="N6" s="1130"/>
      <c r="O6" s="1130"/>
      <c r="P6" s="3270"/>
      <c r="Q6" s="3271"/>
      <c r="R6" s="3251"/>
      <c r="S6" s="3252"/>
      <c r="T6" s="3272"/>
      <c r="U6" s="3273"/>
      <c r="V6" s="3274"/>
      <c r="W6" s="3274"/>
      <c r="X6" s="1812"/>
      <c r="Y6" s="3272"/>
      <c r="Z6" s="3273"/>
      <c r="AA6" s="3246"/>
      <c r="AB6" s="3246"/>
      <c r="AC6" s="3246"/>
    </row>
    <row r="7" spans="1:29" s="117" customFormat="1" ht="15.75" thickBot="1">
      <c r="A7" s="407" t="s">
        <v>2547</v>
      </c>
      <c r="B7" s="408"/>
      <c r="C7" s="409">
        <f>'数据-取费表'!B2</f>
        <v>43914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7"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79" t="s">
        <v>2554</v>
      </c>
      <c r="Q9" s="1794"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79"/>
      <c r="Q10" s="1794"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79"/>
      <c r="Q11" s="1794"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79"/>
      <c r="Q12" s="1794">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79"/>
      <c r="Q14" s="1794">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57">
      <c r="A15" s="439" t="s">
        <v>2558</v>
      </c>
      <c r="B15" s="69" t="s">
        <v>2702</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81" t="s">
        <v>2559</v>
      </c>
      <c r="Q15" s="1809" t="str">
        <f t="shared" si="6"/>
        <v>产业集聚程度</v>
      </c>
      <c r="R15" s="773" t="s">
        <v>17</v>
      </c>
      <c r="S15" s="774">
        <f t="shared" si="0"/>
        <v>100</v>
      </c>
      <c r="T15" s="773" t="s">
        <v>17</v>
      </c>
      <c r="U15" s="774">
        <f t="shared" si="1"/>
        <v>100</v>
      </c>
      <c r="V15" s="773" t="s">
        <v>17</v>
      </c>
      <c r="W15" s="774">
        <f t="shared" si="2"/>
        <v>100</v>
      </c>
      <c r="X15" s="1812"/>
      <c r="Y15" s="3281" t="s">
        <v>2559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82"/>
      <c r="Q16" s="1809"/>
      <c r="R16" s="773"/>
      <c r="S16" s="774"/>
      <c r="T16" s="773"/>
      <c r="U16" s="774"/>
      <c r="V16" s="773"/>
      <c r="W16" s="774"/>
      <c r="X16" s="1812"/>
      <c r="Y16" s="3282"/>
      <c r="Z16" s="1813"/>
      <c r="AA16" s="1810">
        <v>1</v>
      </c>
      <c r="AB16" s="1810">
        <v>1</v>
      </c>
      <c r="AC16" s="1810">
        <v>1</v>
      </c>
    </row>
    <row r="17" spans="1:29" ht="85.5">
      <c r="A17" s="427"/>
      <c r="B17" s="450" t="s">
        <v>2094</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82"/>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82"/>
      <c r="Q18" s="1809"/>
      <c r="R18" s="773"/>
      <c r="S18" s="774"/>
      <c r="T18" s="773"/>
      <c r="U18" s="774"/>
      <c r="V18" s="773"/>
      <c r="W18" s="774"/>
      <c r="X18" s="1812"/>
      <c r="Y18" s="3282"/>
      <c r="Z18" s="1813"/>
      <c r="AA18" s="1810">
        <v>1</v>
      </c>
      <c r="AB18" s="1810">
        <v>1</v>
      </c>
      <c r="AC18" s="1810">
        <v>1</v>
      </c>
    </row>
    <row r="19" spans="1:29" ht="42.75">
      <c r="A19" s="427"/>
      <c r="B19" s="450" t="s">
        <v>2687</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82"/>
      <c r="Q19" s="1809" t="str">
        <f>B19</f>
        <v>公共配套设施</v>
      </c>
      <c r="R19" s="773" t="s">
        <v>17</v>
      </c>
      <c r="S19" s="774">
        <f>F19</f>
        <v>100</v>
      </c>
      <c r="T19" s="773" t="s">
        <v>17</v>
      </c>
      <c r="U19" s="774">
        <f>H19</f>
        <v>100</v>
      </c>
      <c r="V19" s="773" t="s">
        <v>17</v>
      </c>
      <c r="W19" s="774">
        <f>J19</f>
        <v>100</v>
      </c>
      <c r="X19" s="1812"/>
      <c r="Y19" s="328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82"/>
      <c r="Q20" s="1809"/>
      <c r="R20" s="773"/>
      <c r="S20" s="774"/>
      <c r="T20" s="773"/>
      <c r="U20" s="774"/>
      <c r="V20" s="773"/>
      <c r="W20" s="774"/>
      <c r="X20" s="1812"/>
      <c r="Y20" s="3282"/>
      <c r="Z20" s="1813"/>
      <c r="AA20" s="1810">
        <v>1</v>
      </c>
      <c r="AB20" s="1810">
        <v>1</v>
      </c>
      <c r="AC20" s="1810">
        <v>1</v>
      </c>
    </row>
    <row r="21" spans="1:29" ht="28.5">
      <c r="A21" s="427"/>
      <c r="B21" s="1383" t="s">
        <v>2688</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82"/>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82"/>
      <c r="Q22" s="1809"/>
      <c r="R22" s="773"/>
      <c r="S22" s="774"/>
      <c r="T22" s="773"/>
      <c r="U22" s="774"/>
      <c r="V22" s="773"/>
      <c r="W22" s="774"/>
      <c r="X22" s="1812"/>
      <c r="Y22" s="3282"/>
      <c r="Z22" s="1813"/>
      <c r="AA22" s="1810">
        <v>1</v>
      </c>
      <c r="AB22" s="1810">
        <v>1</v>
      </c>
      <c r="AC22" s="1810">
        <v>1</v>
      </c>
    </row>
    <row r="23" spans="1:29" ht="71.25">
      <c r="A23" s="427"/>
      <c r="B23" s="450" t="s">
        <v>2689</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82"/>
      <c r="Q23" s="1809" t="str">
        <f>B23</f>
        <v>环境质量</v>
      </c>
      <c r="R23" s="773" t="s">
        <v>17</v>
      </c>
      <c r="S23" s="774">
        <f>F23</f>
        <v>100</v>
      </c>
      <c r="T23" s="773" t="s">
        <v>17</v>
      </c>
      <c r="U23" s="774">
        <f>H23</f>
        <v>100</v>
      </c>
      <c r="V23" s="773" t="s">
        <v>17</v>
      </c>
      <c r="W23" s="774">
        <f>J23</f>
        <v>100</v>
      </c>
      <c r="X23" s="1812"/>
      <c r="Y23" s="3282"/>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82"/>
      <c r="Q24" s="1809"/>
      <c r="R24" s="773"/>
      <c r="S24" s="774"/>
      <c r="T24" s="773"/>
      <c r="U24" s="774"/>
      <c r="V24" s="773"/>
      <c r="W24" s="774"/>
      <c r="X24" s="1812"/>
      <c r="Y24" s="328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82"/>
      <c r="Q25" s="1809">
        <f>B25</f>
        <v>111</v>
      </c>
      <c r="R25" s="773" t="s">
        <v>17</v>
      </c>
      <c r="S25" s="774">
        <f>F25</f>
        <v>100</v>
      </c>
      <c r="T25" s="773" t="s">
        <v>17</v>
      </c>
      <c r="U25" s="774">
        <f>H25</f>
        <v>100</v>
      </c>
      <c r="V25" s="773" t="s">
        <v>17</v>
      </c>
      <c r="W25" s="774">
        <f>J25</f>
        <v>100</v>
      </c>
      <c r="X25" s="1812"/>
      <c r="Y25" s="328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82"/>
      <c r="Q26" s="1809">
        <f t="shared" ref="Q26:Q40" si="11">B26</f>
        <v>111</v>
      </c>
      <c r="R26" s="773" t="s">
        <v>17</v>
      </c>
      <c r="S26" s="774">
        <f>F26</f>
        <v>100</v>
      </c>
      <c r="T26" s="773" t="s">
        <v>17</v>
      </c>
      <c r="U26" s="774">
        <f>H26</f>
        <v>100</v>
      </c>
      <c r="V26" s="773" t="s">
        <v>17</v>
      </c>
      <c r="W26" s="774">
        <f>J26</f>
        <v>100</v>
      </c>
      <c r="X26" s="1812"/>
      <c r="Y26" s="3282"/>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82"/>
      <c r="Q27" s="1794">
        <f t="shared" si="11"/>
        <v>111</v>
      </c>
      <c r="R27" s="769" t="s">
        <v>17</v>
      </c>
      <c r="S27" s="770">
        <f>F27</f>
        <v>100</v>
      </c>
      <c r="T27" s="769" t="s">
        <v>17</v>
      </c>
      <c r="U27" s="770">
        <f>H27</f>
        <v>100</v>
      </c>
      <c r="V27" s="769" t="s">
        <v>17</v>
      </c>
      <c r="W27" s="770">
        <f>J27</f>
        <v>100</v>
      </c>
      <c r="X27" s="771"/>
      <c r="Y27" s="3282"/>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82"/>
      <c r="Q28" s="1809">
        <f t="shared" si="11"/>
        <v>111</v>
      </c>
      <c r="R28" s="773" t="s">
        <v>17</v>
      </c>
      <c r="S28" s="774">
        <f t="shared" ref="S28:S40" si="12">F28</f>
        <v>100</v>
      </c>
      <c r="T28" s="773" t="s">
        <v>17</v>
      </c>
      <c r="U28" s="774">
        <f t="shared" ref="U28:U40" si="13">H28</f>
        <v>100</v>
      </c>
      <c r="V28" s="773" t="s">
        <v>17</v>
      </c>
      <c r="W28" s="774">
        <f t="shared" ref="W28:W40" si="14">J28</f>
        <v>100</v>
      </c>
      <c r="X28" s="1812"/>
      <c r="Y28" s="3282"/>
      <c r="Z28" s="1813">
        <f t="shared" ref="Z28:Z40" si="15">Q28</f>
        <v>111</v>
      </c>
      <c r="AA28" s="1810">
        <f t="shared" si="3"/>
        <v>1</v>
      </c>
      <c r="AB28" s="1810">
        <f t="shared" si="4"/>
        <v>1</v>
      </c>
      <c r="AC28" s="1810">
        <f t="shared" si="5"/>
        <v>1</v>
      </c>
    </row>
    <row r="29" spans="1:29" ht="28.5">
      <c r="A29" s="465" t="s">
        <v>2562</v>
      </c>
      <c r="B29" s="71" t="s">
        <v>2692</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313" t="s">
        <v>2564</v>
      </c>
      <c r="Q29" s="1809" t="str">
        <f t="shared" si="11"/>
        <v>建筑类型</v>
      </c>
      <c r="R29" s="773" t="s">
        <v>17</v>
      </c>
      <c r="S29" s="774">
        <f t="shared" si="12"/>
        <v>100</v>
      </c>
      <c r="T29" s="773" t="s">
        <v>17</v>
      </c>
      <c r="U29" s="774">
        <f t="shared" si="13"/>
        <v>100</v>
      </c>
      <c r="V29" s="773" t="s">
        <v>17</v>
      </c>
      <c r="W29" s="774">
        <f t="shared" si="14"/>
        <v>100</v>
      </c>
      <c r="X29" s="1812"/>
      <c r="Y29" s="3286" t="s">
        <v>2564</v>
      </c>
      <c r="Z29" s="1813" t="str">
        <f t="shared" si="15"/>
        <v>建筑类型</v>
      </c>
      <c r="AA29" s="1810">
        <f t="shared" si="3"/>
        <v>1</v>
      </c>
      <c r="AB29" s="1810">
        <f t="shared" si="4"/>
        <v>1</v>
      </c>
      <c r="AC29" s="1810">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6"/>
      <c r="Q30" s="775" t="str">
        <f t="shared" si="11"/>
        <v>项目建筑规模</v>
      </c>
      <c r="R30" s="776" t="s">
        <v>17</v>
      </c>
      <c r="S30" s="777" t="e">
        <f t="shared" si="12"/>
        <v>#N/A</v>
      </c>
      <c r="T30" s="776" t="s">
        <v>17</v>
      </c>
      <c r="U30" s="777" t="e">
        <f t="shared" si="13"/>
        <v>#N/A</v>
      </c>
      <c r="V30" s="776" t="s">
        <v>17</v>
      </c>
      <c r="W30" s="777" t="e">
        <f t="shared" si="14"/>
        <v>#N/A</v>
      </c>
      <c r="X30" s="778"/>
      <c r="Y30" s="3286"/>
      <c r="Z30" s="779" t="str">
        <f t="shared" si="15"/>
        <v>项目建筑规模</v>
      </c>
      <c r="AA30" s="1810" t="e">
        <f t="shared" si="3"/>
        <v>#N/A</v>
      </c>
      <c r="AB30" s="1810" t="e">
        <f t="shared" si="4"/>
        <v>#N/A</v>
      </c>
      <c r="AC30" s="1810"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6"/>
      <c r="Q31" s="1809" t="str">
        <f t="shared" si="11"/>
        <v>建筑结构</v>
      </c>
      <c r="R31" s="773" t="s">
        <v>17</v>
      </c>
      <c r="S31" s="774">
        <f t="shared" si="12"/>
        <v>100</v>
      </c>
      <c r="T31" s="773" t="s">
        <v>17</v>
      </c>
      <c r="U31" s="774">
        <f t="shared" si="13"/>
        <v>100</v>
      </c>
      <c r="V31" s="773" t="s">
        <v>17</v>
      </c>
      <c r="W31" s="774">
        <f t="shared" si="14"/>
        <v>100</v>
      </c>
      <c r="X31" s="1812"/>
      <c r="Y31" s="3286"/>
      <c r="Z31" s="1813" t="str">
        <f t="shared" si="15"/>
        <v>建筑结构</v>
      </c>
      <c r="AA31" s="1810">
        <f t="shared" si="3"/>
        <v>1</v>
      </c>
      <c r="AB31" s="1810">
        <f t="shared" si="4"/>
        <v>1</v>
      </c>
      <c r="AC31" s="1810">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6"/>
      <c r="Q32" s="1809" t="str">
        <f t="shared" si="11"/>
        <v>公共部分装修</v>
      </c>
      <c r="R32" s="773" t="s">
        <v>17</v>
      </c>
      <c r="S32" s="774">
        <f t="shared" si="12"/>
        <v>100</v>
      </c>
      <c r="T32" s="773" t="s">
        <v>17</v>
      </c>
      <c r="U32" s="774">
        <f t="shared" si="13"/>
        <v>100</v>
      </c>
      <c r="V32" s="773" t="s">
        <v>17</v>
      </c>
      <c r="W32" s="774">
        <f t="shared" si="14"/>
        <v>100</v>
      </c>
      <c r="X32" s="1812"/>
      <c r="Y32" s="3286"/>
      <c r="Z32" s="1813" t="str">
        <f t="shared" si="15"/>
        <v>公共部分装修</v>
      </c>
      <c r="AA32" s="1810">
        <f t="shared" si="3"/>
        <v>1</v>
      </c>
      <c r="AB32" s="1810">
        <f t="shared" si="4"/>
        <v>1</v>
      </c>
      <c r="AC32" s="1810">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6"/>
      <c r="Q33" s="1809" t="str">
        <f t="shared" si="11"/>
        <v>成新度</v>
      </c>
      <c r="R33" s="773" t="s">
        <v>17</v>
      </c>
      <c r="S33" s="774" t="e">
        <f t="shared" si="12"/>
        <v>#N/A</v>
      </c>
      <c r="T33" s="773" t="s">
        <v>17</v>
      </c>
      <c r="U33" s="774" t="e">
        <f t="shared" si="13"/>
        <v>#N/A</v>
      </c>
      <c r="V33" s="773" t="s">
        <v>17</v>
      </c>
      <c r="W33" s="774" t="e">
        <f t="shared" si="14"/>
        <v>#N/A</v>
      </c>
      <c r="X33" s="1812"/>
      <c r="Y33" s="3286"/>
      <c r="Z33" s="1813" t="str">
        <f t="shared" si="15"/>
        <v>成新度</v>
      </c>
      <c r="AA33" s="1810" t="e">
        <f t="shared" si="3"/>
        <v>#N/A</v>
      </c>
      <c r="AB33" s="1810" t="e">
        <f t="shared" si="4"/>
        <v>#N/A</v>
      </c>
      <c r="AC33" s="1810"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6"/>
      <c r="Q34" s="1794" t="str">
        <f t="shared" si="11"/>
        <v>物业管理</v>
      </c>
      <c r="R34" s="769" t="s">
        <v>17</v>
      </c>
      <c r="S34" s="770">
        <f t="shared" si="12"/>
        <v>100</v>
      </c>
      <c r="T34" s="769" t="s">
        <v>17</v>
      </c>
      <c r="U34" s="770">
        <f t="shared" si="13"/>
        <v>100</v>
      </c>
      <c r="V34" s="769" t="s">
        <v>17</v>
      </c>
      <c r="W34" s="770">
        <f t="shared" si="14"/>
        <v>100</v>
      </c>
      <c r="X34" s="771"/>
      <c r="Y34" s="3286"/>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6" t="s">
        <v>2564</v>
      </c>
      <c r="Q35" s="1809" t="str">
        <f t="shared" si="11"/>
        <v>市政基础设施</v>
      </c>
      <c r="R35" s="773" t="s">
        <v>17</v>
      </c>
      <c r="S35" s="774">
        <f t="shared" si="12"/>
        <v>100</v>
      </c>
      <c r="T35" s="773" t="s">
        <v>17</v>
      </c>
      <c r="U35" s="774">
        <f t="shared" si="13"/>
        <v>100</v>
      </c>
      <c r="V35" s="773" t="s">
        <v>17</v>
      </c>
      <c r="W35" s="774">
        <f t="shared" si="14"/>
        <v>100</v>
      </c>
      <c r="X35" s="1812"/>
      <c r="Y35" s="3286" t="s">
        <v>2564</v>
      </c>
      <c r="Z35" s="1813" t="str">
        <f t="shared" si="15"/>
        <v>市政基础设施</v>
      </c>
      <c r="AA35" s="1810">
        <f t="shared" si="3"/>
        <v>1</v>
      </c>
      <c r="AB35" s="1810">
        <f t="shared" si="4"/>
        <v>1</v>
      </c>
      <c r="AC35" s="1810">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6"/>
      <c r="Q36" s="1809" t="str">
        <f t="shared" si="11"/>
        <v>内部装修</v>
      </c>
      <c r="R36" s="773" t="s">
        <v>17</v>
      </c>
      <c r="S36" s="774">
        <f t="shared" si="12"/>
        <v>100</v>
      </c>
      <c r="T36" s="773" t="s">
        <v>17</v>
      </c>
      <c r="U36" s="774">
        <f t="shared" si="13"/>
        <v>100</v>
      </c>
      <c r="V36" s="773" t="s">
        <v>17</v>
      </c>
      <c r="W36" s="774">
        <f t="shared" si="14"/>
        <v>100</v>
      </c>
      <c r="X36" s="1812"/>
      <c r="Y36" s="3286"/>
      <c r="Z36" s="1813" t="str">
        <f t="shared" si="15"/>
        <v>内部装修</v>
      </c>
      <c r="AA36" s="1810">
        <f t="shared" si="3"/>
        <v>1</v>
      </c>
      <c r="AB36" s="1810">
        <f t="shared" si="4"/>
        <v>1</v>
      </c>
      <c r="AC36" s="1810">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6"/>
      <c r="Q37" s="1809" t="str">
        <f t="shared" si="11"/>
        <v>内部装修状况</v>
      </c>
      <c r="R37" s="773" t="s">
        <v>17</v>
      </c>
      <c r="S37" s="774">
        <f t="shared" si="12"/>
        <v>100</v>
      </c>
      <c r="T37" s="773" t="s">
        <v>17</v>
      </c>
      <c r="U37" s="774">
        <f t="shared" si="13"/>
        <v>100</v>
      </c>
      <c r="V37" s="773" t="s">
        <v>17</v>
      </c>
      <c r="W37" s="774">
        <f t="shared" si="14"/>
        <v>100</v>
      </c>
      <c r="X37" s="1812"/>
      <c r="Y37" s="328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6"/>
      <c r="Q38" s="775">
        <f t="shared" si="11"/>
        <v>111</v>
      </c>
      <c r="R38" s="776" t="s">
        <v>17</v>
      </c>
      <c r="S38" s="777">
        <f t="shared" si="12"/>
        <v>100</v>
      </c>
      <c r="T38" s="776" t="s">
        <v>17</v>
      </c>
      <c r="U38" s="777">
        <f t="shared" si="13"/>
        <v>100</v>
      </c>
      <c r="V38" s="776" t="s">
        <v>17</v>
      </c>
      <c r="W38" s="777">
        <f t="shared" si="14"/>
        <v>100</v>
      </c>
      <c r="X38" s="778"/>
      <c r="Y38" s="328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6"/>
      <c r="Q39" s="1809">
        <f t="shared" si="11"/>
        <v>111</v>
      </c>
      <c r="R39" s="773" t="s">
        <v>17</v>
      </c>
      <c r="S39" s="774">
        <f t="shared" si="12"/>
        <v>100</v>
      </c>
      <c r="T39" s="773" t="s">
        <v>17</v>
      </c>
      <c r="U39" s="774">
        <f t="shared" si="13"/>
        <v>100</v>
      </c>
      <c r="V39" s="773" t="s">
        <v>17</v>
      </c>
      <c r="W39" s="774">
        <f t="shared" si="14"/>
        <v>100</v>
      </c>
      <c r="X39" s="1812"/>
      <c r="Y39" s="3286"/>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7"/>
      <c r="Q40" s="1809">
        <f t="shared" si="11"/>
        <v>111</v>
      </c>
      <c r="R40" s="773" t="s">
        <v>17</v>
      </c>
      <c r="S40" s="774">
        <f t="shared" si="12"/>
        <v>100</v>
      </c>
      <c r="T40" s="773" t="s">
        <v>17</v>
      </c>
      <c r="U40" s="774">
        <f t="shared" si="13"/>
        <v>100</v>
      </c>
      <c r="V40" s="773" t="s">
        <v>17</v>
      </c>
      <c r="W40" s="774">
        <f t="shared" si="14"/>
        <v>100</v>
      </c>
      <c r="X40" s="1812"/>
      <c r="Y40" s="3287"/>
      <c r="Z40" s="1813">
        <f t="shared" si="15"/>
        <v>111</v>
      </c>
      <c r="AA40" s="1810">
        <f t="shared" si="3"/>
        <v>1</v>
      </c>
      <c r="AB40" s="1810">
        <f t="shared" si="4"/>
        <v>1</v>
      </c>
      <c r="AC40" s="1810">
        <f t="shared" si="5"/>
        <v>1</v>
      </c>
    </row>
    <row r="41" spans="1:29" ht="15">
      <c r="A41" s="478" t="s">
        <v>2576</v>
      </c>
      <c r="B41" s="479"/>
      <c r="C41" s="1406" t="s">
        <v>1</v>
      </c>
      <c r="D41" s="1407"/>
      <c r="E41" s="1408"/>
      <c r="F41" s="1409"/>
      <c r="G41" s="1410"/>
      <c r="H41" s="1411"/>
      <c r="I41" s="1408"/>
      <c r="J41" s="1411"/>
      <c r="K41" s="782"/>
      <c r="L41" s="1142"/>
      <c r="M41" s="1143"/>
      <c r="N41" s="1130"/>
      <c r="O41" s="1143"/>
      <c r="P41" s="3279" t="str">
        <f>A41</f>
        <v>成交单价（元/平方米）</v>
      </c>
      <c r="Q41" s="3279"/>
      <c r="R41" s="3280">
        <f>E41</f>
        <v>0</v>
      </c>
      <c r="S41" s="3280"/>
      <c r="T41" s="3280">
        <f>G41</f>
        <v>0</v>
      </c>
      <c r="U41" s="3280"/>
      <c r="V41" s="3280">
        <f>I41</f>
        <v>0</v>
      </c>
      <c r="W41" s="3280"/>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76" t="str">
        <f>A43</f>
        <v>估价对象XX用房的比较价值（楼面单价，元/平方米）</v>
      </c>
      <c r="Q43" s="3277"/>
      <c r="R43" s="3278" t="e">
        <f>IF(F1="售价",ROUND(AVERAGE(R42:V42),0),ROUND(AVERAGE(R42:V42),1))</f>
        <v>#DIV/0!</v>
      </c>
      <c r="S43" s="3278"/>
      <c r="T43" s="3278"/>
      <c r="U43" s="3278"/>
      <c r="V43" s="3278"/>
      <c r="W43" s="32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7"/>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7"/>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8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49" t="s">
        <v>2646</v>
      </c>
      <c r="S4" s="3250"/>
      <c r="T4" s="3249" t="s">
        <v>2647</v>
      </c>
      <c r="U4" s="3250"/>
      <c r="V4" s="3274" t="s">
        <v>2648</v>
      </c>
      <c r="W4" s="3274"/>
      <c r="X4" s="1812"/>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9"/>
      <c r="M5" s="1130"/>
      <c r="N5" s="1130"/>
      <c r="O5" s="1130"/>
      <c r="P5" s="3268"/>
      <c r="Q5" s="3269"/>
      <c r="R5" s="3251"/>
      <c r="S5" s="3252"/>
      <c r="T5" s="3251"/>
      <c r="U5" s="3252"/>
      <c r="V5" s="3274"/>
      <c r="W5" s="3274"/>
      <c r="X5" s="1812"/>
      <c r="Y5" s="3251"/>
      <c r="Z5" s="3252"/>
      <c r="AA5" s="3245"/>
      <c r="AB5" s="3245"/>
      <c r="AC5" s="3245"/>
    </row>
    <row r="6" spans="1:29" ht="15.75" thickBot="1">
      <c r="A6" s="405"/>
      <c r="B6" s="406"/>
      <c r="C6" s="3257" t="s">
        <v>2545</v>
      </c>
      <c r="D6" s="3258"/>
      <c r="E6" s="3259" t="s">
        <v>2545</v>
      </c>
      <c r="F6" s="3260"/>
      <c r="G6" s="3257" t="s">
        <v>2545</v>
      </c>
      <c r="H6" s="3258"/>
      <c r="I6" s="3257" t="s">
        <v>2545</v>
      </c>
      <c r="J6" s="3258"/>
      <c r="K6" s="609" t="s">
        <v>2546</v>
      </c>
      <c r="L6" s="1129"/>
      <c r="M6" s="1130"/>
      <c r="N6" s="1130"/>
      <c r="O6" s="1130"/>
      <c r="P6" s="3270"/>
      <c r="Q6" s="3271"/>
      <c r="R6" s="3251"/>
      <c r="S6" s="3252"/>
      <c r="T6" s="3272"/>
      <c r="U6" s="3273"/>
      <c r="V6" s="3274"/>
      <c r="W6" s="3274"/>
      <c r="X6" s="1812"/>
      <c r="Y6" s="3272"/>
      <c r="Z6" s="3273"/>
      <c r="AA6" s="3246"/>
      <c r="AB6" s="3246"/>
      <c r="AC6" s="3246"/>
    </row>
    <row r="7" spans="1:29" s="117" customFormat="1" ht="15.75" thickBot="1">
      <c r="A7" s="407" t="s">
        <v>2547</v>
      </c>
      <c r="B7" s="408"/>
      <c r="C7" s="409">
        <f>'数据-取费表'!B2</f>
        <v>43914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7" t="s">
        <v>2548</v>
      </c>
      <c r="Q7" s="3275"/>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79" t="s">
        <v>2554</v>
      </c>
      <c r="Q9" s="1794" t="str">
        <f t="shared" ref="Q9:Q14" si="6">B9</f>
        <v>用途</v>
      </c>
      <c r="R9" s="769" t="s">
        <v>17</v>
      </c>
      <c r="S9" s="770">
        <f t="shared" si="0"/>
        <v>100</v>
      </c>
      <c r="T9" s="769" t="s">
        <v>17</v>
      </c>
      <c r="U9" s="770">
        <f t="shared" si="1"/>
        <v>100</v>
      </c>
      <c r="V9" s="769" t="s">
        <v>17</v>
      </c>
      <c r="W9" s="770">
        <f t="shared" si="2"/>
        <v>100</v>
      </c>
      <c r="X9" s="771"/>
      <c r="Y9" s="3090"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79"/>
      <c r="Q10" s="1794"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79"/>
      <c r="Q11" s="1794">
        <f t="shared" si="6"/>
        <v>111</v>
      </c>
      <c r="R11" s="769" t="s">
        <v>17</v>
      </c>
      <c r="S11" s="770">
        <f t="shared" si="0"/>
        <v>100</v>
      </c>
      <c r="T11" s="769" t="s">
        <v>17</v>
      </c>
      <c r="U11" s="770">
        <f t="shared" si="1"/>
        <v>100</v>
      </c>
      <c r="V11" s="769" t="s">
        <v>17</v>
      </c>
      <c r="W11" s="770">
        <f t="shared" si="2"/>
        <v>100</v>
      </c>
      <c r="X11" s="771"/>
      <c r="Y11" s="309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79"/>
      <c r="Q12" s="1794">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79"/>
      <c r="Q13" s="1794">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85.5">
      <c r="A14" s="400" t="s">
        <v>2558</v>
      </c>
      <c r="B14" s="628" t="s">
        <v>2708</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81" t="s">
        <v>2559</v>
      </c>
      <c r="Q14" s="1809" t="str">
        <f t="shared" si="6"/>
        <v>交通便捷度</v>
      </c>
      <c r="R14" s="773" t="s">
        <v>17</v>
      </c>
      <c r="S14" s="774">
        <f t="shared" si="0"/>
        <v>100</v>
      </c>
      <c r="T14" s="773" t="s">
        <v>17</v>
      </c>
      <c r="U14" s="774">
        <f t="shared" si="1"/>
        <v>100</v>
      </c>
      <c r="V14" s="773" t="s">
        <v>17</v>
      </c>
      <c r="W14" s="774">
        <f t="shared" si="2"/>
        <v>100</v>
      </c>
      <c r="X14" s="1812"/>
      <c r="Y14" s="3281" t="s">
        <v>2559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82"/>
      <c r="Q15" s="1809"/>
      <c r="R15" s="773"/>
      <c r="S15" s="774"/>
      <c r="T15" s="773"/>
      <c r="U15" s="774"/>
      <c r="V15" s="773"/>
      <c r="W15" s="774"/>
      <c r="X15" s="1812"/>
      <c r="Y15" s="3282"/>
      <c r="Z15" s="1813"/>
      <c r="AA15" s="1810">
        <v>1</v>
      </c>
      <c r="AB15" s="1810">
        <v>1</v>
      </c>
      <c r="AC15" s="1810">
        <v>1</v>
      </c>
    </row>
    <row r="16" spans="1:29" ht="42.75">
      <c r="A16" s="403"/>
      <c r="B16" s="630" t="s">
        <v>2687</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82"/>
      <c r="Q16" s="1809" t="str">
        <f>B16</f>
        <v>公共配套设施</v>
      </c>
      <c r="R16" s="773" t="s">
        <v>17</v>
      </c>
      <c r="S16" s="774">
        <f>F16</f>
        <v>100</v>
      </c>
      <c r="T16" s="773" t="s">
        <v>17</v>
      </c>
      <c r="U16" s="774">
        <f>H16</f>
        <v>100</v>
      </c>
      <c r="V16" s="773" t="s">
        <v>17</v>
      </c>
      <c r="W16" s="774">
        <f>J16</f>
        <v>100</v>
      </c>
      <c r="X16" s="1812"/>
      <c r="Y16" s="3282"/>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82"/>
      <c r="Q17" s="1809"/>
      <c r="R17" s="773"/>
      <c r="S17" s="774"/>
      <c r="T17" s="773"/>
      <c r="U17" s="774"/>
      <c r="V17" s="773"/>
      <c r="W17" s="774"/>
      <c r="X17" s="1812"/>
      <c r="Y17" s="3282"/>
      <c r="Z17" s="1813"/>
      <c r="AA17" s="1810">
        <v>1</v>
      </c>
      <c r="AB17" s="1810">
        <v>1</v>
      </c>
      <c r="AC17" s="1810">
        <v>1</v>
      </c>
    </row>
    <row r="18" spans="1:29" ht="28.5">
      <c r="A18" s="403"/>
      <c r="B18" s="632" t="s">
        <v>2688</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82"/>
      <c r="Q18" s="1809" t="str">
        <f>B18</f>
        <v>基础设施水平</v>
      </c>
      <c r="R18" s="773" t="s">
        <v>17</v>
      </c>
      <c r="S18" s="774">
        <f>F18</f>
        <v>100</v>
      </c>
      <c r="T18" s="773" t="s">
        <v>17</v>
      </c>
      <c r="U18" s="774">
        <f>H18</f>
        <v>100</v>
      </c>
      <c r="V18" s="773" t="s">
        <v>17</v>
      </c>
      <c r="W18" s="774">
        <f>J18</f>
        <v>100</v>
      </c>
      <c r="X18" s="1812"/>
      <c r="Y18" s="3282"/>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82"/>
      <c r="Q19" s="1809"/>
      <c r="R19" s="773"/>
      <c r="S19" s="774"/>
      <c r="T19" s="773"/>
      <c r="U19" s="774"/>
      <c r="V19" s="773"/>
      <c r="W19" s="774"/>
      <c r="X19" s="1812"/>
      <c r="Y19" s="3282"/>
      <c r="Z19" s="1813"/>
      <c r="AA19" s="1810">
        <v>1</v>
      </c>
      <c r="AB19" s="1810">
        <v>1</v>
      </c>
      <c r="AC19" s="1810">
        <v>1</v>
      </c>
    </row>
    <row r="20" spans="1:29" ht="57">
      <c r="A20" s="403"/>
      <c r="B20" s="630" t="s">
        <v>2709</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82"/>
      <c r="Q20" s="1809" t="str">
        <f>B20</f>
        <v>自然及人文环境</v>
      </c>
      <c r="R20" s="773" t="s">
        <v>17</v>
      </c>
      <c r="S20" s="774">
        <f>F20</f>
        <v>100</v>
      </c>
      <c r="T20" s="773" t="s">
        <v>17</v>
      </c>
      <c r="U20" s="774">
        <f>H20</f>
        <v>100</v>
      </c>
      <c r="V20" s="773" t="s">
        <v>17</v>
      </c>
      <c r="W20" s="774">
        <f>J20</f>
        <v>100</v>
      </c>
      <c r="X20" s="1812"/>
      <c r="Y20" s="328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82"/>
      <c r="Q21" s="1809"/>
      <c r="R21" s="773"/>
      <c r="S21" s="774"/>
      <c r="T21" s="773"/>
      <c r="U21" s="774"/>
      <c r="V21" s="773"/>
      <c r="W21" s="774"/>
      <c r="X21" s="1812"/>
      <c r="Y21" s="3282"/>
      <c r="Z21" s="1813"/>
      <c r="AA21" s="1810">
        <v>1</v>
      </c>
      <c r="AB21" s="1810">
        <v>1</v>
      </c>
      <c r="AC21" s="1810">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82"/>
      <c r="Q22" s="1809" t="str">
        <f>B22</f>
        <v>楼层</v>
      </c>
      <c r="R22" s="773" t="s">
        <v>17</v>
      </c>
      <c r="S22" s="774">
        <f>F22</f>
        <v>100</v>
      </c>
      <c r="T22" s="773" t="s">
        <v>17</v>
      </c>
      <c r="U22" s="774">
        <f>H22</f>
        <v>100</v>
      </c>
      <c r="V22" s="773" t="s">
        <v>17</v>
      </c>
      <c r="W22" s="774">
        <f>J22</f>
        <v>100</v>
      </c>
      <c r="X22" s="1812"/>
      <c r="Y22" s="328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82"/>
      <c r="Q23" s="1809">
        <f>B23</f>
        <v>111</v>
      </c>
      <c r="R23" s="773" t="s">
        <v>17</v>
      </c>
      <c r="S23" s="774">
        <f>F23</f>
        <v>100</v>
      </c>
      <c r="T23" s="773" t="s">
        <v>17</v>
      </c>
      <c r="U23" s="774">
        <f>H23</f>
        <v>100</v>
      </c>
      <c r="V23" s="773" t="s">
        <v>17</v>
      </c>
      <c r="W23" s="774">
        <f>J23</f>
        <v>100</v>
      </c>
      <c r="X23" s="1812"/>
      <c r="Y23" s="328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82"/>
      <c r="Q24" s="1809">
        <f t="shared" ref="Q24:Q36" si="11">B24</f>
        <v>111</v>
      </c>
      <c r="R24" s="773" t="s">
        <v>17</v>
      </c>
      <c r="S24" s="774">
        <f>F24</f>
        <v>100</v>
      </c>
      <c r="T24" s="773" t="s">
        <v>17</v>
      </c>
      <c r="U24" s="774">
        <f>H24</f>
        <v>100</v>
      </c>
      <c r="V24" s="773" t="s">
        <v>17</v>
      </c>
      <c r="W24" s="774">
        <f>J24</f>
        <v>100</v>
      </c>
      <c r="X24" s="1812"/>
      <c r="Y24" s="3282"/>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82"/>
      <c r="Q25" s="1794">
        <f t="shared" si="11"/>
        <v>111</v>
      </c>
      <c r="R25" s="769" t="s">
        <v>17</v>
      </c>
      <c r="S25" s="770">
        <f>F25</f>
        <v>100</v>
      </c>
      <c r="T25" s="769" t="s">
        <v>17</v>
      </c>
      <c r="U25" s="770">
        <f>H25</f>
        <v>100</v>
      </c>
      <c r="V25" s="769" t="s">
        <v>17</v>
      </c>
      <c r="W25" s="770">
        <f>J25</f>
        <v>100</v>
      </c>
      <c r="X25" s="771"/>
      <c r="Y25" s="3282"/>
      <c r="Z25" s="55">
        <f>Q25</f>
        <v>111</v>
      </c>
      <c r="AA25" s="1810">
        <f>D25/F25</f>
        <v>1</v>
      </c>
      <c r="AB25" s="1810">
        <f>D25/H25</f>
        <v>1</v>
      </c>
      <c r="AC25" s="1810">
        <f>D25/J25</f>
        <v>1</v>
      </c>
    </row>
    <row r="26" spans="1:29" ht="28.5">
      <c r="A26" s="651" t="s">
        <v>2562</v>
      </c>
      <c r="B26" s="70" t="s">
        <v>2711</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13" t="s">
        <v>2564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86" t="s">
        <v>2564</v>
      </c>
      <c r="Z26" s="1813" t="str">
        <f t="shared" ref="Z26:Z36" si="15">Q26</f>
        <v>配套类型</v>
      </c>
      <c r="AA26" s="1810">
        <f t="shared" si="3"/>
        <v>1</v>
      </c>
      <c r="AB26" s="1810">
        <f t="shared" si="4"/>
        <v>1</v>
      </c>
      <c r="AC26" s="1810">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6"/>
      <c r="Q27" s="775" t="str">
        <f t="shared" si="11"/>
        <v>项目停车位配比</v>
      </c>
      <c r="R27" s="776" t="s">
        <v>17</v>
      </c>
      <c r="S27" s="777">
        <f t="shared" si="12"/>
        <v>100</v>
      </c>
      <c r="T27" s="776" t="s">
        <v>17</v>
      </c>
      <c r="U27" s="777">
        <f t="shared" si="13"/>
        <v>100</v>
      </c>
      <c r="V27" s="776" t="s">
        <v>17</v>
      </c>
      <c r="W27" s="777">
        <f t="shared" si="14"/>
        <v>100</v>
      </c>
      <c r="X27" s="778"/>
      <c r="Y27" s="3286"/>
      <c r="Z27" s="779" t="str">
        <f t="shared" si="15"/>
        <v>项目停车位配比</v>
      </c>
      <c r="AA27" s="1810">
        <f t="shared" si="3"/>
        <v>1</v>
      </c>
      <c r="AB27" s="1810">
        <f t="shared" si="4"/>
        <v>1</v>
      </c>
      <c r="AC27" s="1810">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6"/>
      <c r="Q28" s="1809" t="str">
        <f t="shared" si="11"/>
        <v>公共部分装修</v>
      </c>
      <c r="R28" s="773" t="s">
        <v>17</v>
      </c>
      <c r="S28" s="774">
        <f t="shared" si="12"/>
        <v>100</v>
      </c>
      <c r="T28" s="773" t="s">
        <v>17</v>
      </c>
      <c r="U28" s="774">
        <f t="shared" si="13"/>
        <v>100</v>
      </c>
      <c r="V28" s="773" t="s">
        <v>17</v>
      </c>
      <c r="W28" s="774">
        <f t="shared" si="14"/>
        <v>100</v>
      </c>
      <c r="X28" s="1812"/>
      <c r="Y28" s="3286"/>
      <c r="Z28" s="1813" t="str">
        <f t="shared" si="15"/>
        <v>公共部分装修</v>
      </c>
      <c r="AA28" s="1810">
        <f t="shared" si="3"/>
        <v>1</v>
      </c>
      <c r="AB28" s="1810">
        <f t="shared" si="4"/>
        <v>1</v>
      </c>
      <c r="AC28" s="1810">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6"/>
      <c r="Q29" s="1809" t="str">
        <f t="shared" si="11"/>
        <v>成新率</v>
      </c>
      <c r="R29" s="773" t="s">
        <v>17</v>
      </c>
      <c r="S29" s="774" t="e">
        <f t="shared" si="12"/>
        <v>#N/A</v>
      </c>
      <c r="T29" s="773" t="s">
        <v>17</v>
      </c>
      <c r="U29" s="774" t="e">
        <f t="shared" si="13"/>
        <v>#N/A</v>
      </c>
      <c r="V29" s="773" t="s">
        <v>17</v>
      </c>
      <c r="W29" s="774" t="e">
        <f t="shared" si="14"/>
        <v>#N/A</v>
      </c>
      <c r="X29" s="1812"/>
      <c r="Y29" s="3286"/>
      <c r="Z29" s="1813" t="str">
        <f t="shared" si="15"/>
        <v>成新率</v>
      </c>
      <c r="AA29" s="1810" t="e">
        <f t="shared" si="3"/>
        <v>#N/A</v>
      </c>
      <c r="AB29" s="1810" t="e">
        <f t="shared" si="4"/>
        <v>#N/A</v>
      </c>
      <c r="AC29" s="1810"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86"/>
      <c r="Q30" s="1809" t="str">
        <f t="shared" si="11"/>
        <v>物业等级</v>
      </c>
      <c r="R30" s="773" t="s">
        <v>17</v>
      </c>
      <c r="S30" s="774">
        <f t="shared" si="12"/>
        <v>100</v>
      </c>
      <c r="T30" s="773" t="s">
        <v>17</v>
      </c>
      <c r="U30" s="774">
        <f t="shared" si="13"/>
        <v>100</v>
      </c>
      <c r="V30" s="773" t="s">
        <v>17</v>
      </c>
      <c r="W30" s="774">
        <f t="shared" si="14"/>
        <v>100</v>
      </c>
      <c r="X30" s="1812"/>
      <c r="Y30" s="3286"/>
      <c r="Z30" s="1813" t="str">
        <f t="shared" si="15"/>
        <v>物业等级</v>
      </c>
      <c r="AA30" s="1810">
        <f t="shared" si="3"/>
        <v>1</v>
      </c>
      <c r="AB30" s="1810">
        <f t="shared" si="4"/>
        <v>1</v>
      </c>
      <c r="AC30" s="1810">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6"/>
      <c r="Q31" s="1794" t="str">
        <f t="shared" si="11"/>
        <v>停车位面积</v>
      </c>
      <c r="R31" s="769" t="s">
        <v>17</v>
      </c>
      <c r="S31" s="770" t="e">
        <f t="shared" si="12"/>
        <v>#N/A</v>
      </c>
      <c r="T31" s="769" t="s">
        <v>17</v>
      </c>
      <c r="U31" s="770" t="e">
        <f t="shared" si="13"/>
        <v>#N/A</v>
      </c>
      <c r="V31" s="769" t="s">
        <v>17</v>
      </c>
      <c r="W31" s="770" t="e">
        <f t="shared" si="14"/>
        <v>#N/A</v>
      </c>
      <c r="X31" s="771"/>
      <c r="Y31" s="3286"/>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6" t="s">
        <v>2564</v>
      </c>
      <c r="Q32" s="1809" t="str">
        <f t="shared" si="11"/>
        <v>车位类型</v>
      </c>
      <c r="R32" s="773" t="s">
        <v>17</v>
      </c>
      <c r="S32" s="774">
        <f t="shared" si="12"/>
        <v>100</v>
      </c>
      <c r="T32" s="773" t="s">
        <v>17</v>
      </c>
      <c r="U32" s="774">
        <f t="shared" si="13"/>
        <v>100</v>
      </c>
      <c r="V32" s="773" t="s">
        <v>17</v>
      </c>
      <c r="W32" s="774">
        <f t="shared" si="14"/>
        <v>100</v>
      </c>
      <c r="X32" s="1812"/>
      <c r="Y32" s="3286" t="s">
        <v>2564</v>
      </c>
      <c r="Z32" s="1813" t="str">
        <f t="shared" si="15"/>
        <v>车位类型</v>
      </c>
      <c r="AA32" s="1810">
        <f t="shared" si="3"/>
        <v>1</v>
      </c>
      <c r="AB32" s="1810">
        <f t="shared" si="4"/>
        <v>1</v>
      </c>
      <c r="AC32" s="1810">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6"/>
      <c r="Q33" s="1809" t="str">
        <f t="shared" si="11"/>
        <v>是否直接入户</v>
      </c>
      <c r="R33" s="773" t="s">
        <v>17</v>
      </c>
      <c r="S33" s="774">
        <f t="shared" si="12"/>
        <v>100</v>
      </c>
      <c r="T33" s="773" t="s">
        <v>17</v>
      </c>
      <c r="U33" s="774">
        <f t="shared" si="13"/>
        <v>100</v>
      </c>
      <c r="V33" s="773" t="s">
        <v>17</v>
      </c>
      <c r="W33" s="774">
        <f t="shared" si="14"/>
        <v>100</v>
      </c>
      <c r="X33" s="1812"/>
      <c r="Y33" s="328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6"/>
      <c r="Q34" s="1809">
        <f t="shared" si="11"/>
        <v>111</v>
      </c>
      <c r="R34" s="773" t="s">
        <v>17</v>
      </c>
      <c r="S34" s="774">
        <f t="shared" si="12"/>
        <v>100</v>
      </c>
      <c r="T34" s="773" t="s">
        <v>17</v>
      </c>
      <c r="U34" s="774">
        <f t="shared" si="13"/>
        <v>100</v>
      </c>
      <c r="V34" s="773" t="s">
        <v>17</v>
      </c>
      <c r="W34" s="774">
        <f t="shared" si="14"/>
        <v>100</v>
      </c>
      <c r="X34" s="1812"/>
      <c r="Y34" s="328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6"/>
      <c r="Q35" s="775">
        <f t="shared" si="11"/>
        <v>111</v>
      </c>
      <c r="R35" s="776" t="s">
        <v>17</v>
      </c>
      <c r="S35" s="777">
        <f t="shared" si="12"/>
        <v>100</v>
      </c>
      <c r="T35" s="776" t="s">
        <v>17</v>
      </c>
      <c r="U35" s="777">
        <f t="shared" si="13"/>
        <v>100</v>
      </c>
      <c r="V35" s="776" t="s">
        <v>17</v>
      </c>
      <c r="W35" s="777">
        <f t="shared" si="14"/>
        <v>100</v>
      </c>
      <c r="X35" s="778"/>
      <c r="Y35" s="328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6"/>
      <c r="Q36" s="1809">
        <f t="shared" si="11"/>
        <v>111</v>
      </c>
      <c r="R36" s="773" t="s">
        <v>17</v>
      </c>
      <c r="S36" s="774">
        <f t="shared" si="12"/>
        <v>100</v>
      </c>
      <c r="T36" s="773" t="s">
        <v>17</v>
      </c>
      <c r="U36" s="774">
        <f t="shared" si="13"/>
        <v>100</v>
      </c>
      <c r="V36" s="773" t="s">
        <v>17</v>
      </c>
      <c r="W36" s="774">
        <f t="shared" si="14"/>
        <v>100</v>
      </c>
      <c r="X36" s="1812"/>
      <c r="Y36" s="3286"/>
      <c r="Z36" s="1813">
        <f t="shared" si="15"/>
        <v>111</v>
      </c>
      <c r="AA36" s="1810">
        <f t="shared" si="3"/>
        <v>1</v>
      </c>
      <c r="AB36" s="1810">
        <f t="shared" si="4"/>
        <v>1</v>
      </c>
      <c r="AC36" s="1810">
        <f t="shared" si="5"/>
        <v>1</v>
      </c>
    </row>
    <row r="37" spans="1:29" ht="15">
      <c r="A37" s="478" t="s">
        <v>2719</v>
      </c>
      <c r="B37" s="2696" t="s">
        <v>2720</v>
      </c>
      <c r="C37" s="1406" t="s">
        <v>1</v>
      </c>
      <c r="D37" s="1407"/>
      <c r="E37" s="1408"/>
      <c r="F37" s="1409"/>
      <c r="G37" s="1410"/>
      <c r="H37" s="1411"/>
      <c r="I37" s="1408"/>
      <c r="J37" s="1411"/>
      <c r="K37" s="618"/>
      <c r="L37" s="1142"/>
      <c r="M37" s="1143"/>
      <c r="N37" s="1130"/>
      <c r="O37" s="1143"/>
      <c r="P37" s="3279" t="str">
        <f>A37</f>
        <v>成交单价</v>
      </c>
      <c r="Q37" s="3279"/>
      <c r="R37" s="3280">
        <f>E37</f>
        <v>0</v>
      </c>
      <c r="S37" s="3280"/>
      <c r="T37" s="3280">
        <f>G37</f>
        <v>0</v>
      </c>
      <c r="U37" s="3280"/>
      <c r="V37" s="3280">
        <f>I37</f>
        <v>0</v>
      </c>
      <c r="W37" s="3280"/>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76" t="str">
        <f>A39</f>
        <v>估价对象XX用房的比较价值（楼面单价，元/平方米）</v>
      </c>
      <c r="Q39" s="3277"/>
      <c r="R39" s="3278" t="e">
        <f>IF(F1="售价",ROUND(AVERAGE(R38:V38),0),ROUND(AVERAGE(R38:V38),1))</f>
        <v>#DIV/0!</v>
      </c>
      <c r="S39" s="3278"/>
      <c r="T39" s="3278"/>
      <c r="U39" s="3278"/>
      <c r="V39" s="3278"/>
      <c r="W39" s="32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49" t="s">
        <v>2646</v>
      </c>
      <c r="S4" s="3250"/>
      <c r="T4" s="3249" t="s">
        <v>2647</v>
      </c>
      <c r="U4" s="3250"/>
      <c r="V4" s="3274" t="s">
        <v>2648</v>
      </c>
      <c r="W4" s="3274"/>
      <c r="X4" s="1812"/>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9"/>
      <c r="M5" s="1130"/>
      <c r="N5" s="1130"/>
      <c r="O5" s="1130"/>
      <c r="P5" s="3268"/>
      <c r="Q5" s="3269"/>
      <c r="R5" s="3251"/>
      <c r="S5" s="3252"/>
      <c r="T5" s="3251"/>
      <c r="U5" s="3252"/>
      <c r="V5" s="3274"/>
      <c r="W5" s="3274"/>
      <c r="X5" s="1812"/>
      <c r="Y5" s="3251"/>
      <c r="Z5" s="3252"/>
      <c r="AA5" s="3245"/>
      <c r="AB5" s="3245"/>
      <c r="AC5" s="3245"/>
    </row>
    <row r="6" spans="1:29" ht="15.75" thickBot="1">
      <c r="A6" s="405"/>
      <c r="B6" s="406"/>
      <c r="C6" s="3257" t="s">
        <v>2545</v>
      </c>
      <c r="D6" s="3258"/>
      <c r="E6" s="3259" t="s">
        <v>2545</v>
      </c>
      <c r="F6" s="3260"/>
      <c r="G6" s="3257" t="s">
        <v>2545</v>
      </c>
      <c r="H6" s="3258"/>
      <c r="I6" s="3257" t="s">
        <v>2545</v>
      </c>
      <c r="J6" s="3258"/>
      <c r="K6" s="609" t="s">
        <v>2546</v>
      </c>
      <c r="L6" s="1129"/>
      <c r="M6" s="1130"/>
      <c r="N6" s="1130"/>
      <c r="O6" s="1130"/>
      <c r="P6" s="3270"/>
      <c r="Q6" s="3271"/>
      <c r="R6" s="3251"/>
      <c r="S6" s="3252"/>
      <c r="T6" s="3272"/>
      <c r="U6" s="3273"/>
      <c r="V6" s="3274"/>
      <c r="W6" s="3274"/>
      <c r="X6" s="1812"/>
      <c r="Y6" s="3272"/>
      <c r="Z6" s="3273"/>
      <c r="AA6" s="3246"/>
      <c r="AB6" s="3246"/>
      <c r="AC6" s="3246"/>
    </row>
    <row r="7" spans="1:29" s="117" customFormat="1" ht="15.75" thickBot="1">
      <c r="A7" s="407" t="s">
        <v>2547</v>
      </c>
      <c r="B7" s="408"/>
      <c r="C7" s="409">
        <f>'数据-取费表'!B2</f>
        <v>43914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47" t="s">
        <v>2548</v>
      </c>
      <c r="Q7" s="3275"/>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79" t="s">
        <v>2554</v>
      </c>
      <c r="Q9" s="1794" t="str">
        <f t="shared" ref="Q9:Q14" si="6">B9</f>
        <v>用途</v>
      </c>
      <c r="R9" s="769" t="s">
        <v>17</v>
      </c>
      <c r="S9" s="770">
        <f t="shared" si="0"/>
        <v>100</v>
      </c>
      <c r="T9" s="769" t="s">
        <v>17</v>
      </c>
      <c r="U9" s="770">
        <f t="shared" si="1"/>
        <v>100</v>
      </c>
      <c r="V9" s="769" t="s">
        <v>17</v>
      </c>
      <c r="W9" s="770">
        <f t="shared" si="2"/>
        <v>100</v>
      </c>
      <c r="X9" s="771"/>
      <c r="Y9" s="3090"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79"/>
      <c r="Q10" s="1794"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79"/>
      <c r="Q11" s="1794">
        <f t="shared" si="6"/>
        <v>111</v>
      </c>
      <c r="R11" s="769" t="s">
        <v>17</v>
      </c>
      <c r="S11" s="770">
        <f t="shared" si="0"/>
        <v>100</v>
      </c>
      <c r="T11" s="769" t="s">
        <v>17</v>
      </c>
      <c r="U11" s="770">
        <f t="shared" si="1"/>
        <v>100</v>
      </c>
      <c r="V11" s="769" t="s">
        <v>17</v>
      </c>
      <c r="W11" s="770">
        <f t="shared" si="2"/>
        <v>100</v>
      </c>
      <c r="X11" s="771"/>
      <c r="Y11" s="3090"/>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79"/>
      <c r="Q12" s="1794">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85.5">
      <c r="A14" s="439" t="s">
        <v>2558</v>
      </c>
      <c r="B14" s="69" t="s">
        <v>2708</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81" t="s">
        <v>2559</v>
      </c>
      <c r="Q14" s="1809" t="str">
        <f t="shared" si="6"/>
        <v>交通便捷度</v>
      </c>
      <c r="R14" s="773" t="s">
        <v>17</v>
      </c>
      <c r="S14" s="774">
        <f t="shared" si="0"/>
        <v>100</v>
      </c>
      <c r="T14" s="773" t="s">
        <v>17</v>
      </c>
      <c r="U14" s="774">
        <f t="shared" si="1"/>
        <v>100</v>
      </c>
      <c r="V14" s="773" t="s">
        <v>17</v>
      </c>
      <c r="W14" s="774">
        <f t="shared" si="2"/>
        <v>100</v>
      </c>
      <c r="X14" s="1812"/>
      <c r="Y14" s="3281" t="s">
        <v>2559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82"/>
      <c r="Q15" s="1809"/>
      <c r="R15" s="773"/>
      <c r="S15" s="774"/>
      <c r="T15" s="773"/>
      <c r="U15" s="774"/>
      <c r="V15" s="773"/>
      <c r="W15" s="774"/>
      <c r="X15" s="1812"/>
      <c r="Y15" s="3282"/>
      <c r="Z15" s="1813"/>
      <c r="AA15" s="1810">
        <v>1</v>
      </c>
      <c r="AB15" s="1810">
        <v>1</v>
      </c>
      <c r="AC15" s="1810">
        <v>1</v>
      </c>
    </row>
    <row r="16" spans="1:29" ht="42.75">
      <c r="A16" s="427"/>
      <c r="B16" s="450" t="s">
        <v>2687</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82"/>
      <c r="Q16" s="1809" t="str">
        <f>B16</f>
        <v>公共配套设施</v>
      </c>
      <c r="R16" s="773" t="s">
        <v>17</v>
      </c>
      <c r="S16" s="774">
        <f>F16</f>
        <v>100</v>
      </c>
      <c r="T16" s="773" t="s">
        <v>17</v>
      </c>
      <c r="U16" s="774">
        <f>H16</f>
        <v>100</v>
      </c>
      <c r="V16" s="773" t="s">
        <v>17</v>
      </c>
      <c r="W16" s="774">
        <f>J16</f>
        <v>100</v>
      </c>
      <c r="X16" s="1812"/>
      <c r="Y16" s="3282"/>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82"/>
      <c r="Q17" s="1809"/>
      <c r="R17" s="773"/>
      <c r="S17" s="774"/>
      <c r="T17" s="773"/>
      <c r="U17" s="774"/>
      <c r="V17" s="773"/>
      <c r="W17" s="774"/>
      <c r="X17" s="1812"/>
      <c r="Y17" s="3282"/>
      <c r="Z17" s="1813"/>
      <c r="AA17" s="1810">
        <v>1</v>
      </c>
      <c r="AB17" s="1810">
        <v>1</v>
      </c>
      <c r="AC17" s="1810">
        <v>1</v>
      </c>
    </row>
    <row r="18" spans="1:29" ht="28.5">
      <c r="A18" s="427"/>
      <c r="B18" s="1383" t="s">
        <v>2688</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82"/>
      <c r="Q18" s="1809" t="str">
        <f>B18</f>
        <v>基础设施水平</v>
      </c>
      <c r="R18" s="773" t="s">
        <v>17</v>
      </c>
      <c r="S18" s="774">
        <f>F18</f>
        <v>100</v>
      </c>
      <c r="T18" s="773" t="s">
        <v>17</v>
      </c>
      <c r="U18" s="774">
        <f>H18</f>
        <v>100</v>
      </c>
      <c r="V18" s="773" t="s">
        <v>17</v>
      </c>
      <c r="W18" s="774">
        <f>J18</f>
        <v>100</v>
      </c>
      <c r="X18" s="1812"/>
      <c r="Y18" s="3282"/>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82"/>
      <c r="Q19" s="1809"/>
      <c r="R19" s="773"/>
      <c r="S19" s="774"/>
      <c r="T19" s="773"/>
      <c r="U19" s="774"/>
      <c r="V19" s="773"/>
      <c r="W19" s="774"/>
      <c r="X19" s="1812"/>
      <c r="Y19" s="3282"/>
      <c r="Z19" s="1813"/>
      <c r="AA19" s="1810">
        <v>1</v>
      </c>
      <c r="AB19" s="1810">
        <v>1</v>
      </c>
      <c r="AC19" s="1810">
        <v>1</v>
      </c>
    </row>
    <row r="20" spans="1:29" ht="57">
      <c r="A20" s="427"/>
      <c r="B20" s="450" t="s">
        <v>2709</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82"/>
      <c r="Q20" s="1809" t="str">
        <f>B20</f>
        <v>自然及人文环境</v>
      </c>
      <c r="R20" s="773" t="s">
        <v>17</v>
      </c>
      <c r="S20" s="774">
        <f>F20</f>
        <v>100</v>
      </c>
      <c r="T20" s="773" t="s">
        <v>17</v>
      </c>
      <c r="U20" s="774">
        <f>H20</f>
        <v>100</v>
      </c>
      <c r="V20" s="773" t="s">
        <v>17</v>
      </c>
      <c r="W20" s="774">
        <f>J20</f>
        <v>100</v>
      </c>
      <c r="X20" s="1812"/>
      <c r="Y20" s="328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82"/>
      <c r="Q21" s="1809"/>
      <c r="R21" s="773"/>
      <c r="S21" s="774"/>
      <c r="T21" s="773"/>
      <c r="U21" s="774"/>
      <c r="V21" s="773"/>
      <c r="W21" s="774"/>
      <c r="X21" s="1812"/>
      <c r="Y21" s="3282"/>
      <c r="Z21" s="1813"/>
      <c r="AA21" s="1810">
        <v>1</v>
      </c>
      <c r="AB21" s="1810">
        <v>1</v>
      </c>
      <c r="AC21" s="1810">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82"/>
      <c r="Q22" s="1809" t="str">
        <f>B22</f>
        <v>楼层</v>
      </c>
      <c r="R22" s="773" t="s">
        <v>17</v>
      </c>
      <c r="S22" s="774">
        <f>F22</f>
        <v>100</v>
      </c>
      <c r="T22" s="773" t="s">
        <v>17</v>
      </c>
      <c r="U22" s="774">
        <f>H22</f>
        <v>100</v>
      </c>
      <c r="V22" s="773" t="s">
        <v>17</v>
      </c>
      <c r="W22" s="774">
        <f>J22</f>
        <v>100</v>
      </c>
      <c r="X22" s="1812"/>
      <c r="Y22" s="3282"/>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82"/>
      <c r="Q23" s="1809">
        <f>B23</f>
        <v>111</v>
      </c>
      <c r="R23" s="773" t="s">
        <v>17</v>
      </c>
      <c r="S23" s="774">
        <f>F23</f>
        <v>100</v>
      </c>
      <c r="T23" s="773" t="s">
        <v>17</v>
      </c>
      <c r="U23" s="774">
        <f>H23</f>
        <v>100</v>
      </c>
      <c r="V23" s="773" t="s">
        <v>17</v>
      </c>
      <c r="W23" s="774">
        <f>J23</f>
        <v>100</v>
      </c>
      <c r="X23" s="1812"/>
      <c r="Y23" s="3282"/>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82"/>
      <c r="Q24" s="1809">
        <f t="shared" ref="Q24:Q34" si="11">B24</f>
        <v>111</v>
      </c>
      <c r="R24" s="773" t="s">
        <v>17</v>
      </c>
      <c r="S24" s="774">
        <f>F24</f>
        <v>100</v>
      </c>
      <c r="T24" s="773" t="s">
        <v>17</v>
      </c>
      <c r="U24" s="774">
        <f>H24</f>
        <v>100</v>
      </c>
      <c r="V24" s="773" t="s">
        <v>17</v>
      </c>
      <c r="W24" s="774">
        <f>J24</f>
        <v>100</v>
      </c>
      <c r="X24" s="1812"/>
      <c r="Y24" s="3282"/>
      <c r="Z24" s="1813">
        <f>Q24</f>
        <v>111</v>
      </c>
      <c r="AA24" s="1810">
        <f t="shared" si="3"/>
        <v>1</v>
      </c>
      <c r="AB24" s="1810">
        <f t="shared" si="4"/>
        <v>1</v>
      </c>
      <c r="AC24" s="1810">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82"/>
      <c r="Q25" s="1794">
        <f t="shared" si="11"/>
        <v>111</v>
      </c>
      <c r="R25" s="769" t="s">
        <v>17</v>
      </c>
      <c r="S25" s="770">
        <f>F25</f>
        <v>100</v>
      </c>
      <c r="T25" s="769" t="s">
        <v>17</v>
      </c>
      <c r="U25" s="770">
        <f>H25</f>
        <v>100</v>
      </c>
      <c r="V25" s="769" t="s">
        <v>17</v>
      </c>
      <c r="W25" s="770">
        <f>J25</f>
        <v>100</v>
      </c>
      <c r="X25" s="771"/>
      <c r="Y25" s="3282"/>
      <c r="Z25" s="55">
        <f>Q25</f>
        <v>111</v>
      </c>
      <c r="AA25" s="1810">
        <f>D25/F25</f>
        <v>1</v>
      </c>
      <c r="AB25" s="1810">
        <f>D25/H25</f>
        <v>1</v>
      </c>
      <c r="AC25" s="1810">
        <f>D25/J25</f>
        <v>1</v>
      </c>
    </row>
    <row r="26" spans="1:29" ht="28.5">
      <c r="A26" s="465" t="s">
        <v>2562</v>
      </c>
      <c r="B26" s="71" t="s">
        <v>2713</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313" t="s">
        <v>2564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86" t="s">
        <v>2564</v>
      </c>
      <c r="Z26" s="1813" t="str">
        <f t="shared" ref="Z26:Z34" si="15">Q26</f>
        <v>公共部分装修</v>
      </c>
      <c r="AA26" s="1810">
        <f t="shared" si="3"/>
        <v>1</v>
      </c>
      <c r="AB26" s="1810">
        <f t="shared" si="4"/>
        <v>1</v>
      </c>
      <c r="AC26" s="1810">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6"/>
      <c r="Q27" s="775" t="str">
        <f t="shared" si="11"/>
        <v>成新率</v>
      </c>
      <c r="R27" s="776" t="s">
        <v>17</v>
      </c>
      <c r="S27" s="777" t="e">
        <f t="shared" si="12"/>
        <v>#N/A</v>
      </c>
      <c r="T27" s="776" t="s">
        <v>17</v>
      </c>
      <c r="U27" s="777" t="e">
        <f t="shared" si="13"/>
        <v>#N/A</v>
      </c>
      <c r="V27" s="776" t="s">
        <v>17</v>
      </c>
      <c r="W27" s="777" t="e">
        <f t="shared" si="14"/>
        <v>#N/A</v>
      </c>
      <c r="X27" s="778"/>
      <c r="Y27" s="3286"/>
      <c r="Z27" s="779" t="str">
        <f t="shared" si="15"/>
        <v>成新率</v>
      </c>
      <c r="AA27" s="1810" t="e">
        <f t="shared" si="3"/>
        <v>#N/A</v>
      </c>
      <c r="AB27" s="1810" t="e">
        <f t="shared" si="4"/>
        <v>#N/A</v>
      </c>
      <c r="AC27" s="1810"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6"/>
      <c r="Q28" s="1809" t="str">
        <f t="shared" si="11"/>
        <v>物业等级</v>
      </c>
      <c r="R28" s="773" t="s">
        <v>17</v>
      </c>
      <c r="S28" s="774">
        <f t="shared" si="12"/>
        <v>100</v>
      </c>
      <c r="T28" s="773" t="s">
        <v>17</v>
      </c>
      <c r="U28" s="774">
        <f t="shared" si="13"/>
        <v>100</v>
      </c>
      <c r="V28" s="773" t="s">
        <v>17</v>
      </c>
      <c r="W28" s="774">
        <f t="shared" si="14"/>
        <v>100</v>
      </c>
      <c r="X28" s="1812"/>
      <c r="Y28" s="3286"/>
      <c r="Z28" s="1813" t="str">
        <f t="shared" si="15"/>
        <v>物业等级</v>
      </c>
      <c r="AA28" s="1810">
        <f t="shared" si="3"/>
        <v>1</v>
      </c>
      <c r="AB28" s="1810">
        <f t="shared" si="4"/>
        <v>1</v>
      </c>
      <c r="AC28" s="1810">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6"/>
      <c r="Q29" s="1809" t="str">
        <f t="shared" si="11"/>
        <v>有无电梯</v>
      </c>
      <c r="R29" s="773" t="s">
        <v>17</v>
      </c>
      <c r="S29" s="774">
        <f t="shared" si="12"/>
        <v>100</v>
      </c>
      <c r="T29" s="773" t="s">
        <v>17</v>
      </c>
      <c r="U29" s="774">
        <f t="shared" si="13"/>
        <v>100</v>
      </c>
      <c r="V29" s="773" t="s">
        <v>17</v>
      </c>
      <c r="W29" s="774">
        <f t="shared" si="14"/>
        <v>100</v>
      </c>
      <c r="X29" s="1812"/>
      <c r="Y29" s="3286"/>
      <c r="Z29" s="1813" t="str">
        <f t="shared" si="15"/>
        <v>有无电梯</v>
      </c>
      <c r="AA29" s="1810">
        <f t="shared" si="3"/>
        <v>1</v>
      </c>
      <c r="AB29" s="1810">
        <f t="shared" si="4"/>
        <v>1</v>
      </c>
      <c r="AC29" s="1810">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6"/>
      <c r="Q30" s="1809" t="str">
        <f t="shared" si="11"/>
        <v>建筑面积</v>
      </c>
      <c r="R30" s="773" t="s">
        <v>17</v>
      </c>
      <c r="S30" s="774" t="e">
        <f t="shared" si="12"/>
        <v>#N/A</v>
      </c>
      <c r="T30" s="773" t="s">
        <v>17</v>
      </c>
      <c r="U30" s="774" t="e">
        <f t="shared" si="13"/>
        <v>#N/A</v>
      </c>
      <c r="V30" s="773" t="s">
        <v>17</v>
      </c>
      <c r="W30" s="774" t="e">
        <f t="shared" si="14"/>
        <v>#N/A</v>
      </c>
      <c r="X30" s="1812"/>
      <c r="Y30" s="3286"/>
      <c r="Z30" s="1813" t="str">
        <f t="shared" si="15"/>
        <v>建筑面积</v>
      </c>
      <c r="AA30" s="1810" t="e">
        <f t="shared" si="3"/>
        <v>#N/A</v>
      </c>
      <c r="AB30" s="1810" t="e">
        <f t="shared" si="4"/>
        <v>#N/A</v>
      </c>
      <c r="AC30" s="1810"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6"/>
      <c r="Q31" s="1794" t="str">
        <f t="shared" si="11"/>
        <v>是否封闭</v>
      </c>
      <c r="R31" s="769" t="s">
        <v>17</v>
      </c>
      <c r="S31" s="770">
        <f t="shared" si="12"/>
        <v>100</v>
      </c>
      <c r="T31" s="769" t="s">
        <v>17</v>
      </c>
      <c r="U31" s="770">
        <f t="shared" si="13"/>
        <v>100</v>
      </c>
      <c r="V31" s="769" t="s">
        <v>17</v>
      </c>
      <c r="W31" s="770">
        <f t="shared" si="14"/>
        <v>100</v>
      </c>
      <c r="X31" s="771"/>
      <c r="Y31" s="3286"/>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6" t="s">
        <v>2564</v>
      </c>
      <c r="Q32" s="1809">
        <f t="shared" si="11"/>
        <v>111</v>
      </c>
      <c r="R32" s="773" t="s">
        <v>17</v>
      </c>
      <c r="S32" s="774">
        <f t="shared" si="12"/>
        <v>100</v>
      </c>
      <c r="T32" s="773" t="s">
        <v>17</v>
      </c>
      <c r="U32" s="774">
        <f t="shared" si="13"/>
        <v>100</v>
      </c>
      <c r="V32" s="773" t="s">
        <v>17</v>
      </c>
      <c r="W32" s="774">
        <f t="shared" si="14"/>
        <v>100</v>
      </c>
      <c r="X32" s="1812"/>
      <c r="Y32" s="3286" t="s">
        <v>2564</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6"/>
      <c r="Q33" s="1809">
        <f t="shared" si="11"/>
        <v>111</v>
      </c>
      <c r="R33" s="773" t="s">
        <v>17</v>
      </c>
      <c r="S33" s="774">
        <f t="shared" si="12"/>
        <v>100</v>
      </c>
      <c r="T33" s="773" t="s">
        <v>17</v>
      </c>
      <c r="U33" s="774">
        <f t="shared" si="13"/>
        <v>100</v>
      </c>
      <c r="V33" s="773" t="s">
        <v>17</v>
      </c>
      <c r="W33" s="774">
        <f t="shared" si="14"/>
        <v>100</v>
      </c>
      <c r="X33" s="1812"/>
      <c r="Y33" s="3286"/>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86"/>
      <c r="Q34" s="1809">
        <f t="shared" si="11"/>
        <v>111</v>
      </c>
      <c r="R34" s="773" t="s">
        <v>17</v>
      </c>
      <c r="S34" s="774">
        <f t="shared" si="12"/>
        <v>100</v>
      </c>
      <c r="T34" s="773" t="s">
        <v>17</v>
      </c>
      <c r="U34" s="774">
        <f t="shared" si="13"/>
        <v>100</v>
      </c>
      <c r="V34" s="773" t="s">
        <v>17</v>
      </c>
      <c r="W34" s="774">
        <f t="shared" si="14"/>
        <v>100</v>
      </c>
      <c r="X34" s="1812"/>
      <c r="Y34" s="3286"/>
      <c r="Z34" s="1813">
        <f t="shared" si="15"/>
        <v>111</v>
      </c>
      <c r="AA34" s="1810">
        <f t="shared" si="3"/>
        <v>1</v>
      </c>
      <c r="AB34" s="1810">
        <f t="shared" si="4"/>
        <v>1</v>
      </c>
      <c r="AC34" s="1810">
        <f t="shared" si="5"/>
        <v>1</v>
      </c>
    </row>
    <row r="35" spans="1:29" ht="15">
      <c r="A35" s="478" t="s">
        <v>2576</v>
      </c>
      <c r="B35" s="479"/>
      <c r="C35" s="1406" t="s">
        <v>1</v>
      </c>
      <c r="D35" s="1407"/>
      <c r="E35" s="1408"/>
      <c r="F35" s="1409"/>
      <c r="G35" s="1410"/>
      <c r="H35" s="1411"/>
      <c r="I35" s="1408"/>
      <c r="J35" s="1411"/>
      <c r="K35" s="782"/>
      <c r="L35" s="1142"/>
      <c r="M35" s="1143"/>
      <c r="N35" s="1130"/>
      <c r="O35" s="1143"/>
      <c r="P35" s="3279" t="str">
        <f>A35</f>
        <v>成交单价（元/平方米）</v>
      </c>
      <c r="Q35" s="3279"/>
      <c r="R35" s="3280">
        <f>E35</f>
        <v>0</v>
      </c>
      <c r="S35" s="3280"/>
      <c r="T35" s="3280">
        <f>G35</f>
        <v>0</v>
      </c>
      <c r="U35" s="3280"/>
      <c r="V35" s="3280">
        <f>I35</f>
        <v>0</v>
      </c>
      <c r="W35" s="3280"/>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76" t="str">
        <f>A37</f>
        <v>估价对象XX用房的比较价值（楼面单价，元/平方米）</v>
      </c>
      <c r="Q37" s="3277"/>
      <c r="R37" s="3278" t="e">
        <f>IF(F1="售价",ROUND(AVERAGE(R36:V36),0),ROUND(AVERAGE(R36:V36),1))</f>
        <v>#DIV/0!</v>
      </c>
      <c r="S37" s="3278"/>
      <c r="T37" s="3278"/>
      <c r="U37" s="3278"/>
      <c r="V37" s="3278"/>
      <c r="W37" s="32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49" t="s">
        <v>2646</v>
      </c>
      <c r="S4" s="3250"/>
      <c r="T4" s="3249" t="s">
        <v>2647</v>
      </c>
      <c r="U4" s="3250"/>
      <c r="V4" s="3274" t="s">
        <v>2648</v>
      </c>
      <c r="W4" s="3274"/>
      <c r="X4" s="1812"/>
      <c r="Y4" s="3249" t="s">
        <v>2650</v>
      </c>
      <c r="Z4" s="3250"/>
      <c r="AA4" s="3244" t="s">
        <v>2646</v>
      </c>
      <c r="AB4" s="3245" t="s">
        <v>2647</v>
      </c>
      <c r="AC4" s="3244" t="s">
        <v>2648</v>
      </c>
    </row>
    <row r="5" spans="1:30" ht="15">
      <c r="A5" s="403"/>
      <c r="B5" s="404"/>
      <c r="C5" s="3255" t="s">
        <v>2541</v>
      </c>
      <c r="D5" s="3256"/>
      <c r="E5" s="3253" t="s">
        <v>2542</v>
      </c>
      <c r="F5" s="3254"/>
      <c r="G5" s="3255" t="s">
        <v>2543</v>
      </c>
      <c r="H5" s="3256"/>
      <c r="I5" s="3255" t="s">
        <v>2544</v>
      </c>
      <c r="J5" s="3256"/>
      <c r="K5" s="609"/>
      <c r="L5" s="1129"/>
      <c r="M5" s="1130"/>
      <c r="N5" s="1130"/>
      <c r="O5" s="1130"/>
      <c r="P5" s="3268"/>
      <c r="Q5" s="3269"/>
      <c r="R5" s="3251"/>
      <c r="S5" s="3252"/>
      <c r="T5" s="3251"/>
      <c r="U5" s="3252"/>
      <c r="V5" s="3274"/>
      <c r="W5" s="3274"/>
      <c r="X5" s="1812"/>
      <c r="Y5" s="3251"/>
      <c r="Z5" s="3252"/>
      <c r="AA5" s="3245"/>
      <c r="AB5" s="3245"/>
      <c r="AC5" s="3245"/>
    </row>
    <row r="6" spans="1:30" ht="15.75" thickBot="1">
      <c r="A6" s="405"/>
      <c r="B6" s="406"/>
      <c r="C6" s="3257" t="s">
        <v>2545</v>
      </c>
      <c r="D6" s="3258"/>
      <c r="E6" s="3259" t="s">
        <v>2545</v>
      </c>
      <c r="F6" s="3260"/>
      <c r="G6" s="3257" t="s">
        <v>2545</v>
      </c>
      <c r="H6" s="3258"/>
      <c r="I6" s="3257" t="s">
        <v>2545</v>
      </c>
      <c r="J6" s="3258"/>
      <c r="K6" s="609" t="s">
        <v>2546</v>
      </c>
      <c r="L6" s="1129"/>
      <c r="M6" s="1130"/>
      <c r="N6" s="1130"/>
      <c r="O6" s="1130"/>
      <c r="P6" s="3270"/>
      <c r="Q6" s="3271"/>
      <c r="R6" s="3251"/>
      <c r="S6" s="3252"/>
      <c r="T6" s="3272"/>
      <c r="U6" s="3273"/>
      <c r="V6" s="3274"/>
      <c r="W6" s="3274"/>
      <c r="X6" s="1812"/>
      <c r="Y6" s="3272"/>
      <c r="Z6" s="3273"/>
      <c r="AA6" s="3246"/>
      <c r="AB6" s="3246"/>
      <c r="AC6" s="3246"/>
    </row>
    <row r="7" spans="1:30" s="117" customFormat="1" ht="15.75" thickBot="1">
      <c r="A7" s="407" t="s">
        <v>2547</v>
      </c>
      <c r="B7" s="408"/>
      <c r="C7" s="409">
        <f>'数据-取费表'!B2</f>
        <v>43914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47"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5" si="3">D8/F8</f>
        <v>#DIV/0!</v>
      </c>
      <c r="AB8" s="772" t="e">
        <f t="shared" ref="AB8:AB45" si="4">D8/H8</f>
        <v>#DIV/0!</v>
      </c>
      <c r="AC8" s="772" t="e">
        <f t="shared" ref="AC8:AC45" si="5">D8/J8</f>
        <v>#DIV/0!</v>
      </c>
    </row>
    <row r="9" spans="1:30" s="117" customFormat="1">
      <c r="A9" s="414" t="s">
        <v>2552</v>
      </c>
      <c r="B9" s="71" t="s">
        <v>2553</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79" t="s">
        <v>2554</v>
      </c>
      <c r="Q9" s="1794"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109</v>
      </c>
      <c r="G10" s="462"/>
      <c r="H10" s="135">
        <f>ROUND(100/'数据-取费表'!G16,0)</f>
        <v>109</v>
      </c>
      <c r="I10" s="462"/>
      <c r="J10" s="135">
        <f>ROUND(100/'数据-取费表'!G16,0)</f>
        <v>109</v>
      </c>
      <c r="K10" s="671"/>
      <c r="L10" s="1134"/>
      <c r="M10" s="1135"/>
      <c r="N10" s="1135"/>
      <c r="O10" s="1136"/>
      <c r="P10" s="3279"/>
      <c r="Q10" s="1794" t="str">
        <f t="shared" si="6"/>
        <v>土地使用年限（年）</v>
      </c>
      <c r="R10" s="769" t="s">
        <v>17</v>
      </c>
      <c r="S10" s="770">
        <f t="shared" si="0"/>
        <v>109</v>
      </c>
      <c r="T10" s="769" t="s">
        <v>17</v>
      </c>
      <c r="U10" s="770">
        <f t="shared" si="1"/>
        <v>109</v>
      </c>
      <c r="V10" s="769" t="s">
        <v>17</v>
      </c>
      <c r="W10" s="770">
        <f t="shared" si="2"/>
        <v>109</v>
      </c>
      <c r="X10" s="771"/>
      <c r="Y10" s="3090"/>
      <c r="Z10" s="55" t="str">
        <f t="shared" si="7"/>
        <v>土地使用年限（年）</v>
      </c>
      <c r="AA10" s="772">
        <f t="shared" si="3"/>
        <v>0.91743119266055051</v>
      </c>
      <c r="AB10" s="772">
        <f t="shared" si="4"/>
        <v>0.91743119266055051</v>
      </c>
      <c r="AC10" s="772">
        <f t="shared" si="5"/>
        <v>0.91743119266055051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79"/>
      <c r="Q11" s="1794"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30" s="117" customFormat="1" ht="15">
      <c r="A12" s="430"/>
      <c r="B12" s="2601"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79"/>
      <c r="Q12" s="1794" t="str">
        <f t="shared" si="6"/>
        <v>配建</v>
      </c>
      <c r="R12" s="769" t="s">
        <v>17</v>
      </c>
      <c r="S12" s="770">
        <f t="shared" si="0"/>
        <v>100</v>
      </c>
      <c r="T12" s="769" t="s">
        <v>17</v>
      </c>
      <c r="U12" s="770">
        <f t="shared" si="1"/>
        <v>100</v>
      </c>
      <c r="V12" s="769" t="s">
        <v>17</v>
      </c>
      <c r="W12" s="770">
        <f t="shared" si="2"/>
        <v>100</v>
      </c>
      <c r="X12" s="771"/>
      <c r="Y12" s="3090"/>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90"/>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79"/>
      <c r="Q14" s="1794">
        <f t="shared" si="6"/>
        <v>111</v>
      </c>
      <c r="R14" s="769" t="s">
        <v>17</v>
      </c>
      <c r="S14" s="770">
        <f t="shared" si="0"/>
        <v>100</v>
      </c>
      <c r="T14" s="769" t="s">
        <v>17</v>
      </c>
      <c r="U14" s="770">
        <f t="shared" si="1"/>
        <v>100</v>
      </c>
      <c r="V14" s="769" t="s">
        <v>17</v>
      </c>
      <c r="W14" s="770">
        <f t="shared" si="2"/>
        <v>100</v>
      </c>
      <c r="X14" s="771"/>
      <c r="Y14" s="3090"/>
      <c r="Z14" s="55">
        <f t="shared" si="7"/>
        <v>111</v>
      </c>
      <c r="AA14" s="772">
        <f>D14/F14</f>
        <v>1</v>
      </c>
      <c r="AB14" s="772">
        <f>D14/H14</f>
        <v>1</v>
      </c>
      <c r="AC14" s="772">
        <f>D14/J14</f>
        <v>1</v>
      </c>
    </row>
    <row r="15" spans="1:30" ht="99.75">
      <c r="A15" s="439" t="s">
        <v>2558</v>
      </c>
      <c r="B15" s="69" t="s">
        <v>2083</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81" t="s">
        <v>2559</v>
      </c>
      <c r="Q15" s="1809" t="str">
        <f t="shared" si="6"/>
        <v>居住社区成熟度</v>
      </c>
      <c r="R15" s="773" t="s">
        <v>17</v>
      </c>
      <c r="S15" s="774">
        <f t="shared" si="0"/>
        <v>100</v>
      </c>
      <c r="T15" s="773" t="s">
        <v>17</v>
      </c>
      <c r="U15" s="774">
        <f t="shared" si="1"/>
        <v>100</v>
      </c>
      <c r="V15" s="773" t="s">
        <v>17</v>
      </c>
      <c r="W15" s="774">
        <f t="shared" si="2"/>
        <v>100</v>
      </c>
      <c r="X15" s="1812"/>
      <c r="Y15" s="3281" t="s">
        <v>2559</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82"/>
      <c r="Q16" s="1809"/>
      <c r="R16" s="773"/>
      <c r="S16" s="774"/>
      <c r="T16" s="773"/>
      <c r="U16" s="774"/>
      <c r="V16" s="773"/>
      <c r="W16" s="774"/>
      <c r="X16" s="1812"/>
      <c r="Y16" s="3282"/>
      <c r="Z16" s="1813"/>
      <c r="AA16" s="1810">
        <v>1</v>
      </c>
      <c r="AB16" s="1810">
        <v>1</v>
      </c>
      <c r="AC16" s="1810">
        <v>1</v>
      </c>
    </row>
    <row r="17" spans="1:29" ht="71.25">
      <c r="A17" s="427"/>
      <c r="B17" s="450" t="s">
        <v>2652</v>
      </c>
      <c r="C17" s="2665" t="str">
        <f>估价对象房地状况!C16</f>
        <v>估价对象位于顺义商圈，周边商业氛围成熟，人流量大，商业繁华度好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82"/>
      <c r="Q17" s="1809" t="str">
        <f>B17</f>
        <v>商业繁华度</v>
      </c>
      <c r="R17" s="773" t="s">
        <v>17</v>
      </c>
      <c r="S17" s="774">
        <f>F17</f>
        <v>100</v>
      </c>
      <c r="T17" s="773" t="s">
        <v>17</v>
      </c>
      <c r="U17" s="774">
        <f>H17</f>
        <v>100</v>
      </c>
      <c r="V17" s="773" t="s">
        <v>17</v>
      </c>
      <c r="W17" s="774">
        <f>J17</f>
        <v>100</v>
      </c>
      <c r="X17" s="1812"/>
      <c r="Y17" s="3282"/>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82"/>
      <c r="Q18" s="1809"/>
      <c r="R18" s="773"/>
      <c r="S18" s="774"/>
      <c r="T18" s="773"/>
      <c r="U18" s="774"/>
      <c r="V18" s="773"/>
      <c r="W18" s="774"/>
      <c r="X18" s="1812"/>
      <c r="Y18" s="3282"/>
      <c r="Z18" s="1813"/>
      <c r="AA18" s="1810">
        <v>1</v>
      </c>
      <c r="AB18" s="1810">
        <v>1</v>
      </c>
      <c r="AC18" s="1810">
        <v>1</v>
      </c>
    </row>
    <row r="19" spans="1:29" ht="71.25">
      <c r="A19" s="427"/>
      <c r="B19" s="450" t="s">
        <v>2686</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82"/>
      <c r="Q19" s="1809" t="str">
        <f>B19</f>
        <v>办公集聚程度</v>
      </c>
      <c r="R19" s="773" t="s">
        <v>17</v>
      </c>
      <c r="S19" s="774">
        <f>F19</f>
        <v>100</v>
      </c>
      <c r="T19" s="773" t="s">
        <v>17</v>
      </c>
      <c r="U19" s="774">
        <f>H19</f>
        <v>100</v>
      </c>
      <c r="V19" s="773" t="s">
        <v>17</v>
      </c>
      <c r="W19" s="774">
        <f>J19</f>
        <v>100</v>
      </c>
      <c r="X19" s="1812"/>
      <c r="Y19" s="3282"/>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82"/>
      <c r="Q20" s="1809"/>
      <c r="R20" s="773"/>
      <c r="S20" s="774"/>
      <c r="T20" s="773"/>
      <c r="U20" s="774"/>
      <c r="V20" s="773"/>
      <c r="W20" s="774"/>
      <c r="X20" s="1812"/>
      <c r="Y20" s="3282"/>
      <c r="Z20" s="1813"/>
      <c r="AA20" s="1810">
        <v>1</v>
      </c>
      <c r="AB20" s="1810">
        <v>1</v>
      </c>
      <c r="AC20" s="1810">
        <v>1</v>
      </c>
    </row>
    <row r="21" spans="1:29" ht="85.5">
      <c r="A21" s="427"/>
      <c r="B21" s="450" t="s">
        <v>2708</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82"/>
      <c r="Q21" s="1809" t="str">
        <f>B21</f>
        <v>交通便捷度</v>
      </c>
      <c r="R21" s="773" t="s">
        <v>17</v>
      </c>
      <c r="S21" s="774">
        <f>F21</f>
        <v>100</v>
      </c>
      <c r="T21" s="773" t="s">
        <v>17</v>
      </c>
      <c r="U21" s="774">
        <f>H21</f>
        <v>100</v>
      </c>
      <c r="V21" s="773" t="s">
        <v>17</v>
      </c>
      <c r="W21" s="774">
        <f>J21</f>
        <v>100</v>
      </c>
      <c r="X21" s="1812"/>
      <c r="Y21" s="3282"/>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82"/>
      <c r="Q22" s="1809"/>
      <c r="R22" s="773"/>
      <c r="S22" s="774"/>
      <c r="T22" s="773"/>
      <c r="U22" s="774"/>
      <c r="V22" s="773"/>
      <c r="W22" s="774"/>
      <c r="X22" s="1812"/>
      <c r="Y22" s="3282"/>
      <c r="Z22" s="1813"/>
      <c r="AA22" s="1810">
        <v>1</v>
      </c>
      <c r="AB22" s="1810">
        <v>1</v>
      </c>
      <c r="AC22" s="1810">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82"/>
      <c r="Q23" s="1809" t="str">
        <f t="shared" ref="Q23:Q37" si="8">B23</f>
        <v>区域土地利用方向</v>
      </c>
      <c r="R23" s="773" t="s">
        <v>17</v>
      </c>
      <c r="S23" s="774">
        <f>F23</f>
        <v>100</v>
      </c>
      <c r="T23" s="773" t="s">
        <v>17</v>
      </c>
      <c r="U23" s="774">
        <f>H23</f>
        <v>100</v>
      </c>
      <c r="V23" s="773" t="s">
        <v>17</v>
      </c>
      <c r="W23" s="774">
        <f>J23</f>
        <v>100</v>
      </c>
      <c r="X23" s="1812"/>
      <c r="Y23" s="3282"/>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82"/>
      <c r="Q24" s="1809"/>
      <c r="R24" s="773"/>
      <c r="S24" s="774"/>
      <c r="T24" s="773"/>
      <c r="U24" s="774"/>
      <c r="V24" s="773"/>
      <c r="W24" s="774"/>
      <c r="X24" s="1812"/>
      <c r="Y24" s="3282"/>
      <c r="Z24" s="1813"/>
      <c r="AA24" s="1810"/>
      <c r="AB24" s="1810"/>
      <c r="AC24" s="1810"/>
    </row>
    <row r="25" spans="1:29" ht="57">
      <c r="A25" s="403"/>
      <c r="B25" s="1383" t="s">
        <v>2748</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82"/>
      <c r="Q25" s="1809" t="str">
        <f t="shared" si="8"/>
        <v>自然及人文环境状况</v>
      </c>
      <c r="R25" s="773" t="s">
        <v>17</v>
      </c>
      <c r="S25" s="774">
        <f>F25</f>
        <v>100</v>
      </c>
      <c r="T25" s="773" t="s">
        <v>17</v>
      </c>
      <c r="U25" s="774">
        <f>H25</f>
        <v>100</v>
      </c>
      <c r="V25" s="773" t="s">
        <v>17</v>
      </c>
      <c r="W25" s="774">
        <f>J25</f>
        <v>100</v>
      </c>
      <c r="X25" s="1812"/>
      <c r="Y25" s="3282"/>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82"/>
      <c r="Q26" s="1809"/>
      <c r="R26" s="773"/>
      <c r="S26" s="774"/>
      <c r="T26" s="773"/>
      <c r="U26" s="774"/>
      <c r="V26" s="773"/>
      <c r="W26" s="774"/>
      <c r="X26" s="1812"/>
      <c r="Y26" s="3282"/>
      <c r="Z26" s="1813"/>
      <c r="AA26" s="1810">
        <v>1</v>
      </c>
      <c r="AB26" s="1810">
        <v>1</v>
      </c>
      <c r="AC26" s="1810">
        <v>1</v>
      </c>
    </row>
    <row r="27" spans="1:29" s="117" customFormat="1" ht="42.75">
      <c r="A27" s="648"/>
      <c r="B27" s="1383" t="s">
        <v>2653</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82"/>
      <c r="Q27" s="1794" t="str">
        <f t="shared" si="8"/>
        <v>公共配套设施</v>
      </c>
      <c r="R27" s="769" t="s">
        <v>17</v>
      </c>
      <c r="S27" s="770">
        <f>F27</f>
        <v>100</v>
      </c>
      <c r="T27" s="769" t="s">
        <v>17</v>
      </c>
      <c r="U27" s="770">
        <f>H27</f>
        <v>100</v>
      </c>
      <c r="V27" s="769" t="s">
        <v>17</v>
      </c>
      <c r="W27" s="770">
        <f>J27</f>
        <v>100</v>
      </c>
      <c r="X27" s="771"/>
      <c r="Y27" s="3282"/>
      <c r="Z27" s="55" t="str">
        <f>Q27</f>
        <v>公共配套设施</v>
      </c>
      <c r="AA27" s="1810">
        <f>D27/F27</f>
        <v>1</v>
      </c>
      <c r="AB27" s="1810">
        <f>D27/H27</f>
        <v>1</v>
      </c>
      <c r="AC27" s="1810">
        <f>D27/J27</f>
        <v>1</v>
      </c>
    </row>
    <row r="28" spans="1:29" s="117" customFormat="1" ht="15">
      <c r="A28" s="648"/>
      <c r="B28" s="455"/>
      <c r="C28" s="2701"/>
      <c r="D28" s="447"/>
      <c r="E28" s="2612"/>
      <c r="F28" s="447"/>
      <c r="G28" s="2612"/>
      <c r="H28" s="447"/>
      <c r="I28" s="446"/>
      <c r="J28" s="447"/>
      <c r="K28" s="671"/>
      <c r="L28" s="1131"/>
      <c r="M28" s="1132"/>
      <c r="N28" s="1132"/>
      <c r="O28" s="1133"/>
      <c r="P28" s="3282"/>
      <c r="Q28" s="1794"/>
      <c r="R28" s="769"/>
      <c r="S28" s="770"/>
      <c r="T28" s="769"/>
      <c r="U28" s="770"/>
      <c r="V28" s="769"/>
      <c r="W28" s="770"/>
      <c r="X28" s="771"/>
      <c r="Y28" s="3282"/>
      <c r="Z28" s="55"/>
      <c r="AA28" s="1810">
        <v>1</v>
      </c>
      <c r="AB28" s="1810">
        <v>1</v>
      </c>
      <c r="AC28" s="1810">
        <v>1</v>
      </c>
    </row>
    <row r="29" spans="1:29" s="117" customFormat="1" ht="28.5">
      <c r="A29" s="648"/>
      <c r="B29" s="1383" t="s">
        <v>2654</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82"/>
      <c r="Q29" s="1794" t="str">
        <f t="shared" ref="Q29" si="9">B29</f>
        <v>基础设施水平</v>
      </c>
      <c r="R29" s="769" t="s">
        <v>17</v>
      </c>
      <c r="S29" s="770">
        <f>F29</f>
        <v>100</v>
      </c>
      <c r="T29" s="769" t="s">
        <v>17</v>
      </c>
      <c r="U29" s="770">
        <f>H29</f>
        <v>100</v>
      </c>
      <c r="V29" s="769" t="s">
        <v>17</v>
      </c>
      <c r="W29" s="770">
        <f>J29</f>
        <v>100</v>
      </c>
      <c r="X29" s="771"/>
      <c r="Y29" s="3282"/>
      <c r="Z29" s="55" t="str">
        <f>Q29</f>
        <v>基础设施水平</v>
      </c>
      <c r="AA29" s="1810">
        <f>D29/F29</f>
        <v>1</v>
      </c>
      <c r="AB29" s="1810">
        <f>D29/H29</f>
        <v>1</v>
      </c>
      <c r="AC29" s="1810">
        <f>D29/J29</f>
        <v>1</v>
      </c>
    </row>
    <row r="30" spans="1:29" s="117" customFormat="1" ht="15">
      <c r="A30" s="648"/>
      <c r="B30" s="455"/>
      <c r="C30" s="2701"/>
      <c r="D30" s="447"/>
      <c r="E30" s="2702"/>
      <c r="F30" s="447"/>
      <c r="G30" s="2702"/>
      <c r="H30" s="447"/>
      <c r="I30" s="2702"/>
      <c r="J30" s="447"/>
      <c r="K30" s="671"/>
      <c r="L30" s="1131"/>
      <c r="M30" s="1132"/>
      <c r="N30" s="1132"/>
      <c r="O30" s="1133"/>
      <c r="P30" s="3282"/>
      <c r="Q30" s="1794"/>
      <c r="R30" s="769"/>
      <c r="S30" s="770"/>
      <c r="T30" s="769"/>
      <c r="U30" s="770"/>
      <c r="V30" s="769"/>
      <c r="W30" s="770"/>
      <c r="X30" s="771"/>
      <c r="Y30" s="3282"/>
      <c r="Z30" s="55"/>
      <c r="AA30" s="1810">
        <v>1</v>
      </c>
      <c r="AB30" s="1810">
        <v>1</v>
      </c>
      <c r="AC30" s="1810">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8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82"/>
      <c r="Z31" s="1813" t="str">
        <f t="shared" ref="Z31:Z45" si="13">Q31</f>
        <v>临街状况</v>
      </c>
      <c r="AA31" s="1810">
        <f t="shared" si="3"/>
        <v>1</v>
      </c>
      <c r="AB31" s="1810">
        <f t="shared" si="4"/>
        <v>1</v>
      </c>
      <c r="AC31" s="1810">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82"/>
      <c r="Q32" s="1809" t="str">
        <f t="shared" si="8"/>
        <v>毗邻道路的类型与等级</v>
      </c>
      <c r="R32" s="773" t="s">
        <v>17</v>
      </c>
      <c r="S32" s="774">
        <f t="shared" si="10"/>
        <v>100</v>
      </c>
      <c r="T32" s="773" t="s">
        <v>17</v>
      </c>
      <c r="U32" s="774">
        <f t="shared" si="11"/>
        <v>100</v>
      </c>
      <c r="V32" s="773" t="s">
        <v>17</v>
      </c>
      <c r="W32" s="774">
        <f t="shared" si="12"/>
        <v>100</v>
      </c>
      <c r="X32" s="1812"/>
      <c r="Y32" s="3282"/>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82"/>
      <c r="Q33" s="1809"/>
      <c r="R33" s="773"/>
      <c r="S33" s="774"/>
      <c r="T33" s="773"/>
      <c r="U33" s="774"/>
      <c r="V33" s="773"/>
      <c r="W33" s="774"/>
      <c r="X33" s="1812"/>
      <c r="Y33" s="3282"/>
      <c r="Z33" s="1813"/>
      <c r="AA33" s="1810">
        <v>1</v>
      </c>
      <c r="AB33" s="1810">
        <v>1</v>
      </c>
      <c r="AC33" s="1810">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82"/>
      <c r="Q34" s="1809" t="str">
        <f t="shared" si="8"/>
        <v>土地级别</v>
      </c>
      <c r="R34" s="773" t="s">
        <v>17</v>
      </c>
      <c r="S34" s="774">
        <f t="shared" si="10"/>
        <v>100</v>
      </c>
      <c r="T34" s="773" t="s">
        <v>17</v>
      </c>
      <c r="U34" s="774">
        <f t="shared" si="11"/>
        <v>100</v>
      </c>
      <c r="V34" s="773" t="s">
        <v>17</v>
      </c>
      <c r="W34" s="774">
        <f t="shared" si="12"/>
        <v>100</v>
      </c>
      <c r="X34" s="1812"/>
      <c r="Y34" s="328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82"/>
      <c r="Q35" s="1809">
        <f t="shared" si="8"/>
        <v>111</v>
      </c>
      <c r="R35" s="773" t="s">
        <v>17</v>
      </c>
      <c r="S35" s="774">
        <f t="shared" si="10"/>
        <v>100</v>
      </c>
      <c r="T35" s="773" t="s">
        <v>17</v>
      </c>
      <c r="U35" s="774">
        <f t="shared" si="11"/>
        <v>100</v>
      </c>
      <c r="V35" s="773" t="s">
        <v>17</v>
      </c>
      <c r="W35" s="774">
        <f t="shared" si="12"/>
        <v>100</v>
      </c>
      <c r="X35" s="1812"/>
      <c r="Y35" s="328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13" t="s">
        <v>2564</v>
      </c>
      <c r="Q36" s="1809">
        <f t="shared" si="8"/>
        <v>111</v>
      </c>
      <c r="R36" s="773" t="s">
        <v>17</v>
      </c>
      <c r="S36" s="774">
        <f t="shared" si="10"/>
        <v>100</v>
      </c>
      <c r="T36" s="773" t="s">
        <v>17</v>
      </c>
      <c r="U36" s="774">
        <f t="shared" si="11"/>
        <v>100</v>
      </c>
      <c r="V36" s="773" t="s">
        <v>17</v>
      </c>
      <c r="W36" s="774">
        <f t="shared" si="12"/>
        <v>100</v>
      </c>
      <c r="X36" s="1812"/>
      <c r="Y36" s="3286" t="s">
        <v>2564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6"/>
      <c r="Q37" s="1809">
        <f t="shared" si="8"/>
        <v>111</v>
      </c>
      <c r="R37" s="776" t="s">
        <v>17</v>
      </c>
      <c r="S37" s="777">
        <f t="shared" si="10"/>
        <v>100</v>
      </c>
      <c r="T37" s="776" t="s">
        <v>17</v>
      </c>
      <c r="U37" s="777">
        <f t="shared" si="11"/>
        <v>100</v>
      </c>
      <c r="V37" s="776" t="s">
        <v>17</v>
      </c>
      <c r="W37" s="777">
        <f t="shared" si="12"/>
        <v>100</v>
      </c>
      <c r="X37" s="778"/>
      <c r="Y37" s="3286"/>
      <c r="Z37" s="779">
        <f t="shared" si="13"/>
        <v>111</v>
      </c>
      <c r="AA37" s="1810">
        <f t="shared" si="3"/>
        <v>1</v>
      </c>
      <c r="AB37" s="1810">
        <f t="shared" si="4"/>
        <v>1</v>
      </c>
      <c r="AC37" s="1810">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86"/>
      <c r="Q38" s="1809" t="str">
        <f>B38</f>
        <v>宗地面积</v>
      </c>
      <c r="R38" s="773" t="s">
        <v>17</v>
      </c>
      <c r="S38" s="774" t="e">
        <f t="shared" si="10"/>
        <v>#N/A</v>
      </c>
      <c r="T38" s="773" t="s">
        <v>17</v>
      </c>
      <c r="U38" s="774" t="e">
        <f t="shared" si="11"/>
        <v>#N/A</v>
      </c>
      <c r="V38" s="773" t="s">
        <v>17</v>
      </c>
      <c r="W38" s="774" t="e">
        <f t="shared" si="12"/>
        <v>#N/A</v>
      </c>
      <c r="X38" s="1812"/>
      <c r="Y38" s="3286"/>
      <c r="Z38" s="1813" t="str">
        <f t="shared" si="13"/>
        <v>宗地面积</v>
      </c>
      <c r="AA38" s="1810" t="e">
        <f t="shared" si="3"/>
        <v>#N/A</v>
      </c>
      <c r="AB38" s="1810" t="e">
        <f t="shared" si="4"/>
        <v>#N/A</v>
      </c>
      <c r="AC38" s="1810" t="e">
        <f t="shared" si="5"/>
        <v>#N/A</v>
      </c>
    </row>
    <row r="39" spans="1:29" ht="15">
      <c r="A39" s="471"/>
      <c r="B39" s="421" t="s">
        <v>2751</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86"/>
      <c r="Q39" s="1809" t="str">
        <f t="shared" ref="Q39:Q45" si="14">B39</f>
        <v>宗地形状</v>
      </c>
      <c r="R39" s="773" t="s">
        <v>17</v>
      </c>
      <c r="S39" s="774">
        <f t="shared" si="10"/>
        <v>100</v>
      </c>
      <c r="T39" s="773" t="s">
        <v>17</v>
      </c>
      <c r="U39" s="774">
        <f t="shared" si="11"/>
        <v>100</v>
      </c>
      <c r="V39" s="773" t="s">
        <v>17</v>
      </c>
      <c r="W39" s="774">
        <f t="shared" si="12"/>
        <v>100</v>
      </c>
      <c r="X39" s="1812"/>
      <c r="Y39" s="3286"/>
      <c r="Z39" s="1813" t="str">
        <f t="shared" si="13"/>
        <v>宗地形状</v>
      </c>
      <c r="AA39" s="1810">
        <f t="shared" si="3"/>
        <v>1</v>
      </c>
      <c r="AB39" s="1810">
        <f t="shared" si="4"/>
        <v>1</v>
      </c>
      <c r="AC39" s="1810">
        <f t="shared" si="5"/>
        <v>1</v>
      </c>
    </row>
    <row r="40" spans="1:29" ht="15">
      <c r="A40" s="471"/>
      <c r="B40" s="421" t="s">
        <v>2752</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86"/>
      <c r="Q40" s="1809" t="str">
        <f t="shared" si="14"/>
        <v>临街宽度及深度</v>
      </c>
      <c r="R40" s="773" t="s">
        <v>17</v>
      </c>
      <c r="S40" s="774">
        <f t="shared" si="10"/>
        <v>100</v>
      </c>
      <c r="T40" s="773" t="s">
        <v>17</v>
      </c>
      <c r="U40" s="774">
        <f t="shared" si="11"/>
        <v>100</v>
      </c>
      <c r="V40" s="773" t="s">
        <v>17</v>
      </c>
      <c r="W40" s="774">
        <f t="shared" si="12"/>
        <v>100</v>
      </c>
      <c r="X40" s="1812"/>
      <c r="Y40" s="3286"/>
      <c r="Z40" s="1813" t="str">
        <f t="shared" si="13"/>
        <v>临街宽度及深度</v>
      </c>
      <c r="AA40" s="1810">
        <f t="shared" si="3"/>
        <v>1</v>
      </c>
      <c r="AB40" s="1810">
        <f t="shared" si="4"/>
        <v>1</v>
      </c>
      <c r="AC40" s="1810">
        <f t="shared" si="5"/>
        <v>1</v>
      </c>
    </row>
    <row r="41" spans="1:29" s="117" customFormat="1" ht="15">
      <c r="A41" s="472"/>
      <c r="B41" s="421" t="s">
        <v>2753</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86"/>
      <c r="Q41" s="1809" t="str">
        <f t="shared" si="14"/>
        <v>宗地开发程度</v>
      </c>
      <c r="R41" s="769" t="s">
        <v>17</v>
      </c>
      <c r="S41" s="770">
        <f t="shared" si="10"/>
        <v>100</v>
      </c>
      <c r="T41" s="769" t="s">
        <v>17</v>
      </c>
      <c r="U41" s="770">
        <f t="shared" si="11"/>
        <v>100</v>
      </c>
      <c r="V41" s="769" t="s">
        <v>17</v>
      </c>
      <c r="W41" s="770">
        <f t="shared" si="12"/>
        <v>100</v>
      </c>
      <c r="X41" s="771"/>
      <c r="Y41" s="3286"/>
      <c r="Z41" s="55" t="str">
        <f t="shared" si="13"/>
        <v>宗地开发程度</v>
      </c>
      <c r="AA41" s="772">
        <f t="shared" si="3"/>
        <v>1</v>
      </c>
      <c r="AB41" s="772">
        <f t="shared" si="4"/>
        <v>1</v>
      </c>
      <c r="AC41" s="772">
        <f t="shared" si="5"/>
        <v>1</v>
      </c>
    </row>
    <row r="42" spans="1:29" ht="15">
      <c r="A42" s="471"/>
      <c r="B42" s="421" t="s">
        <v>2754</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86" t="s">
        <v>2564</v>
      </c>
      <c r="Q42" s="1809" t="str">
        <f t="shared" si="14"/>
        <v>工程地质条件</v>
      </c>
      <c r="R42" s="773" t="s">
        <v>17</v>
      </c>
      <c r="S42" s="774">
        <f t="shared" si="10"/>
        <v>100</v>
      </c>
      <c r="T42" s="773" t="s">
        <v>17</v>
      </c>
      <c r="U42" s="774">
        <f t="shared" si="11"/>
        <v>100</v>
      </c>
      <c r="V42" s="773" t="s">
        <v>17</v>
      </c>
      <c r="W42" s="774">
        <f t="shared" si="12"/>
        <v>100</v>
      </c>
      <c r="X42" s="1812"/>
      <c r="Y42" s="3286" t="s">
        <v>2564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6"/>
      <c r="Q43" s="1809">
        <f t="shared" si="14"/>
        <v>111</v>
      </c>
      <c r="R43" s="773" t="s">
        <v>17</v>
      </c>
      <c r="S43" s="774">
        <f t="shared" si="10"/>
        <v>100</v>
      </c>
      <c r="T43" s="773" t="s">
        <v>17</v>
      </c>
      <c r="U43" s="774">
        <f t="shared" si="11"/>
        <v>100</v>
      </c>
      <c r="V43" s="773" t="s">
        <v>17</v>
      </c>
      <c r="W43" s="774">
        <f t="shared" si="12"/>
        <v>100</v>
      </c>
      <c r="X43" s="1812"/>
      <c r="Y43" s="328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6"/>
      <c r="Q44" s="1809">
        <f t="shared" si="14"/>
        <v>111</v>
      </c>
      <c r="R44" s="773" t="s">
        <v>17</v>
      </c>
      <c r="S44" s="774">
        <f t="shared" si="10"/>
        <v>100</v>
      </c>
      <c r="T44" s="773" t="s">
        <v>17</v>
      </c>
      <c r="U44" s="774">
        <f t="shared" si="11"/>
        <v>100</v>
      </c>
      <c r="V44" s="773" t="s">
        <v>17</v>
      </c>
      <c r="W44" s="774">
        <f t="shared" si="12"/>
        <v>100</v>
      </c>
      <c r="X44" s="1812"/>
      <c r="Y44" s="3286"/>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6"/>
      <c r="Q45" s="1809">
        <f t="shared" si="14"/>
        <v>111</v>
      </c>
      <c r="R45" s="776" t="s">
        <v>17</v>
      </c>
      <c r="S45" s="777">
        <f t="shared" si="10"/>
        <v>100</v>
      </c>
      <c r="T45" s="776" t="s">
        <v>17</v>
      </c>
      <c r="U45" s="777">
        <f t="shared" si="11"/>
        <v>100</v>
      </c>
      <c r="V45" s="776" t="s">
        <v>17</v>
      </c>
      <c r="W45" s="777">
        <f t="shared" si="12"/>
        <v>100</v>
      </c>
      <c r="X45" s="778"/>
      <c r="Y45" s="3286"/>
      <c r="Z45" s="779">
        <f t="shared" si="13"/>
        <v>111</v>
      </c>
      <c r="AA45" s="1810">
        <f t="shared" si="3"/>
        <v>1</v>
      </c>
      <c r="AB45" s="1810">
        <f t="shared" si="4"/>
        <v>1</v>
      </c>
      <c r="AC45" s="1810">
        <f t="shared" si="5"/>
        <v>1</v>
      </c>
    </row>
    <row r="46" spans="1:29" ht="15">
      <c r="A46" s="478" t="s">
        <v>2719</v>
      </c>
      <c r="B46" s="2705" t="s">
        <v>2755</v>
      </c>
      <c r="C46" s="681" t="s">
        <v>1</v>
      </c>
      <c r="D46" s="480"/>
      <c r="E46" s="481"/>
      <c r="F46" s="482"/>
      <c r="G46" s="483"/>
      <c r="H46" s="484"/>
      <c r="I46" s="481"/>
      <c r="J46" s="484"/>
      <c r="K46" s="782"/>
      <c r="L46" s="1142"/>
      <c r="M46" s="1143"/>
      <c r="N46" s="1130"/>
      <c r="O46" s="1143"/>
      <c r="P46" s="3279" t="str">
        <f>A46</f>
        <v>成交单价</v>
      </c>
      <c r="Q46" s="3279"/>
      <c r="R46" s="3274">
        <f>E46</f>
        <v>0</v>
      </c>
      <c r="S46" s="3274"/>
      <c r="T46" s="3274">
        <f>G46</f>
        <v>0</v>
      </c>
      <c r="U46" s="3274"/>
      <c r="V46" s="3274">
        <f>I46</f>
        <v>0</v>
      </c>
      <c r="W46" s="3274"/>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79" t="str">
        <f>A47</f>
        <v>比较价值（元/平方米）</v>
      </c>
      <c r="Q47" s="3279"/>
      <c r="R47" s="3314" t="e">
        <f>ROUND(PRODUCT(R46,AA7:AA45),0)</f>
        <v>#DIV/0!</v>
      </c>
      <c r="S47" s="3314"/>
      <c r="T47" s="3314" t="e">
        <f>ROUND(PRODUCT(T46,AB7:AB45),0)</f>
        <v>#DIV/0!</v>
      </c>
      <c r="U47" s="3314"/>
      <c r="V47" s="3314" t="e">
        <f>ROUND(PRODUCT(V46,AC7:AC45),0)</f>
        <v>#DIV/0!</v>
      </c>
      <c r="W47" s="3314"/>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76" t="str">
        <f>A48</f>
        <v>估价对象XX用房的比较价值（楼面单价，元/平方米）</v>
      </c>
      <c r="Q48" s="3277"/>
      <c r="R48" s="3315" t="e">
        <f>ROUND(AVERAGE(R47:V47),0)</f>
        <v>#DIV/0!</v>
      </c>
      <c r="S48" s="3315"/>
      <c r="T48" s="3315"/>
      <c r="U48" s="3315"/>
      <c r="V48" s="3315"/>
      <c r="W48" s="331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6" t="s">
        <v>2759</v>
      </c>
      <c r="D55" s="2707" t="s">
        <v>2760</v>
      </c>
      <c r="E55" s="685" t="s">
        <v>2761</v>
      </c>
      <c r="F55" s="1106" t="s">
        <v>2762</v>
      </c>
      <c r="G55" s="3262" t="s">
        <v>2763</v>
      </c>
      <c r="H55" s="3316"/>
      <c r="I55" s="143" t="s">
        <v>2764</v>
      </c>
      <c r="J55" s="2708">
        <f>项目基本情况!F35</f>
        <v>0</v>
      </c>
      <c r="K55" s="2709" t="s">
        <v>2765</v>
      </c>
      <c r="L55" s="1105"/>
      <c r="M55" s="1143"/>
      <c r="N55" s="1143"/>
      <c r="O55" s="1143"/>
    </row>
    <row r="56" spans="1:15" s="691" customFormat="1">
      <c r="A56" s="687" t="s">
        <v>2766</v>
      </c>
      <c r="B56" s="688" t="e">
        <f>C48</f>
        <v>#DIV/0!</v>
      </c>
      <c r="C56" s="689">
        <v>1</v>
      </c>
      <c r="D56" s="1162">
        <v>1</v>
      </c>
      <c r="E56" s="689">
        <f>'数据-汇总表'!E8+'数据-汇总表'!E9</f>
        <v>708.8</v>
      </c>
      <c r="F56" s="1102" t="e">
        <f t="shared" ref="F56:F65" si="15">ROUND(B56*E56/10000,0)</f>
        <v>#DIV/0!</v>
      </c>
      <c r="G56" s="3261"/>
      <c r="H56" s="3279"/>
      <c r="I56" s="1107">
        <v>1</v>
      </c>
      <c r="J56" s="1110">
        <v>1</v>
      </c>
      <c r="K56" s="1144"/>
      <c r="L56" s="940"/>
      <c r="M56" s="940"/>
      <c r="N56" s="940"/>
      <c r="O56" s="940"/>
    </row>
    <row r="57" spans="1:15" s="691" customFormat="1">
      <c r="A57" s="692" t="s">
        <v>2767</v>
      </c>
      <c r="B57" s="261" t="e">
        <f>ROUND($C$48*C57*D57,0)</f>
        <v>#DIV/0!</v>
      </c>
      <c r="C57" s="199">
        <f t="shared" ref="C57:C65" si="16">IF($C$55="北京市系数",I57,J57)</f>
        <v>0</v>
      </c>
      <c r="D57" s="1163">
        <v>0.25</v>
      </c>
      <c r="E57" s="693"/>
      <c r="F57" s="1102" t="e">
        <f t="shared" si="15"/>
        <v>#DIV/0!</v>
      </c>
      <c r="G57" s="3317" t="s">
        <v>2768</v>
      </c>
      <c r="H57" s="1103">
        <f>项目基本情况!B37</f>
        <v>0</v>
      </c>
      <c r="I57" s="1107">
        <f>SUMIF(修正!A45:A56,H57,修正!B45:B56)</f>
        <v>0</v>
      </c>
      <c r="J57" s="1111"/>
      <c r="K57" s="1143"/>
      <c r="L57" s="940"/>
      <c r="M57" s="940"/>
      <c r="N57" s="940"/>
      <c r="O57" s="940"/>
    </row>
    <row r="58" spans="1:15" s="691" customFormat="1">
      <c r="A58" s="692" t="s">
        <v>2769</v>
      </c>
      <c r="B58" s="261" t="e">
        <f t="shared" ref="B58:B65" si="17">ROUND($C$48*C58*D58,0)</f>
        <v>#DIV/0!</v>
      </c>
      <c r="C58" s="199">
        <f t="shared" si="16"/>
        <v>0</v>
      </c>
      <c r="D58" s="1163">
        <v>0.25</v>
      </c>
      <c r="E58" s="693"/>
      <c r="F58" s="1102" t="e">
        <f t="shared" si="15"/>
        <v>#DIV/0!</v>
      </c>
      <c r="G58" s="3317"/>
      <c r="H58" s="1103">
        <f>项目基本情况!B37</f>
        <v>0</v>
      </c>
      <c r="I58" s="1107">
        <f>SUMIF(修正!A45:A56,H58,修正!C45:C56)</f>
        <v>0</v>
      </c>
      <c r="J58" s="1111"/>
      <c r="K58" s="1144"/>
      <c r="L58" s="940"/>
      <c r="M58" s="940"/>
      <c r="N58" s="940"/>
      <c r="O58" s="940"/>
    </row>
    <row r="59" spans="1:15" s="691" customFormat="1">
      <c r="A59" s="692" t="s">
        <v>2770</v>
      </c>
      <c r="B59" s="261" t="e">
        <f t="shared" si="17"/>
        <v>#DIV/0!</v>
      </c>
      <c r="C59" s="199">
        <f t="shared" si="16"/>
        <v>0</v>
      </c>
      <c r="D59" s="1163">
        <v>0.25</v>
      </c>
      <c r="E59" s="693"/>
      <c r="F59" s="1102" t="e">
        <f t="shared" si="15"/>
        <v>#DIV/0!</v>
      </c>
      <c r="G59" s="3317"/>
      <c r="H59" s="1103">
        <f>项目基本情况!B37</f>
        <v>0</v>
      </c>
      <c r="I59" s="1107">
        <f>SUMIF(修正!A45:A56,H59,修正!D45:D56)</f>
        <v>0</v>
      </c>
      <c r="J59" s="1111"/>
      <c r="K59" s="1143"/>
      <c r="L59" s="940"/>
      <c r="M59" s="940"/>
      <c r="N59" s="940"/>
      <c r="O59" s="940"/>
    </row>
    <row r="60" spans="1:15" s="691" customFormat="1">
      <c r="A60" s="692" t="s">
        <v>2771</v>
      </c>
      <c r="B60" s="261" t="e">
        <f t="shared" si="17"/>
        <v>#DIV/0!</v>
      </c>
      <c r="C60" s="199">
        <f t="shared" si="16"/>
        <v>0</v>
      </c>
      <c r="D60" s="1163">
        <v>0.25</v>
      </c>
      <c r="E60" s="693"/>
      <c r="F60" s="1102" t="e">
        <f t="shared" si="15"/>
        <v>#DIV/0!</v>
      </c>
      <c r="G60" s="3317"/>
      <c r="H60" s="1103">
        <f>项目基本情况!B37</f>
        <v>0</v>
      </c>
      <c r="I60" s="1107">
        <f>SUMIF(修正!A45:A56,H60,修正!E45:E56)</f>
        <v>0</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10"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v>
      </c>
      <c r="D64" s="1163">
        <v>0.25</v>
      </c>
      <c r="E64" s="260">
        <f>'数据-汇总表'!E14</f>
        <v>0</v>
      </c>
      <c r="F64" s="1102" t="e">
        <f t="shared" si="15"/>
        <v>#DIV/0!</v>
      </c>
      <c r="G64" s="2710" t="s">
        <v>2768</v>
      </c>
      <c r="H64" s="1103">
        <f>项目基本情况!B37</f>
        <v>0</v>
      </c>
      <c r="I64" s="1107">
        <f>SUMIF(修正!A45:A56,H64,修正!H45:H56)</f>
        <v>0</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11"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708.8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12" t="s">
        <v>2781</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6"/>
    </row>
    <row r="71" spans="1:17" s="117" customFormat="1" ht="30" customHeight="1">
      <c r="A71" s="2713" t="s">
        <v>2782</v>
      </c>
      <c r="B71" s="331" t="str">
        <f>"北京市平均增长率"&amp;TEXT(SUMIF(基准地价修正!N21:N25,A71,基准地价修正!P21:P25),"0.00%")</f>
        <v>北京市平均增长率2.08%</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9"/>
      <c r="M4" s="1130"/>
      <c r="N4" s="1130"/>
      <c r="O4" s="1130"/>
      <c r="P4" s="3266" t="s">
        <v>2650</v>
      </c>
      <c r="Q4" s="3267"/>
      <c r="R4" s="3249" t="s">
        <v>2646</v>
      </c>
      <c r="S4" s="3250"/>
      <c r="T4" s="3249" t="s">
        <v>2647</v>
      </c>
      <c r="U4" s="3250"/>
      <c r="V4" s="3274" t="s">
        <v>2648</v>
      </c>
      <c r="W4" s="3274"/>
      <c r="X4" s="1812"/>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9"/>
      <c r="M5" s="1130"/>
      <c r="N5" s="1130"/>
      <c r="O5" s="1130"/>
      <c r="P5" s="3268"/>
      <c r="Q5" s="3269"/>
      <c r="R5" s="3251"/>
      <c r="S5" s="3252"/>
      <c r="T5" s="3251"/>
      <c r="U5" s="3252"/>
      <c r="V5" s="3274"/>
      <c r="W5" s="3274"/>
      <c r="X5" s="1812"/>
      <c r="Y5" s="3251"/>
      <c r="Z5" s="3252"/>
      <c r="AA5" s="3245"/>
      <c r="AB5" s="3245"/>
      <c r="AC5" s="3245"/>
    </row>
    <row r="6" spans="1:29" ht="15.75" thickBot="1">
      <c r="A6" s="405"/>
      <c r="B6" s="406"/>
      <c r="C6" s="3318" t="s">
        <v>2796</v>
      </c>
      <c r="D6" s="3319"/>
      <c r="E6" s="3320" t="s">
        <v>2796</v>
      </c>
      <c r="F6" s="3321"/>
      <c r="G6" s="3318" t="s">
        <v>2796</v>
      </c>
      <c r="H6" s="3319"/>
      <c r="I6" s="3318" t="s">
        <v>2796</v>
      </c>
      <c r="J6" s="3319"/>
      <c r="K6" s="609" t="s">
        <v>2546</v>
      </c>
      <c r="L6" s="1129"/>
      <c r="M6" s="1130"/>
      <c r="N6" s="1130"/>
      <c r="O6" s="1130"/>
      <c r="P6" s="3270"/>
      <c r="Q6" s="3271"/>
      <c r="R6" s="3251"/>
      <c r="S6" s="3252"/>
      <c r="T6" s="3272"/>
      <c r="U6" s="3273"/>
      <c r="V6" s="3274"/>
      <c r="W6" s="3274"/>
      <c r="X6" s="1812"/>
      <c r="Y6" s="3272"/>
      <c r="Z6" s="3273"/>
      <c r="AA6" s="3246"/>
      <c r="AB6" s="3246"/>
      <c r="AC6" s="3246"/>
    </row>
    <row r="7" spans="1:29" s="117" customFormat="1" ht="15.75" thickBot="1">
      <c r="A7" s="407" t="s">
        <v>2547</v>
      </c>
      <c r="B7" s="408"/>
      <c r="C7" s="409">
        <f>'数据-取费表'!B2</f>
        <v>43914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47"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79" t="s">
        <v>2554</v>
      </c>
      <c r="Q9" s="1794"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109</v>
      </c>
      <c r="G10" s="431"/>
      <c r="H10" s="135">
        <f>ROUND(100/'数据-取费表'!G16,0)</f>
        <v>109</v>
      </c>
      <c r="I10" s="431"/>
      <c r="J10" s="135">
        <f>ROUND(100/'数据-取费表'!G16,0)</f>
        <v>109</v>
      </c>
      <c r="K10" s="671"/>
      <c r="L10" s="1134"/>
      <c r="M10" s="1135"/>
      <c r="N10" s="1135"/>
      <c r="O10" s="1136"/>
      <c r="P10" s="3279"/>
      <c r="Q10" s="1794" t="str">
        <f t="shared" si="6"/>
        <v>土地使用年限（年）</v>
      </c>
      <c r="R10" s="769" t="s">
        <v>17</v>
      </c>
      <c r="S10" s="770">
        <f t="shared" si="0"/>
        <v>109</v>
      </c>
      <c r="T10" s="769" t="s">
        <v>17</v>
      </c>
      <c r="U10" s="770">
        <f t="shared" si="1"/>
        <v>109</v>
      </c>
      <c r="V10" s="769" t="s">
        <v>17</v>
      </c>
      <c r="W10" s="770">
        <f t="shared" si="2"/>
        <v>109</v>
      </c>
      <c r="X10" s="771"/>
      <c r="Y10" s="3090"/>
      <c r="Z10" s="55" t="str">
        <f t="shared" si="7"/>
        <v>土地使用年限（年）</v>
      </c>
      <c r="AA10" s="772">
        <f t="shared" si="3"/>
        <v>0.91743119266055051</v>
      </c>
      <c r="AB10" s="772">
        <f t="shared" si="4"/>
        <v>0.91743119266055051</v>
      </c>
      <c r="AC10" s="772">
        <f t="shared" si="5"/>
        <v>0.91743119266055051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79"/>
      <c r="Q11" s="1794"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29" s="117"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79"/>
      <c r="Q12" s="1794">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79"/>
      <c r="Q14" s="1794">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57">
      <c r="A15" s="439" t="s">
        <v>2558</v>
      </c>
      <c r="B15" s="628" t="s">
        <v>2797</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81" t="s">
        <v>2559</v>
      </c>
      <c r="Q15" s="1809" t="str">
        <f t="shared" si="6"/>
        <v>产业集聚程度</v>
      </c>
      <c r="R15" s="773" t="s">
        <v>17</v>
      </c>
      <c r="S15" s="774">
        <f t="shared" si="0"/>
        <v>100</v>
      </c>
      <c r="T15" s="773" t="s">
        <v>17</v>
      </c>
      <c r="U15" s="774">
        <f t="shared" si="1"/>
        <v>100</v>
      </c>
      <c r="V15" s="773" t="s">
        <v>17</v>
      </c>
      <c r="W15" s="774">
        <f t="shared" si="2"/>
        <v>100</v>
      </c>
      <c r="X15" s="1812"/>
      <c r="Y15" s="3281" t="s">
        <v>2559</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82"/>
      <c r="Q16" s="1809"/>
      <c r="R16" s="773"/>
      <c r="S16" s="774"/>
      <c r="T16" s="773"/>
      <c r="U16" s="774"/>
      <c r="V16" s="773"/>
      <c r="W16" s="774"/>
      <c r="X16" s="1812"/>
      <c r="Y16" s="3282"/>
      <c r="Z16" s="1813"/>
      <c r="AA16" s="1810">
        <v>1</v>
      </c>
      <c r="AB16" s="1810">
        <v>1</v>
      </c>
      <c r="AC16" s="1810">
        <v>1</v>
      </c>
    </row>
    <row r="17" spans="1:29" ht="85.5">
      <c r="A17" s="427"/>
      <c r="B17" s="630" t="s">
        <v>2708</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82"/>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82"/>
      <c r="Q18" s="1809"/>
      <c r="R18" s="773"/>
      <c r="S18" s="774"/>
      <c r="T18" s="773"/>
      <c r="U18" s="774"/>
      <c r="V18" s="773"/>
      <c r="W18" s="774"/>
      <c r="X18" s="1812"/>
      <c r="Y18" s="3282"/>
      <c r="Z18" s="1813"/>
      <c r="AA18" s="1810">
        <v>1</v>
      </c>
      <c r="AB18" s="1810">
        <v>1</v>
      </c>
      <c r="AC18" s="1810">
        <v>1</v>
      </c>
    </row>
    <row r="19" spans="1:29" ht="15">
      <c r="A19" s="427"/>
      <c r="B19" s="630" t="s">
        <v>2747</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82"/>
      <c r="Q19" s="1809" t="str">
        <f t="shared" ref="Q19:Q33" si="8">B19</f>
        <v>区域土地利用方向</v>
      </c>
      <c r="R19" s="773" t="s">
        <v>17</v>
      </c>
      <c r="S19" s="774">
        <f>F19</f>
        <v>100</v>
      </c>
      <c r="T19" s="773" t="s">
        <v>17</v>
      </c>
      <c r="U19" s="774">
        <f>H19</f>
        <v>100</v>
      </c>
      <c r="V19" s="773" t="s">
        <v>17</v>
      </c>
      <c r="W19" s="774">
        <f>J19</f>
        <v>100</v>
      </c>
      <c r="X19" s="1812"/>
      <c r="Y19" s="3282"/>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82"/>
      <c r="Q20" s="1809"/>
      <c r="R20" s="773"/>
      <c r="S20" s="774"/>
      <c r="T20" s="773"/>
      <c r="U20" s="774"/>
      <c r="V20" s="773"/>
      <c r="W20" s="774"/>
      <c r="X20" s="1812"/>
      <c r="Y20" s="3282"/>
      <c r="Z20" s="1813"/>
      <c r="AA20" s="1810"/>
      <c r="AB20" s="1810"/>
      <c r="AC20" s="1810"/>
    </row>
    <row r="21" spans="1:29" ht="71.25">
      <c r="A21" s="403"/>
      <c r="B21" s="630" t="s">
        <v>2798</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82"/>
      <c r="Q21" s="1809" t="str">
        <f t="shared" si="8"/>
        <v>环境状况</v>
      </c>
      <c r="R21" s="773" t="s">
        <v>17</v>
      </c>
      <c r="S21" s="774">
        <f>F21</f>
        <v>100</v>
      </c>
      <c r="T21" s="773" t="s">
        <v>17</v>
      </c>
      <c r="U21" s="774">
        <f>H21</f>
        <v>100</v>
      </c>
      <c r="V21" s="773" t="s">
        <v>17</v>
      </c>
      <c r="W21" s="774">
        <f>J21</f>
        <v>100</v>
      </c>
      <c r="X21" s="1812"/>
      <c r="Y21" s="3282"/>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82"/>
      <c r="Q22" s="1809"/>
      <c r="R22" s="773"/>
      <c r="S22" s="774"/>
      <c r="T22" s="773"/>
      <c r="U22" s="774"/>
      <c r="V22" s="773"/>
      <c r="W22" s="774"/>
      <c r="X22" s="1812"/>
      <c r="Y22" s="3282"/>
      <c r="Z22" s="1813"/>
      <c r="AA22" s="1810">
        <v>1</v>
      </c>
      <c r="AB22" s="1810">
        <v>1</v>
      </c>
      <c r="AC22" s="1810">
        <v>1</v>
      </c>
    </row>
    <row r="23" spans="1:29" s="117" customFormat="1" ht="42.75">
      <c r="A23" s="648"/>
      <c r="B23" s="632" t="s">
        <v>2653</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82"/>
      <c r="Q23" s="1794" t="str">
        <f t="shared" si="8"/>
        <v>公共配套设施</v>
      </c>
      <c r="R23" s="769" t="s">
        <v>17</v>
      </c>
      <c r="S23" s="770">
        <f>F23</f>
        <v>100</v>
      </c>
      <c r="T23" s="769" t="s">
        <v>17</v>
      </c>
      <c r="U23" s="770">
        <f>H23</f>
        <v>100</v>
      </c>
      <c r="V23" s="769" t="s">
        <v>17</v>
      </c>
      <c r="W23" s="770">
        <f>J23</f>
        <v>100</v>
      </c>
      <c r="X23" s="771"/>
      <c r="Y23" s="3282"/>
      <c r="Z23" s="55" t="str">
        <f>Q23</f>
        <v>公共配套设施</v>
      </c>
      <c r="AA23" s="1810">
        <f>D23/F23</f>
        <v>1</v>
      </c>
      <c r="AB23" s="1810">
        <f>D23/H23</f>
        <v>1</v>
      </c>
      <c r="AC23" s="1810">
        <f>D23/J23</f>
        <v>1</v>
      </c>
    </row>
    <row r="24" spans="1:29" s="117" customFormat="1" ht="15">
      <c r="A24" s="648"/>
      <c r="B24" s="631"/>
      <c r="C24" s="2701"/>
      <c r="D24" s="447"/>
      <c r="E24" s="2612"/>
      <c r="F24" s="447"/>
      <c r="G24" s="2612"/>
      <c r="H24" s="447"/>
      <c r="I24" s="446"/>
      <c r="J24" s="447"/>
      <c r="K24" s="671"/>
      <c r="L24" s="1131"/>
      <c r="M24" s="1132"/>
      <c r="N24" s="1132"/>
      <c r="O24" s="1133"/>
      <c r="P24" s="3282"/>
      <c r="Q24" s="1794"/>
      <c r="R24" s="769"/>
      <c r="S24" s="770"/>
      <c r="T24" s="769"/>
      <c r="U24" s="770"/>
      <c r="V24" s="769"/>
      <c r="W24" s="770"/>
      <c r="X24" s="771"/>
      <c r="Y24" s="3282"/>
      <c r="Z24" s="55"/>
      <c r="AA24" s="772">
        <v>1</v>
      </c>
      <c r="AB24" s="772">
        <v>1</v>
      </c>
      <c r="AC24" s="772">
        <v>1</v>
      </c>
    </row>
    <row r="25" spans="1:29" s="117" customFormat="1" ht="28.5">
      <c r="A25" s="648"/>
      <c r="B25" s="632" t="s">
        <v>2654</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82"/>
      <c r="Q25" s="1794" t="str">
        <f t="shared" ref="Q25" si="9">B25</f>
        <v>基础设施水平</v>
      </c>
      <c r="R25" s="769" t="s">
        <v>17</v>
      </c>
      <c r="S25" s="770">
        <f>F25</f>
        <v>100</v>
      </c>
      <c r="T25" s="769" t="s">
        <v>17</v>
      </c>
      <c r="U25" s="770">
        <f>H25</f>
        <v>100</v>
      </c>
      <c r="V25" s="769" t="s">
        <v>17</v>
      </c>
      <c r="W25" s="770">
        <f>J25</f>
        <v>100</v>
      </c>
      <c r="X25" s="771"/>
      <c r="Y25" s="3282"/>
      <c r="Z25" s="55" t="str">
        <f>Q25</f>
        <v>基础设施水平</v>
      </c>
      <c r="AA25" s="1810">
        <f>D25/F25</f>
        <v>1</v>
      </c>
      <c r="AB25" s="1810">
        <f>D25/H25</f>
        <v>1</v>
      </c>
      <c r="AC25" s="1810">
        <f>D25/J25</f>
        <v>1</v>
      </c>
    </row>
    <row r="26" spans="1:29" s="117" customFormat="1" ht="15">
      <c r="A26" s="648"/>
      <c r="B26" s="631"/>
      <c r="C26" s="2701"/>
      <c r="D26" s="447"/>
      <c r="E26" s="2702"/>
      <c r="F26" s="447"/>
      <c r="G26" s="2702"/>
      <c r="H26" s="447"/>
      <c r="I26" s="2702"/>
      <c r="J26" s="447"/>
      <c r="K26" s="671"/>
      <c r="L26" s="1131"/>
      <c r="M26" s="1132"/>
      <c r="N26" s="1132"/>
      <c r="O26" s="1133"/>
      <c r="P26" s="3282"/>
      <c r="Q26" s="1794"/>
      <c r="R26" s="769"/>
      <c r="S26" s="770"/>
      <c r="T26" s="769"/>
      <c r="U26" s="770"/>
      <c r="V26" s="769"/>
      <c r="W26" s="770"/>
      <c r="X26" s="771"/>
      <c r="Y26" s="3282"/>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8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82"/>
      <c r="Z27" s="1813" t="str">
        <f t="shared" ref="Z27:Z40" si="13">Q27</f>
        <v>临街状况</v>
      </c>
      <c r="AA27" s="1810">
        <f t="shared" si="3"/>
        <v>1</v>
      </c>
      <c r="AB27" s="1810">
        <f t="shared" si="4"/>
        <v>1</v>
      </c>
      <c r="AC27" s="1810">
        <f t="shared" si="5"/>
        <v>1</v>
      </c>
    </row>
    <row r="28" spans="1:29" ht="27">
      <c r="A28" s="427"/>
      <c r="B28" s="632" t="s">
        <v>2690</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82"/>
      <c r="Q28" s="1809" t="str">
        <f t="shared" si="8"/>
        <v>毗邻道路的类型与等级</v>
      </c>
      <c r="R28" s="773" t="s">
        <v>17</v>
      </c>
      <c r="S28" s="774">
        <f t="shared" si="10"/>
        <v>100</v>
      </c>
      <c r="T28" s="773" t="s">
        <v>17</v>
      </c>
      <c r="U28" s="774">
        <f t="shared" si="11"/>
        <v>100</v>
      </c>
      <c r="V28" s="773" t="s">
        <v>17</v>
      </c>
      <c r="W28" s="774">
        <f t="shared" si="12"/>
        <v>100</v>
      </c>
      <c r="X28" s="1812"/>
      <c r="Y28" s="3282"/>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82"/>
      <c r="Q29" s="1809"/>
      <c r="R29" s="773"/>
      <c r="S29" s="774"/>
      <c r="T29" s="773"/>
      <c r="U29" s="774"/>
      <c r="V29" s="773"/>
      <c r="W29" s="774"/>
      <c r="X29" s="1812"/>
      <c r="Y29" s="3282"/>
      <c r="Z29" s="1813"/>
      <c r="AA29" s="1810">
        <v>1</v>
      </c>
      <c r="AB29" s="1810">
        <v>1</v>
      </c>
      <c r="AC29" s="1810">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82"/>
      <c r="Q30" s="1809" t="str">
        <f t="shared" si="8"/>
        <v>土地级别</v>
      </c>
      <c r="R30" s="773" t="s">
        <v>17</v>
      </c>
      <c r="S30" s="774">
        <f t="shared" si="10"/>
        <v>100</v>
      </c>
      <c r="T30" s="773" t="s">
        <v>17</v>
      </c>
      <c r="U30" s="774">
        <f t="shared" si="11"/>
        <v>100</v>
      </c>
      <c r="V30" s="773" t="s">
        <v>17</v>
      </c>
      <c r="W30" s="774">
        <f t="shared" si="12"/>
        <v>100</v>
      </c>
      <c r="X30" s="1812"/>
      <c r="Y30" s="3282"/>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82"/>
      <c r="Q31" s="1809">
        <f t="shared" si="8"/>
        <v>111</v>
      </c>
      <c r="R31" s="773" t="s">
        <v>17</v>
      </c>
      <c r="S31" s="774">
        <f t="shared" si="10"/>
        <v>100</v>
      </c>
      <c r="T31" s="773" t="s">
        <v>17</v>
      </c>
      <c r="U31" s="774">
        <f t="shared" si="11"/>
        <v>100</v>
      </c>
      <c r="V31" s="773" t="s">
        <v>17</v>
      </c>
      <c r="W31" s="774">
        <f t="shared" si="12"/>
        <v>100</v>
      </c>
      <c r="X31" s="1812"/>
      <c r="Y31" s="3282"/>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13" t="s">
        <v>2564</v>
      </c>
      <c r="Q32" s="1809">
        <f t="shared" si="8"/>
        <v>111</v>
      </c>
      <c r="R32" s="773" t="s">
        <v>17</v>
      </c>
      <c r="S32" s="774">
        <f t="shared" si="10"/>
        <v>100</v>
      </c>
      <c r="T32" s="773" t="s">
        <v>17</v>
      </c>
      <c r="U32" s="774">
        <f t="shared" si="11"/>
        <v>100</v>
      </c>
      <c r="V32" s="773" t="s">
        <v>17</v>
      </c>
      <c r="W32" s="774">
        <f t="shared" si="12"/>
        <v>100</v>
      </c>
      <c r="X32" s="1812"/>
      <c r="Y32" s="3286" t="s">
        <v>2564</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6"/>
      <c r="Q33" s="1809">
        <f t="shared" si="8"/>
        <v>111</v>
      </c>
      <c r="R33" s="776" t="s">
        <v>17</v>
      </c>
      <c r="S33" s="777">
        <f t="shared" si="10"/>
        <v>100</v>
      </c>
      <c r="T33" s="776" t="s">
        <v>17</v>
      </c>
      <c r="U33" s="777">
        <f t="shared" si="11"/>
        <v>100</v>
      </c>
      <c r="V33" s="776" t="s">
        <v>17</v>
      </c>
      <c r="W33" s="777">
        <f t="shared" si="12"/>
        <v>100</v>
      </c>
      <c r="X33" s="778"/>
      <c r="Y33" s="3286"/>
      <c r="Z33" s="779">
        <f t="shared" si="13"/>
        <v>111</v>
      </c>
      <c r="AA33" s="1810">
        <f t="shared" si="3"/>
        <v>1</v>
      </c>
      <c r="AB33" s="1810">
        <f t="shared" si="4"/>
        <v>1</v>
      </c>
      <c r="AC33" s="1810">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6"/>
      <c r="Q34" s="1809" t="str">
        <f>B34</f>
        <v>宗地面积</v>
      </c>
      <c r="R34" s="773" t="s">
        <v>17</v>
      </c>
      <c r="S34" s="774" t="e">
        <f t="shared" si="10"/>
        <v>#N/A</v>
      </c>
      <c r="T34" s="773" t="s">
        <v>17</v>
      </c>
      <c r="U34" s="774" t="e">
        <f t="shared" si="11"/>
        <v>#N/A</v>
      </c>
      <c r="V34" s="773" t="s">
        <v>17</v>
      </c>
      <c r="W34" s="774" t="e">
        <f t="shared" si="12"/>
        <v>#N/A</v>
      </c>
      <c r="X34" s="1812"/>
      <c r="Y34" s="3286"/>
      <c r="Z34" s="1813" t="str">
        <f t="shared" si="13"/>
        <v>宗地面积</v>
      </c>
      <c r="AA34" s="1810" t="e">
        <f t="shared" si="3"/>
        <v>#N/A</v>
      </c>
      <c r="AB34" s="1810" t="e">
        <f t="shared" si="4"/>
        <v>#N/A</v>
      </c>
      <c r="AC34" s="1810" t="e">
        <f t="shared" si="5"/>
        <v>#N/A</v>
      </c>
    </row>
    <row r="35" spans="1:29" ht="15">
      <c r="A35" s="471"/>
      <c r="B35" s="421" t="s">
        <v>2751</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86"/>
      <c r="Q35" s="1809" t="str">
        <f t="shared" ref="Q35:Q40" si="14">B35</f>
        <v>宗地形状</v>
      </c>
      <c r="R35" s="773" t="s">
        <v>17</v>
      </c>
      <c r="S35" s="774">
        <f t="shared" si="10"/>
        <v>100</v>
      </c>
      <c r="T35" s="773" t="s">
        <v>17</v>
      </c>
      <c r="U35" s="774">
        <f t="shared" si="11"/>
        <v>100</v>
      </c>
      <c r="V35" s="773" t="s">
        <v>17</v>
      </c>
      <c r="W35" s="774">
        <f t="shared" si="12"/>
        <v>100</v>
      </c>
      <c r="X35" s="1812"/>
      <c r="Y35" s="3286"/>
      <c r="Z35" s="1813" t="str">
        <f t="shared" si="13"/>
        <v>宗地形状</v>
      </c>
      <c r="AA35" s="1810">
        <f t="shared" si="3"/>
        <v>1</v>
      </c>
      <c r="AB35" s="1810">
        <f t="shared" si="4"/>
        <v>1</v>
      </c>
      <c r="AC35" s="1810">
        <f t="shared" si="5"/>
        <v>1</v>
      </c>
    </row>
    <row r="36" spans="1:29" s="117" customFormat="1" ht="15">
      <c r="A36" s="472"/>
      <c r="B36" s="421" t="s">
        <v>2753</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86"/>
      <c r="Q36" s="1809" t="str">
        <f t="shared" si="14"/>
        <v>宗地开发程度</v>
      </c>
      <c r="R36" s="769" t="s">
        <v>17</v>
      </c>
      <c r="S36" s="770">
        <f t="shared" si="10"/>
        <v>100</v>
      </c>
      <c r="T36" s="769" t="s">
        <v>17</v>
      </c>
      <c r="U36" s="770">
        <f t="shared" si="11"/>
        <v>100</v>
      </c>
      <c r="V36" s="769" t="s">
        <v>17</v>
      </c>
      <c r="W36" s="770">
        <f t="shared" si="12"/>
        <v>100</v>
      </c>
      <c r="X36" s="771"/>
      <c r="Y36" s="3286"/>
      <c r="Z36" s="55" t="str">
        <f t="shared" si="13"/>
        <v>宗地开发程度</v>
      </c>
      <c r="AA36" s="772">
        <f t="shared" si="3"/>
        <v>1</v>
      </c>
      <c r="AB36" s="772">
        <f t="shared" si="4"/>
        <v>1</v>
      </c>
      <c r="AC36" s="772">
        <f t="shared" si="5"/>
        <v>1</v>
      </c>
    </row>
    <row r="37" spans="1:29" ht="15">
      <c r="A37" s="471"/>
      <c r="B37" s="421" t="s">
        <v>2754</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86" t="s">
        <v>2564</v>
      </c>
      <c r="Q37" s="1809" t="str">
        <f t="shared" si="14"/>
        <v>工程地质条件</v>
      </c>
      <c r="R37" s="773" t="s">
        <v>17</v>
      </c>
      <c r="S37" s="774">
        <f t="shared" si="10"/>
        <v>100</v>
      </c>
      <c r="T37" s="773" t="s">
        <v>17</v>
      </c>
      <c r="U37" s="774">
        <f t="shared" si="11"/>
        <v>100</v>
      </c>
      <c r="V37" s="773" t="s">
        <v>17</v>
      </c>
      <c r="W37" s="774">
        <f t="shared" si="12"/>
        <v>100</v>
      </c>
      <c r="X37" s="1812"/>
      <c r="Y37" s="3286" t="s">
        <v>2564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6"/>
      <c r="Q38" s="1809">
        <f t="shared" si="14"/>
        <v>111</v>
      </c>
      <c r="R38" s="773" t="s">
        <v>17</v>
      </c>
      <c r="S38" s="774">
        <f t="shared" si="10"/>
        <v>100</v>
      </c>
      <c r="T38" s="773" t="s">
        <v>17</v>
      </c>
      <c r="U38" s="774">
        <f t="shared" si="11"/>
        <v>100</v>
      </c>
      <c r="V38" s="773" t="s">
        <v>17</v>
      </c>
      <c r="W38" s="774">
        <f t="shared" si="12"/>
        <v>100</v>
      </c>
      <c r="X38" s="1812"/>
      <c r="Y38" s="328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6"/>
      <c r="Q39" s="1809">
        <f t="shared" si="14"/>
        <v>111</v>
      </c>
      <c r="R39" s="773" t="s">
        <v>17</v>
      </c>
      <c r="S39" s="774">
        <f t="shared" si="10"/>
        <v>100</v>
      </c>
      <c r="T39" s="773" t="s">
        <v>17</v>
      </c>
      <c r="U39" s="774">
        <f t="shared" si="11"/>
        <v>100</v>
      </c>
      <c r="V39" s="773" t="s">
        <v>17</v>
      </c>
      <c r="W39" s="774">
        <f t="shared" si="12"/>
        <v>100</v>
      </c>
      <c r="X39" s="1812"/>
      <c r="Y39" s="3286"/>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6"/>
      <c r="Q40" s="1809">
        <f t="shared" si="14"/>
        <v>111</v>
      </c>
      <c r="R40" s="776" t="s">
        <v>17</v>
      </c>
      <c r="S40" s="777">
        <f t="shared" si="10"/>
        <v>100</v>
      </c>
      <c r="T40" s="776" t="s">
        <v>17</v>
      </c>
      <c r="U40" s="777">
        <f t="shared" si="11"/>
        <v>100</v>
      </c>
      <c r="V40" s="776" t="s">
        <v>17</v>
      </c>
      <c r="W40" s="777">
        <f t="shared" si="12"/>
        <v>100</v>
      </c>
      <c r="X40" s="778"/>
      <c r="Y40" s="3286"/>
      <c r="Z40" s="779">
        <f t="shared" si="13"/>
        <v>111</v>
      </c>
      <c r="AA40" s="1810">
        <f t="shared" si="3"/>
        <v>1</v>
      </c>
      <c r="AB40" s="1810">
        <f t="shared" si="4"/>
        <v>1</v>
      </c>
      <c r="AC40" s="1810">
        <f t="shared" si="5"/>
        <v>1</v>
      </c>
    </row>
    <row r="41" spans="1:29" ht="15">
      <c r="A41" s="478" t="s">
        <v>2719</v>
      </c>
      <c r="B41" s="2705" t="s">
        <v>2799</v>
      </c>
      <c r="C41" s="681" t="s">
        <v>1</v>
      </c>
      <c r="D41" s="480"/>
      <c r="E41" s="481"/>
      <c r="F41" s="482"/>
      <c r="G41" s="483"/>
      <c r="H41" s="484"/>
      <c r="I41" s="481"/>
      <c r="J41" s="484"/>
      <c r="K41" s="782"/>
      <c r="L41" s="1142"/>
      <c r="M41" s="1130"/>
      <c r="N41" s="1130"/>
      <c r="O41" s="1143"/>
      <c r="P41" s="3279" t="str">
        <f>A41</f>
        <v>成交单价</v>
      </c>
      <c r="Q41" s="3279"/>
      <c r="R41" s="3274">
        <f>E41</f>
        <v>0</v>
      </c>
      <c r="S41" s="3274"/>
      <c r="T41" s="3274">
        <f>G41</f>
        <v>0</v>
      </c>
      <c r="U41" s="3274"/>
      <c r="V41" s="3274">
        <f>I41</f>
        <v>0</v>
      </c>
      <c r="W41" s="3274"/>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79" t="str">
        <f>A42</f>
        <v>比较价值（元/平方米）</v>
      </c>
      <c r="Q42" s="3279"/>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76" t="str">
        <f>A43</f>
        <v>估价对象XX用房的比较价值（楼面单价，元/平方米）</v>
      </c>
      <c r="Q43" s="3277"/>
      <c r="R43" s="3315" t="e">
        <f>ROUND(AVERAGE(R42:V42),0)</f>
        <v>#DIV/0!</v>
      </c>
      <c r="S43" s="3315"/>
      <c r="T43" s="3315"/>
      <c r="U43" s="3315"/>
      <c r="V43" s="3315"/>
      <c r="W43" s="331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6" t="s">
        <v>2759</v>
      </c>
      <c r="D50" s="2707" t="s">
        <v>2760</v>
      </c>
      <c r="E50" s="685" t="s">
        <v>2761</v>
      </c>
      <c r="F50" s="686" t="s">
        <v>2762</v>
      </c>
      <c r="G50" s="3262" t="s">
        <v>2763</v>
      </c>
      <c r="H50" s="3316"/>
      <c r="I50" s="1813" t="s">
        <v>2800</v>
      </c>
      <c r="J50" s="1813">
        <f>项目基本情况!F35</f>
        <v>0</v>
      </c>
      <c r="K50" s="2709" t="s">
        <v>2765</v>
      </c>
      <c r="L50" s="1105"/>
      <c r="M50" s="1143"/>
      <c r="N50" s="1143"/>
      <c r="O50" s="1143"/>
    </row>
    <row r="51" spans="1:17" s="691" customFormat="1">
      <c r="A51" s="687" t="s">
        <v>2766</v>
      </c>
      <c r="B51" s="688" t="e">
        <f>C43</f>
        <v>#DIV/0!</v>
      </c>
      <c r="C51" s="689">
        <v>1</v>
      </c>
      <c r="D51" s="1162">
        <v>1</v>
      </c>
      <c r="E51" s="689">
        <f>'数据-汇总表'!E8+'数据-汇总表'!E9</f>
        <v>708.8</v>
      </c>
      <c r="F51" s="690" t="e">
        <f t="shared" ref="F51:F60" si="15">ROUND(B51*E51/10000,0)</f>
        <v>#DIV/0!</v>
      </c>
      <c r="G51" s="3261"/>
      <c r="H51" s="3279"/>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317"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317"/>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317"/>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317"/>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10"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10"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11"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12" t="s">
        <v>2781</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6"/>
    </row>
    <row r="66" spans="1:17" s="117" customFormat="1" ht="30.75" customHeight="1">
      <c r="A66" s="2717" t="s">
        <v>2801</v>
      </c>
      <c r="B66" s="331" t="str">
        <f>"北京市平均增长率"&amp;TEXT(基准地价修正!P24,"0.00%")</f>
        <v>北京市平均增长率1.33%</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2803</v>
      </c>
      <c r="B1" s="240"/>
      <c r="C1" s="244" t="s">
        <v>2804</v>
      </c>
      <c r="D1" s="387">
        <f>SUM(D29:D30,D33:D39)</f>
        <v>0</v>
      </c>
      <c r="E1" s="2718"/>
      <c r="F1" s="2718"/>
      <c r="G1" s="2718"/>
      <c r="H1" s="2718"/>
      <c r="I1" s="2718"/>
      <c r="J1" s="2718"/>
      <c r="K1" s="1369"/>
      <c r="L1" s="2719" t="s">
        <v>2805</v>
      </c>
      <c r="M1" s="1079">
        <f>SUMPRODUCT((区片价!B5:B9=I2)*(区片价!C3:F3=E2)*(区片价!C5:F9))</f>
        <v>0</v>
      </c>
      <c r="N1" s="1082">
        <f>SUMPRODUCT((因素修正幅度!B5:B9=I2)*(因素修正幅度!C3:F3=E2)*(因素修正幅度!C5:F9))</f>
        <v>0</v>
      </c>
      <c r="O1" s="2720"/>
      <c r="P1" s="2720"/>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t="e">
        <f>C26</f>
        <v>#DIV/0!</v>
      </c>
      <c r="C2" s="2722" t="s">
        <v>2812</v>
      </c>
      <c r="D2" s="2723" t="s">
        <v>2813</v>
      </c>
      <c r="E2" s="2724"/>
      <c r="F2" s="2723" t="s">
        <v>2814</v>
      </c>
      <c r="G2" s="2725">
        <f>IF(E2="商业",项目基本情况!B37,IF(E2="办公",项目基本情况!C37,IF(E2="住宅",项目基本情况!D37,项目基本情况!E37)))</f>
        <v>0</v>
      </c>
      <c r="H2" s="2723" t="s">
        <v>2815</v>
      </c>
      <c r="I2" s="2725">
        <f>IF(E2="商业",项目基本情况!B38,IF(E2="办公",项目基本情况!C38,IF(E2="住宅",项目基本情况!D38,项目基本情况!E38)))</f>
        <v>0</v>
      </c>
      <c r="J2" s="2726"/>
      <c r="K2" s="1369"/>
      <c r="L2" s="2727" t="s">
        <v>2816</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2817</v>
      </c>
      <c r="B3" s="247" t="e">
        <f>ROUND(B2*10000/D1,0)</f>
        <v>#DIV/0!</v>
      </c>
      <c r="C3" s="2722" t="s">
        <v>2818</v>
      </c>
      <c r="D3" s="2723" t="s">
        <v>2819</v>
      </c>
      <c r="E3" s="2728"/>
      <c r="F3" s="2729" t="s">
        <v>2820</v>
      </c>
      <c r="G3" s="915" t="e">
        <f>IF(F3="宗地容积率",'数据-汇总表'!I4,IF(F3="估价对象容积率",'数据-汇总表'!I6,'数据-汇总表'!I7))</f>
        <v>#DIV/0!</v>
      </c>
      <c r="H3" s="197" t="s">
        <v>2821</v>
      </c>
      <c r="I3" s="943"/>
      <c r="J3" s="2726" t="s">
        <v>2822</v>
      </c>
      <c r="K3" s="1369"/>
      <c r="L3" s="2727" t="s">
        <v>2823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38"/>
      <c r="B4" s="3339"/>
      <c r="C4" s="3339"/>
      <c r="D4" s="3340"/>
      <c r="E4" s="3340"/>
      <c r="F4" s="3340"/>
      <c r="G4" s="3340"/>
      <c r="H4" s="3340"/>
      <c r="I4" s="3340"/>
      <c r="J4" s="3341"/>
      <c r="K4" s="1369"/>
      <c r="L4" s="2727" t="s">
        <v>2824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2825</v>
      </c>
      <c r="C5" s="916" t="e">
        <f>ROUND(IF(E2="商业",C6*C7+C16,(IF(E2="住宅",C6*C12+C16,C6+C16))),0)</f>
        <v>#DIV/0!</v>
      </c>
      <c r="D5" s="1786" t="e">
        <f>ROUND(C6+C16,0)</f>
        <v>#DIV/0!</v>
      </c>
      <c r="E5" s="1786"/>
      <c r="F5" s="2732"/>
      <c r="G5" s="2733"/>
      <c r="H5" s="2733"/>
      <c r="I5" s="2733"/>
      <c r="J5" s="2734"/>
      <c r="K5" s="2735"/>
      <c r="L5" s="2727" t="s">
        <v>2826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2827</v>
      </c>
      <c r="B6" s="2741" t="s">
        <v>2828</v>
      </c>
      <c r="C6" s="917">
        <f>SUMIF(L1:L12,G2,M1:M12)</f>
        <v>0</v>
      </c>
      <c r="D6" s="2742" t="s">
        <v>2829</v>
      </c>
      <c r="E6" s="2743"/>
      <c r="F6" s="2743"/>
      <c r="G6" s="2744"/>
      <c r="H6" s="2744"/>
      <c r="I6" s="2744"/>
      <c r="J6" s="2745"/>
      <c r="K6" s="1841"/>
      <c r="L6" s="2727" t="s">
        <v>2830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322" t="str">
        <f>IF(E2="商业",IF(C8="不临58条商业街","",2),"")</f>
        <v/>
      </c>
      <c r="B7" s="2746" t="s">
        <v>2831</v>
      </c>
      <c r="C7" s="918" t="e">
        <f>IF(C8="不临58条商业街",1,ROUND(1+(1.6*E8+1.2*E9+0.8*E10+0.4*E11)*C9,4))</f>
        <v>#DIV/0!</v>
      </c>
      <c r="D7" s="2747" t="s">
        <v>2832</v>
      </c>
      <c r="E7" s="944"/>
      <c r="F7" s="2748"/>
      <c r="G7" s="2749"/>
      <c r="H7" s="2749"/>
      <c r="I7" s="2749"/>
      <c r="J7" s="2750"/>
      <c r="K7" s="1841"/>
      <c r="L7" s="2727" t="s">
        <v>2833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t="e">
        <f>G3</f>
        <v>#DIV/0!</v>
      </c>
      <c r="AA7" s="1605"/>
      <c r="AB7" s="1605"/>
      <c r="AC7" s="1606"/>
      <c r="AD7" s="1607"/>
      <c r="AE7" s="1607"/>
      <c r="AF7" s="1607"/>
      <c r="AG7" s="1607"/>
      <c r="AH7" s="1607"/>
      <c r="AI7" s="1607"/>
      <c r="AJ7" s="1608"/>
    </row>
    <row r="8" spans="1:36" ht="15">
      <c r="A8" s="3342"/>
      <c r="B8" s="197" t="s">
        <v>2836</v>
      </c>
      <c r="C8" s="2751"/>
      <c r="D8" s="919" t="s">
        <v>139</v>
      </c>
      <c r="E8" s="920" t="e">
        <f>ROUND(C11/E7,4)</f>
        <v>#DIV/0!</v>
      </c>
      <c r="F8" s="2752" t="s">
        <v>2837</v>
      </c>
      <c r="G8" s="2753"/>
      <c r="H8" s="2753"/>
      <c r="I8" s="2753"/>
      <c r="J8" s="2754"/>
      <c r="K8" s="1369"/>
      <c r="L8" s="2727"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35" t="s">
        <v>2839</v>
      </c>
      <c r="X8" s="333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42"/>
      <c r="B9" s="197" t="s">
        <v>2852</v>
      </c>
      <c r="C9" s="921">
        <f>SUMIF(修正!C59:C119,C8,修正!E59:E119)</f>
        <v>0</v>
      </c>
      <c r="D9" s="199" t="s">
        <v>140</v>
      </c>
      <c r="E9" s="199" t="e">
        <f>ROUND(C11/E7,4)</f>
        <v>#DIV/0!</v>
      </c>
      <c r="F9" s="2752" t="s">
        <v>2853</v>
      </c>
      <c r="G9" s="2753"/>
      <c r="H9" s="2753"/>
      <c r="I9" s="2753"/>
      <c r="J9" s="2754"/>
      <c r="K9" s="1369"/>
      <c r="L9" s="2727"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3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42"/>
      <c r="B10" s="197" t="s">
        <v>2857</v>
      </c>
      <c r="C10" s="199">
        <f>SUMIF(修正!C59:C119,C8,修正!F59:F119)</f>
        <v>0</v>
      </c>
      <c r="D10" s="199" t="s">
        <v>141</v>
      </c>
      <c r="E10" s="199" t="e">
        <f>ROUND(C11/E7,4)</f>
        <v>#DIV/0!</v>
      </c>
      <c r="F10" s="2752" t="s">
        <v>2858</v>
      </c>
      <c r="G10" s="2753"/>
      <c r="H10" s="2753"/>
      <c r="I10" s="2753"/>
      <c r="J10" s="2754"/>
      <c r="K10" s="1369"/>
      <c r="L10" s="2727"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3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42"/>
      <c r="B11" s="2755" t="s">
        <v>2860</v>
      </c>
      <c r="C11" s="922">
        <f>C10/4</f>
        <v>0</v>
      </c>
      <c r="D11" s="922" t="s">
        <v>142</v>
      </c>
      <c r="E11" s="922" t="e">
        <f>ROUND(C11/E7,4)</f>
        <v>#DIV/0!</v>
      </c>
      <c r="F11" s="2756" t="s">
        <v>2861</v>
      </c>
      <c r="G11" s="2757"/>
      <c r="H11" s="2757"/>
      <c r="I11" s="2757"/>
      <c r="J11" s="2758"/>
      <c r="K11" s="1369"/>
      <c r="L11" s="2727"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37"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322" t="s">
        <v>2865</v>
      </c>
      <c r="B12" s="2759" t="s">
        <v>2866</v>
      </c>
      <c r="C12" s="918">
        <f>ROUND(C15*D15*E15*F15*G15*H15*I15*J15,4)</f>
        <v>1</v>
      </c>
      <c r="D12" s="2760" t="s">
        <v>2867</v>
      </c>
      <c r="E12" s="2761"/>
      <c r="F12" s="2761"/>
      <c r="G12" s="2762"/>
      <c r="H12" s="2762"/>
      <c r="I12" s="2762"/>
      <c r="J12" s="2763"/>
      <c r="K12" s="1369"/>
      <c r="L12" s="2764"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3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43"/>
      <c r="B13" s="2765" t="s">
        <v>2870</v>
      </c>
      <c r="C13" s="2766" t="s">
        <v>2871</v>
      </c>
      <c r="D13" s="1807" t="s">
        <v>2872</v>
      </c>
      <c r="E13" s="1807" t="s">
        <v>2873</v>
      </c>
      <c r="F13" s="30" t="s">
        <v>2874</v>
      </c>
      <c r="G13" s="2767" t="s">
        <v>2875</v>
      </c>
      <c r="H13" s="2767" t="s">
        <v>2875</v>
      </c>
      <c r="I13" s="2767" t="s">
        <v>2875</v>
      </c>
      <c r="J13" s="2768" t="s">
        <v>2875</v>
      </c>
      <c r="K13" s="1369"/>
      <c r="L13" s="1369"/>
      <c r="M13" s="1369"/>
      <c r="N13" s="1369"/>
      <c r="O13" s="1369"/>
      <c r="P13" s="1369"/>
      <c r="Q13" s="1369"/>
      <c r="R13" s="1601">
        <v>12</v>
      </c>
      <c r="S13" s="1602"/>
      <c r="T13" s="1601" t="e">
        <f t="shared" si="0"/>
        <v>#DIV/0!</v>
      </c>
      <c r="U13" s="1602"/>
      <c r="V13" s="1601" t="e">
        <f t="shared" si="1"/>
        <v>#DIV/0!</v>
      </c>
      <c r="W13" s="3337"/>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43"/>
      <c r="B14" s="2769"/>
      <c r="C14" s="2770"/>
      <c r="D14" s="2771"/>
      <c r="E14" s="2771"/>
      <c r="F14" s="2772"/>
      <c r="G14" s="2773" t="s">
        <v>2876</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44"/>
      <c r="B15" s="2777" t="s">
        <v>2877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22" t="s">
        <v>2882</v>
      </c>
      <c r="B16" s="2746" t="s">
        <v>2883</v>
      </c>
      <c r="C16" s="2933" t="e">
        <f>ROUND(IF(F17="与级别开发程度一致",0,(G17-E17)/C17),0)</f>
        <v>#DIV/0!</v>
      </c>
      <c r="D16" s="3333" t="s">
        <v>2887</v>
      </c>
      <c r="E16" s="3334"/>
      <c r="F16" s="3333" t="s">
        <v>2884</v>
      </c>
      <c r="G16" s="3334"/>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3"/>
      <c r="B17" s="2944" t="s">
        <v>2886</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2889</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2890</v>
      </c>
      <c r="C19" s="923" t="e">
        <f>ROUND(IF(H19="按公示增长率计算",SUMPRODUCT((地价!A3:A29=YEAR(G19)&amp;"-"&amp;ROUNDUP(MONTH(G19)/3,0))*(地价!X2:AB2=E2)*(地价!X3:AB29)),IF(H19="地价指数",M20/M19,(1+I19)^O19)),4)</f>
        <v>#VALUE!</v>
      </c>
      <c r="D19" s="2790" t="s">
        <v>2891</v>
      </c>
      <c r="E19" s="924">
        <v>41640</v>
      </c>
      <c r="F19" s="2790" t="s">
        <v>2892</v>
      </c>
      <c r="G19" s="925">
        <f>'数据-取费表'!B2</f>
        <v>43914</v>
      </c>
      <c r="H19" s="2791"/>
      <c r="I19" s="926" t="str">
        <f>IF(H19="季度增幅（自定义）",SUMIF(N21:N24,E2,O21:O24),"")</f>
        <v/>
      </c>
      <c r="J19" s="2788"/>
      <c r="K19" s="1376"/>
      <c r="L19" s="2792" t="s">
        <v>2893</v>
      </c>
      <c r="M19" s="1733">
        <f>ROUND(SUMIF(地价!B2:F2,E2,地价!B29:F29),0)</f>
        <v>0</v>
      </c>
      <c r="N19" s="2793" t="s">
        <v>2894</v>
      </c>
      <c r="O19" s="927">
        <f>ROUNDDOWN(DATEDIF(E19,G19,"M")/3,0)</f>
        <v>24</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2895</v>
      </c>
      <c r="C20" s="928" t="e">
        <f>ROUND(POWER(1+G20,J20-I20)*(POWER(1+G20,I20)-1)/(POWER(1+G20,J20)-1),4)</f>
        <v>#DIV/0!</v>
      </c>
      <c r="D20" s="2799" t="s">
        <v>2896</v>
      </c>
      <c r="E20" s="1767">
        <f ca="1">存贷款利率!D4/100</f>
        <v>4.3499999999999997E-2</v>
      </c>
      <c r="F20" s="2799" t="s">
        <v>2888</v>
      </c>
      <c r="G20" s="933">
        <f>SUMIF(M26:P26,E2,M28:P28)</f>
        <v>0</v>
      </c>
      <c r="H20" s="2799" t="s">
        <v>2897</v>
      </c>
      <c r="I20" s="934" t="e">
        <f>SUMIF('数据-取费表'!C6:C15,E2,'数据-取费表'!F6:F15)/COUNTIF('数据-取费表'!C6:C15,E2)</f>
        <v>#DIV/0!</v>
      </c>
      <c r="J20" s="935">
        <f>IF(E2="住宅",70,IF(E2="商业",40,50))</f>
        <v>50</v>
      </c>
      <c r="K20" s="1376"/>
      <c r="L20" s="2800" t="s">
        <v>2898</v>
      </c>
      <c r="M20" s="1734">
        <f>ROUND(SUMPRODUCT((地价!A4:A29=YEAR(G19)&amp;"-"&amp;ROUNDUP(MONTH(G19)/3,0))*(地价!B2:F2=E2)*(地价!B4:F29)),0)</f>
        <v>0</v>
      </c>
      <c r="N20" s="2801" t="s">
        <v>2899</v>
      </c>
      <c r="O20" s="2802" t="s">
        <v>2900</v>
      </c>
      <c r="P20" s="2803" t="s">
        <v>2901</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2902</v>
      </c>
      <c r="C21" s="936" t="e">
        <f>IF(B21="容积率修正",IF(G3&lt;=10,D22,J22),C23)</f>
        <v>#DIV/0!</v>
      </c>
      <c r="D21" s="2806"/>
      <c r="E21" s="2806"/>
      <c r="F21" s="2806"/>
      <c r="G21" s="2806"/>
      <c r="H21" s="2806"/>
      <c r="I21" s="2806"/>
      <c r="J21" s="2807"/>
      <c r="K21" s="1376"/>
      <c r="N21" s="2808" t="s">
        <v>2903</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9" customFormat="1" ht="14.25">
      <c r="A22" s="2665" t="s">
        <v>2904</v>
      </c>
      <c r="B22" s="2809" t="s">
        <v>2905</v>
      </c>
      <c r="C22" s="1809" t="s">
        <v>2906</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8" t="s">
        <v>2907</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5" t="s">
        <v>2908</v>
      </c>
      <c r="B23" s="2810" t="s">
        <v>2909</v>
      </c>
      <c r="C23" s="1012" t="e">
        <f>ROUND(IF(G3&gt;1,IF(I3&lt;7,SUMPRODUCT((B93:B98=I3)*(C92:N92=G2)*(C93:N98)),SUMIF(C92:N92,G2,C100:N100)),IF(I3&lt;7,SUMPRODUCT((B102:B107=I3)*(C92:N92=G2)*(C102:N107)),SUMIF(C92:N92,G2,C109:N109))),4)</f>
        <v>#DIV/0!</v>
      </c>
      <c r="D23" s="2774"/>
      <c r="E23" s="2774"/>
      <c r="F23" s="2811"/>
      <c r="G23" s="2812"/>
      <c r="H23" s="2813"/>
      <c r="I23" s="2814"/>
      <c r="J23" s="2815"/>
      <c r="K23" s="1369"/>
      <c r="N23" s="2808" t="s">
        <v>2910</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2911</v>
      </c>
      <c r="C24" s="923">
        <f>SUMIF(A45:A88,E2,B45:B88)</f>
        <v>0</v>
      </c>
      <c r="D24" s="2787"/>
      <c r="E24" s="2816"/>
      <c r="F24" s="2816"/>
      <c r="G24" s="2816"/>
      <c r="H24" s="2816"/>
      <c r="I24" s="2816"/>
      <c r="J24" s="2817"/>
      <c r="K24" s="1376"/>
      <c r="N24" s="2818" t="s">
        <v>2912</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2913</v>
      </c>
      <c r="C25" s="929"/>
      <c r="D25" s="2749"/>
      <c r="E25" s="2749"/>
      <c r="F25" s="2820"/>
      <c r="G25" s="2749"/>
      <c r="H25" s="2749"/>
      <c r="I25" s="2749"/>
      <c r="J25" s="2750"/>
      <c r="K25" s="1369"/>
      <c r="N25" s="2821" t="s">
        <v>2914</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22"/>
      <c r="B26" s="2809" t="s">
        <v>2915</v>
      </c>
      <c r="C26" s="205" t="e">
        <f>E29+SUM(E33:E39)</f>
        <v>#DIV/0!</v>
      </c>
      <c r="D26" s="2823"/>
      <c r="E26" s="2774"/>
      <c r="F26" s="2824"/>
      <c r="G26" s="2774"/>
      <c r="H26" s="2774"/>
      <c r="I26" s="2774"/>
      <c r="J26" s="2825"/>
      <c r="K26" s="1369"/>
      <c r="L26" s="2778" t="s">
        <v>2813</v>
      </c>
      <c r="M26" s="919" t="s">
        <v>2878</v>
      </c>
      <c r="N26" s="919" t="s">
        <v>2879</v>
      </c>
      <c r="O26" s="919" t="s">
        <v>2880</v>
      </c>
      <c r="P26" s="2779" t="s">
        <v>2881</v>
      </c>
      <c r="R26" s="1375"/>
      <c r="S26" s="1375"/>
      <c r="T26" s="1370"/>
      <c r="U26" s="1370"/>
      <c r="V26" s="1370"/>
      <c r="W26" s="1369"/>
      <c r="X26" s="1369"/>
      <c r="Y26" s="1369"/>
      <c r="Z26" s="1376"/>
      <c r="AA26" s="1377"/>
      <c r="AB26" s="1377"/>
      <c r="AC26" s="1377"/>
      <c r="AD26" s="1377"/>
    </row>
    <row r="27" spans="1:37" ht="15.75" thickBot="1">
      <c r="A27" s="2822"/>
      <c r="B27" s="2826" t="s">
        <v>2916</v>
      </c>
      <c r="C27" s="930" t="e">
        <f>E30+SUM(I33:I39)</f>
        <v>#DIV/0!</v>
      </c>
      <c r="D27" s="2827"/>
      <c r="E27" s="2828"/>
      <c r="F27" s="2829"/>
      <c r="G27" s="2828"/>
      <c r="H27" s="2828"/>
      <c r="I27" s="2828"/>
      <c r="J27" s="2830"/>
      <c r="K27" s="1369"/>
      <c r="L27" s="2782"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2917</v>
      </c>
      <c r="C28" s="2833" t="s">
        <v>2918</v>
      </c>
      <c r="D28" s="2833" t="s">
        <v>2919</v>
      </c>
      <c r="E28" s="2834" t="s">
        <v>2920</v>
      </c>
      <c r="F28" s="2835"/>
      <c r="G28" s="2762"/>
      <c r="H28" s="2762"/>
      <c r="I28" s="2762"/>
      <c r="J28" s="2763"/>
      <c r="K28" s="1369"/>
      <c r="L28" s="2783"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2921</v>
      </c>
      <c r="C29" s="205" t="e">
        <f>ROUND(C5*C18*C19*C20*C21*C24,0)</f>
        <v>#DIV/0!</v>
      </c>
      <c r="D29" s="2838"/>
      <c r="E29" s="941" t="e">
        <f>ROUND(C29*D29/10000,0)</f>
        <v>#DIV/0!</v>
      </c>
      <c r="F29" s="2839" t="s">
        <v>2922</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2923</v>
      </c>
      <c r="C30" s="228" t="e">
        <f>ROUND(IF(E2="工业",C29*M39,C29*M38),0)</f>
        <v>#DIV/0!</v>
      </c>
      <c r="D30" s="2844"/>
      <c r="E30" s="941" t="e">
        <f>ROUND(C30*D30/10000,0)</f>
        <v>#DIV/0!</v>
      </c>
      <c r="F30" s="2845" t="s">
        <v>2924</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2925</v>
      </c>
      <c r="C31" s="2850" t="s">
        <v>2926</v>
      </c>
      <c r="D31" s="2762"/>
      <c r="E31" s="2850"/>
      <c r="F31" s="2850"/>
      <c r="G31" s="2760" t="s">
        <v>2927</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2918</v>
      </c>
      <c r="D32" s="497" t="s">
        <v>2919</v>
      </c>
      <c r="E32" s="497" t="s">
        <v>2920</v>
      </c>
      <c r="F32" s="387" t="s">
        <v>2928</v>
      </c>
      <c r="G32" s="2853" t="s">
        <v>2918</v>
      </c>
      <c r="H32" s="2853" t="s">
        <v>2919</v>
      </c>
      <c r="I32" s="2853"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330" t="s">
        <v>2929</v>
      </c>
      <c r="B33" s="2854" t="s">
        <v>2930</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31"/>
      <c r="B34" s="2766" t="s">
        <v>2931</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31"/>
      <c r="B35" s="2766" t="s">
        <v>2932</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332"/>
      <c r="B36" s="2766" t="s">
        <v>2933</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2934</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2935</v>
      </c>
      <c r="M37" s="2858"/>
      <c r="N37" s="1369"/>
      <c r="O37" s="1369"/>
      <c r="P37" s="1369"/>
      <c r="Q37" s="1369"/>
      <c r="R37" s="1369"/>
      <c r="S37" s="1369"/>
      <c r="T37" s="1369"/>
      <c r="U37" s="1369"/>
      <c r="V37" s="1369"/>
      <c r="W37" s="1369"/>
      <c r="X37" s="1369"/>
      <c r="Y37" s="1369"/>
      <c r="Z37" s="1370"/>
    </row>
    <row r="38" spans="1:37">
      <c r="A38" s="2856"/>
      <c r="B38" s="2766" t="s">
        <v>2936</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2937</v>
      </c>
      <c r="M38" s="2859">
        <v>0.25</v>
      </c>
      <c r="N38" s="1369"/>
      <c r="O38" s="1369"/>
      <c r="P38" s="1369"/>
      <c r="Q38" s="1369"/>
      <c r="R38" s="1369"/>
      <c r="S38" s="1369"/>
      <c r="T38" s="1369"/>
      <c r="U38" s="1369"/>
      <c r="V38" s="1369"/>
      <c r="W38" s="1369"/>
      <c r="X38" s="1369"/>
      <c r="Y38" s="1369"/>
      <c r="Z38" s="1370"/>
    </row>
    <row r="39" spans="1:37" ht="13.5" thickBot="1">
      <c r="A39" s="2842"/>
      <c r="B39" s="2860" t="s">
        <v>2938</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2881</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3045</v>
      </c>
      <c r="C41" s="387" t="e">
        <f>ROUND(POWER(1+E41,H41-G41)*(POWER(1+E41,G41)-1)/(POWER(1+E41,H41)-1),4)</f>
        <v>#DIV/0!</v>
      </c>
      <c r="D41" s="199" t="s">
        <v>2888</v>
      </c>
      <c r="E41" s="2930">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2939</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2940</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2941</v>
      </c>
      <c r="B47" s="1808" t="s">
        <v>2942</v>
      </c>
      <c r="C47" s="1808" t="s">
        <v>2943</v>
      </c>
      <c r="D47" s="1808" t="s">
        <v>2944</v>
      </c>
      <c r="E47" s="818" t="s">
        <v>2945</v>
      </c>
      <c r="F47" s="2872" t="s">
        <v>2946</v>
      </c>
      <c r="G47" s="1808" t="s">
        <v>754</v>
      </c>
      <c r="H47" s="2873" t="s">
        <v>2947</v>
      </c>
      <c r="I47" s="1808"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71" t="s">
        <v>2949</v>
      </c>
      <c r="B48" s="2874" t="str">
        <f>估价对象房地状况!C4</f>
        <v>估价对象位于顺义商圈，周边商业氛围成熟，人流量大，商业繁华度好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2950</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2951</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2952</v>
      </c>
      <c r="B51" s="2876" t="s">
        <v>2953</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2954</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2955</v>
      </c>
      <c r="B53" s="2877" t="s">
        <v>2956</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2957</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2958</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2959</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2960</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2941</v>
      </c>
      <c r="B58" s="1808"/>
      <c r="C58" s="1808" t="s">
        <v>2943</v>
      </c>
      <c r="D58" s="1808" t="s">
        <v>2944</v>
      </c>
      <c r="E58" s="818" t="s">
        <v>2945</v>
      </c>
      <c r="F58" s="2872" t="s">
        <v>2961</v>
      </c>
      <c r="G58" s="1808" t="s">
        <v>754</v>
      </c>
      <c r="H58" s="2873" t="s">
        <v>2947</v>
      </c>
      <c r="I58" s="1808"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71" t="s">
        <v>2962</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2950</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2951</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2952</v>
      </c>
      <c r="B62" s="2876" t="s">
        <v>2953</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2954</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2955</v>
      </c>
      <c r="B64" s="2877" t="s">
        <v>2956</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2957</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2958</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2959</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2963</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2941</v>
      </c>
      <c r="B69" s="1808"/>
      <c r="C69" s="1808" t="s">
        <v>2943</v>
      </c>
      <c r="D69" s="1808" t="s">
        <v>2944</v>
      </c>
      <c r="E69" s="818" t="s">
        <v>2945</v>
      </c>
      <c r="F69" s="2872" t="s">
        <v>2961</v>
      </c>
      <c r="G69" s="1808" t="s">
        <v>754</v>
      </c>
      <c r="H69" s="2873" t="s">
        <v>2947</v>
      </c>
      <c r="I69" s="1808"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71" t="s">
        <v>2964</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2950</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2951</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2965</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2957</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2958</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2955</v>
      </c>
      <c r="B76" s="2877" t="s">
        <v>2956</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2959</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2966</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2967</v>
      </c>
      <c r="B79" s="2868">
        <f>1+E81</f>
        <v>1</v>
      </c>
      <c r="C79" s="813"/>
      <c r="D79" s="813"/>
      <c r="E79" s="814"/>
      <c r="F79" s="2870"/>
      <c r="G79" s="6"/>
      <c r="H79" s="6"/>
      <c r="I79" s="6"/>
      <c r="J79" s="7"/>
      <c r="K79" s="7"/>
      <c r="L79" s="7"/>
      <c r="M79" s="7"/>
      <c r="N79" s="7"/>
      <c r="Z79" s="2721"/>
      <c r="AA79" s="2789"/>
      <c r="AG79" s="1371"/>
      <c r="AK79" s="2789"/>
    </row>
    <row r="80" spans="1:37" ht="24.75">
      <c r="A80" s="2871" t="s">
        <v>2941</v>
      </c>
      <c r="B80" s="1808"/>
      <c r="C80" s="1808" t="s">
        <v>2943</v>
      </c>
      <c r="D80" s="1808" t="s">
        <v>2944</v>
      </c>
      <c r="E80" s="818" t="s">
        <v>2945</v>
      </c>
      <c r="F80" s="2872" t="s">
        <v>2961</v>
      </c>
      <c r="G80" s="1808" t="s">
        <v>754</v>
      </c>
      <c r="H80" s="2873" t="s">
        <v>2947</v>
      </c>
      <c r="I80" s="1808" t="s">
        <v>2948</v>
      </c>
      <c r="J80" s="602" t="s">
        <v>2596</v>
      </c>
      <c r="K80" s="602" t="s">
        <v>2597</v>
      </c>
      <c r="L80" s="602" t="s">
        <v>2598</v>
      </c>
      <c r="M80" s="602" t="s">
        <v>2599</v>
      </c>
      <c r="N80" s="602" t="s">
        <v>2600</v>
      </c>
      <c r="Z80" s="2721"/>
      <c r="AA80" s="2789"/>
      <c r="AG80" s="1371"/>
      <c r="AK80" s="2789"/>
    </row>
    <row r="81" spans="1:37" ht="38.25">
      <c r="A81" s="2871" t="s">
        <v>2968</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2950</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2951</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2965</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2957</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2958</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2955</v>
      </c>
      <c r="B87" s="2877" t="s">
        <v>2969</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2970</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324" t="s">
        <v>2971</v>
      </c>
      <c r="B90" s="3324"/>
      <c r="C90" s="3324"/>
      <c r="D90" s="3324"/>
      <c r="E90" s="3324"/>
      <c r="F90" s="3324"/>
      <c r="G90" s="3324"/>
      <c r="H90" s="3324"/>
      <c r="I90" s="3324"/>
      <c r="J90" s="3324"/>
      <c r="K90" s="2885"/>
      <c r="L90" s="2885"/>
      <c r="M90" s="2885"/>
      <c r="N90" s="2885"/>
    </row>
    <row r="91" spans="1:37">
      <c r="A91" s="3326" t="s">
        <v>2972</v>
      </c>
      <c r="B91" s="3326" t="s">
        <v>2973</v>
      </c>
      <c r="C91" s="2839" t="s">
        <v>2974</v>
      </c>
      <c r="D91" s="2840"/>
      <c r="E91" s="2840"/>
      <c r="F91" s="2840"/>
      <c r="G91" s="2840"/>
      <c r="H91" s="2840"/>
      <c r="I91" s="2840"/>
      <c r="J91" s="2886"/>
      <c r="K91" s="2887"/>
      <c r="L91" s="2887"/>
      <c r="M91" s="2887"/>
      <c r="N91" s="2887"/>
    </row>
    <row r="92" spans="1:37">
      <c r="A92" s="3326"/>
      <c r="B92" s="332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327" t="s">
        <v>2975</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2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2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2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2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2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28"/>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2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27" t="s">
        <v>2976</v>
      </c>
      <c r="B101" s="2892" t="s">
        <v>2977</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28"/>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28"/>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28"/>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28"/>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28"/>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28"/>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28"/>
      <c r="B108" s="3171" t="s">
        <v>2978</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29"/>
      <c r="B109" s="3172"/>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25" t="s">
        <v>2979</v>
      </c>
      <c r="B110" s="3325"/>
      <c r="C110" s="3325"/>
      <c r="D110" s="3325"/>
      <c r="E110" s="3325"/>
      <c r="F110" s="3325"/>
      <c r="G110" s="3325"/>
      <c r="H110" s="3325"/>
      <c r="I110" s="3325"/>
      <c r="J110" s="3325"/>
      <c r="K110" s="2894"/>
      <c r="L110" s="2894"/>
      <c r="M110" s="2894"/>
      <c r="N110" s="2894"/>
    </row>
    <row r="112" spans="1:14" ht="13.5" thickBot="1"/>
    <row r="113" spans="1:13" ht="25.5" thickBot="1">
      <c r="A113" s="902" t="s">
        <v>2980</v>
      </c>
      <c r="B113" s="1286" t="e">
        <f>G3</f>
        <v>#DIV/0!</v>
      </c>
      <c r="C113" s="903" t="s">
        <v>2981</v>
      </c>
      <c r="D113" s="904" t="e">
        <f>SUMPRODUCT((A115:A118=F113)*(B114:M114=H113)*B115:M118)</f>
        <v>#DIV/0!</v>
      </c>
      <c r="E113" s="2725" t="s">
        <v>2813</v>
      </c>
      <c r="F113" s="2896">
        <f>E2</f>
        <v>0</v>
      </c>
      <c r="G113" s="2725" t="s">
        <v>2814</v>
      </c>
      <c r="H113" s="2896">
        <f>G2</f>
        <v>0</v>
      </c>
      <c r="I113" s="2725"/>
      <c r="J113" s="2897"/>
      <c r="K113" s="2897"/>
      <c r="L113" s="2897"/>
      <c r="M113" s="2897"/>
    </row>
    <row r="114" spans="1:13">
      <c r="A114" s="907"/>
      <c r="B114" s="2898" t="s">
        <v>2982</v>
      </c>
      <c r="C114" s="2898" t="s">
        <v>2983</v>
      </c>
      <c r="D114" s="2898" t="s">
        <v>2984</v>
      </c>
      <c r="E114" s="2899" t="s">
        <v>2985</v>
      </c>
      <c r="F114" s="2899" t="s">
        <v>2986</v>
      </c>
      <c r="G114" s="2899" t="s">
        <v>2987</v>
      </c>
      <c r="H114" s="2900" t="s">
        <v>2988</v>
      </c>
      <c r="I114" s="2900" t="s">
        <v>2989</v>
      </c>
      <c r="J114" s="2901" t="s">
        <v>2990</v>
      </c>
      <c r="K114" s="2901" t="s">
        <v>2991</v>
      </c>
      <c r="L114" s="2901" t="s">
        <v>2992</v>
      </c>
      <c r="M114" s="2902" t="s">
        <v>2993</v>
      </c>
    </row>
    <row r="115" spans="1:13">
      <c r="A115" s="908" t="s">
        <v>2878</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2879</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2880</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2881</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45" t="s">
        <v>183</v>
      </c>
      <c r="B18" s="881" t="s">
        <v>560</v>
      </c>
      <c r="C18" s="882" t="s">
        <v>561</v>
      </c>
      <c r="D18" s="883"/>
      <c r="E18" s="881">
        <v>1</v>
      </c>
      <c r="F18" s="884" t="s">
        <v>562</v>
      </c>
      <c r="G18" s="885"/>
      <c r="H18" s="877"/>
      <c r="I18" s="877"/>
    </row>
    <row r="19" spans="1:9" s="886" customFormat="1" ht="19.5" customHeight="1">
      <c r="A19" s="3345"/>
      <c r="B19" s="3345" t="s">
        <v>563</v>
      </c>
      <c r="C19" s="882" t="s">
        <v>564</v>
      </c>
      <c r="D19" s="883"/>
      <c r="E19" s="881">
        <v>0.9</v>
      </c>
      <c r="F19" s="884" t="s">
        <v>565</v>
      </c>
      <c r="G19" s="885"/>
      <c r="H19" s="877"/>
      <c r="I19" s="877"/>
    </row>
    <row r="20" spans="1:9" s="886" customFormat="1" ht="19.5" customHeight="1">
      <c r="A20" s="3345"/>
      <c r="B20" s="3345"/>
      <c r="C20" s="882" t="s">
        <v>566</v>
      </c>
      <c r="D20" s="883"/>
      <c r="E20" s="881">
        <v>1.1000000000000001</v>
      </c>
      <c r="F20" s="884" t="s">
        <v>567</v>
      </c>
      <c r="G20" s="885"/>
      <c r="H20" s="877"/>
      <c r="I20" s="877"/>
    </row>
    <row r="21" spans="1:9" s="886" customFormat="1" ht="19.5" customHeight="1">
      <c r="A21" s="3345"/>
      <c r="B21" s="3345"/>
      <c r="C21" s="882" t="s">
        <v>568</v>
      </c>
      <c r="D21" s="883"/>
      <c r="E21" s="881">
        <v>0.8</v>
      </c>
      <c r="F21" s="884" t="s">
        <v>569</v>
      </c>
      <c r="G21" s="885"/>
      <c r="H21" s="877"/>
      <c r="I21" s="877"/>
    </row>
    <row r="22" spans="1:9" s="886" customFormat="1" ht="19.5" customHeight="1">
      <c r="A22" s="3345"/>
      <c r="B22" s="3345"/>
      <c r="C22" s="882" t="s">
        <v>570</v>
      </c>
      <c r="D22" s="883"/>
      <c r="E22" s="881">
        <v>0.5</v>
      </c>
      <c r="F22" s="884"/>
      <c r="G22" s="885"/>
      <c r="H22" s="877"/>
      <c r="I22" s="877"/>
    </row>
    <row r="23" spans="1:9" s="886" customFormat="1" ht="19.5" customHeight="1">
      <c r="A23" s="3345" t="s">
        <v>184</v>
      </c>
      <c r="B23" s="881" t="s">
        <v>560</v>
      </c>
      <c r="C23" s="882" t="s">
        <v>571</v>
      </c>
      <c r="D23" s="883"/>
      <c r="E23" s="881">
        <v>1</v>
      </c>
      <c r="F23" s="884" t="s">
        <v>572</v>
      </c>
      <c r="G23" s="885"/>
      <c r="H23" s="877"/>
      <c r="I23" s="877"/>
    </row>
    <row r="24" spans="1:9" s="886" customFormat="1" ht="19.5" customHeight="1">
      <c r="A24" s="3345"/>
      <c r="B24" s="3345" t="s">
        <v>563</v>
      </c>
      <c r="C24" s="882" t="s">
        <v>573</v>
      </c>
      <c r="D24" s="883"/>
      <c r="E24" s="881">
        <v>0.5</v>
      </c>
      <c r="F24" s="884"/>
      <c r="G24" s="885"/>
      <c r="H24" s="877"/>
      <c r="I24" s="877"/>
    </row>
    <row r="25" spans="1:9" s="886" customFormat="1" ht="19.5" customHeight="1">
      <c r="A25" s="3345"/>
      <c r="B25" s="3345"/>
      <c r="C25" s="882" t="s">
        <v>574</v>
      </c>
      <c r="D25" s="883"/>
      <c r="E25" s="881">
        <v>1.1000000000000001</v>
      </c>
      <c r="F25" s="884"/>
      <c r="G25" s="885"/>
      <c r="H25" s="877"/>
      <c r="I25" s="877"/>
    </row>
    <row r="26" spans="1:9" s="886" customFormat="1" ht="19.5" customHeight="1">
      <c r="A26" s="3345"/>
      <c r="B26" s="3345"/>
      <c r="C26" s="882" t="s">
        <v>575</v>
      </c>
      <c r="D26" s="883"/>
      <c r="E26" s="881">
        <v>1.1000000000000001</v>
      </c>
      <c r="F26" s="884"/>
      <c r="G26" s="885"/>
      <c r="H26" s="877"/>
      <c r="I26" s="877"/>
    </row>
    <row r="27" spans="1:9" s="886" customFormat="1" ht="19.5" customHeight="1">
      <c r="A27" s="3345"/>
      <c r="B27" s="3345"/>
      <c r="C27" s="882" t="s">
        <v>576</v>
      </c>
      <c r="D27" s="883"/>
      <c r="E27" s="881">
        <v>0.9</v>
      </c>
      <c r="F27" s="884" t="s">
        <v>577</v>
      </c>
      <c r="G27" s="885"/>
      <c r="H27" s="877"/>
      <c r="I27" s="877"/>
    </row>
    <row r="28" spans="1:9" s="886" customFormat="1" ht="19.5" customHeight="1">
      <c r="A28" s="3345"/>
      <c r="B28" s="3345"/>
      <c r="C28" s="882" t="s">
        <v>578</v>
      </c>
      <c r="D28" s="883"/>
      <c r="E28" s="881">
        <v>0.9</v>
      </c>
      <c r="F28" s="884" t="s">
        <v>579</v>
      </c>
      <c r="G28" s="885"/>
      <c r="H28" s="877"/>
      <c r="I28" s="877"/>
    </row>
    <row r="29" spans="1:9" s="886" customFormat="1" ht="19.5" customHeight="1">
      <c r="A29" s="3345"/>
      <c r="B29" s="3345"/>
      <c r="C29" s="882" t="s">
        <v>580</v>
      </c>
      <c r="D29" s="883"/>
      <c r="E29" s="881">
        <v>0.9</v>
      </c>
      <c r="F29" s="884" t="s">
        <v>581</v>
      </c>
      <c r="G29" s="885"/>
      <c r="H29" s="877"/>
      <c r="I29" s="877"/>
    </row>
    <row r="30" spans="1:9" s="886" customFormat="1" ht="19.5" customHeight="1">
      <c r="A30" s="3345"/>
      <c r="B30" s="3345"/>
      <c r="C30" s="882" t="s">
        <v>582</v>
      </c>
      <c r="D30" s="883"/>
      <c r="E30" s="881">
        <v>0.9</v>
      </c>
      <c r="F30" s="884" t="s">
        <v>583</v>
      </c>
      <c r="G30" s="885"/>
      <c r="H30" s="877"/>
      <c r="I30" s="877"/>
    </row>
    <row r="31" spans="1:9" s="886" customFormat="1" ht="19.5" customHeight="1">
      <c r="A31" s="3345"/>
      <c r="B31" s="3345"/>
      <c r="C31" s="882" t="s">
        <v>584</v>
      </c>
      <c r="D31" s="883"/>
      <c r="E31" s="881">
        <v>0.8</v>
      </c>
      <c r="F31" s="884" t="s">
        <v>585</v>
      </c>
      <c r="G31" s="885"/>
      <c r="H31" s="877"/>
      <c r="I31" s="877"/>
    </row>
    <row r="32" spans="1:9" s="886" customFormat="1" ht="19.5" customHeight="1">
      <c r="A32" s="3345"/>
      <c r="B32" s="3345"/>
      <c r="C32" s="882" t="s">
        <v>586</v>
      </c>
      <c r="D32" s="883"/>
      <c r="E32" s="881">
        <v>0.8</v>
      </c>
      <c r="F32" s="884" t="s">
        <v>587</v>
      </c>
      <c r="G32" s="885"/>
      <c r="H32" s="877"/>
      <c r="I32" s="877"/>
    </row>
    <row r="33" spans="1:9" s="886" customFormat="1" ht="19.5" customHeight="1">
      <c r="A33" s="3345" t="s">
        <v>185</v>
      </c>
      <c r="B33" s="881" t="s">
        <v>560</v>
      </c>
      <c r="C33" s="882" t="s">
        <v>588</v>
      </c>
      <c r="D33" s="883"/>
      <c r="E33" s="881">
        <v>1</v>
      </c>
      <c r="F33" s="884" t="s">
        <v>589</v>
      </c>
      <c r="G33" s="885"/>
      <c r="H33" s="877"/>
      <c r="I33" s="877"/>
    </row>
    <row r="34" spans="1:9" s="886" customFormat="1" ht="19.5" customHeight="1">
      <c r="A34" s="3345"/>
      <c r="B34" s="881" t="s">
        <v>563</v>
      </c>
      <c r="C34" s="882" t="s">
        <v>590</v>
      </c>
      <c r="D34" s="883"/>
      <c r="E34" s="881">
        <v>1.5</v>
      </c>
      <c r="F34" s="884" t="s">
        <v>591</v>
      </c>
      <c r="G34" s="885"/>
      <c r="H34" s="877"/>
      <c r="I34" s="877"/>
    </row>
    <row r="35" spans="1:9" s="886" customFormat="1" ht="19.5" customHeight="1">
      <c r="A35" s="3345" t="s">
        <v>186</v>
      </c>
      <c r="B35" s="881" t="s">
        <v>560</v>
      </c>
      <c r="C35" s="882" t="s">
        <v>592</v>
      </c>
      <c r="D35" s="883"/>
      <c r="E35" s="881">
        <v>1</v>
      </c>
      <c r="F35" s="884" t="s">
        <v>593</v>
      </c>
      <c r="G35" s="885"/>
      <c r="H35" s="877"/>
      <c r="I35" s="877"/>
    </row>
    <row r="36" spans="1:9" s="886" customFormat="1" ht="19.5" customHeight="1">
      <c r="A36" s="3345"/>
      <c r="B36" s="3345" t="s">
        <v>563</v>
      </c>
      <c r="C36" s="882" t="s">
        <v>594</v>
      </c>
      <c r="D36" s="883"/>
      <c r="E36" s="881">
        <v>1</v>
      </c>
      <c r="F36" s="884" t="s">
        <v>595</v>
      </c>
      <c r="G36" s="885"/>
      <c r="H36" s="877"/>
      <c r="I36" s="877"/>
    </row>
    <row r="37" spans="1:9" s="886" customFormat="1" ht="19.5" customHeight="1">
      <c r="A37" s="3345"/>
      <c r="B37" s="3345"/>
      <c r="C37" s="882" t="s">
        <v>596</v>
      </c>
      <c r="D37" s="883"/>
      <c r="E37" s="881">
        <v>1.5</v>
      </c>
      <c r="F37" s="884" t="s">
        <v>597</v>
      </c>
      <c r="G37" s="885"/>
      <c r="H37" s="877"/>
      <c r="I37" s="877"/>
    </row>
    <row r="38" spans="1:9" s="886" customFormat="1" ht="19.5" customHeight="1">
      <c r="A38" s="3345"/>
      <c r="B38" s="3345"/>
      <c r="C38" s="882" t="s">
        <v>598</v>
      </c>
      <c r="D38" s="883"/>
      <c r="E38" s="881">
        <v>1</v>
      </c>
      <c r="F38" s="884" t="s">
        <v>599</v>
      </c>
      <c r="G38" s="885"/>
      <c r="H38" s="877"/>
      <c r="I38" s="877"/>
    </row>
    <row r="39" spans="1:9" s="886" customFormat="1" ht="19.5" customHeight="1">
      <c r="A39" s="3345"/>
      <c r="B39" s="334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45" t="s">
        <v>614</v>
      </c>
      <c r="C61" s="817" t="s">
        <v>615</v>
      </c>
      <c r="D61" s="817" t="s">
        <v>616</v>
      </c>
      <c r="E61" s="894">
        <v>0.5</v>
      </c>
      <c r="F61" s="881">
        <v>80</v>
      </c>
    </row>
    <row r="62" spans="1:8" s="877" customFormat="1" ht="24">
      <c r="A62" s="881">
        <v>2</v>
      </c>
      <c r="B62" s="3345"/>
      <c r="C62" s="817" t="s">
        <v>617</v>
      </c>
      <c r="D62" s="817" t="s">
        <v>618</v>
      </c>
      <c r="E62" s="894">
        <v>0.5</v>
      </c>
      <c r="F62" s="881">
        <v>80</v>
      </c>
    </row>
    <row r="63" spans="1:8" s="877" customFormat="1" ht="36">
      <c r="A63" s="881">
        <v>3</v>
      </c>
      <c r="B63" s="3345"/>
      <c r="C63" s="817" t="s">
        <v>619</v>
      </c>
      <c r="D63" s="817" t="s">
        <v>620</v>
      </c>
      <c r="E63" s="894">
        <v>0.5</v>
      </c>
      <c r="F63" s="881">
        <v>80</v>
      </c>
    </row>
    <row r="64" spans="1:8" s="877" customFormat="1" ht="36">
      <c r="A64" s="881">
        <v>4</v>
      </c>
      <c r="B64" s="3345"/>
      <c r="C64" s="817" t="s">
        <v>621</v>
      </c>
      <c r="D64" s="817" t="s">
        <v>622</v>
      </c>
      <c r="E64" s="894">
        <v>0.4</v>
      </c>
      <c r="F64" s="881">
        <v>60</v>
      </c>
    </row>
    <row r="65" spans="1:6" s="877" customFormat="1" ht="36">
      <c r="A65" s="881">
        <v>5</v>
      </c>
      <c r="B65" s="3345"/>
      <c r="C65" s="817" t="s">
        <v>623</v>
      </c>
      <c r="D65" s="817" t="s">
        <v>624</v>
      </c>
      <c r="E65" s="894">
        <v>0.2</v>
      </c>
      <c r="F65" s="881">
        <v>30</v>
      </c>
    </row>
    <row r="66" spans="1:6" s="877" customFormat="1" ht="36">
      <c r="A66" s="881">
        <v>6</v>
      </c>
      <c r="B66" s="3345"/>
      <c r="C66" s="817" t="s">
        <v>625</v>
      </c>
      <c r="D66" s="817" t="s">
        <v>626</v>
      </c>
      <c r="E66" s="894">
        <v>0.3</v>
      </c>
      <c r="F66" s="881">
        <v>50</v>
      </c>
    </row>
    <row r="67" spans="1:6" s="877" customFormat="1" ht="36">
      <c r="A67" s="881">
        <v>7</v>
      </c>
      <c r="B67" s="3345"/>
      <c r="C67" s="817" t="s">
        <v>627</v>
      </c>
      <c r="D67" s="817" t="s">
        <v>628</v>
      </c>
      <c r="E67" s="894">
        <v>0.2</v>
      </c>
      <c r="F67" s="881">
        <v>30</v>
      </c>
    </row>
    <row r="68" spans="1:6" s="877" customFormat="1" ht="36">
      <c r="A68" s="881">
        <v>8</v>
      </c>
      <c r="B68" s="3345"/>
      <c r="C68" s="817" t="s">
        <v>629</v>
      </c>
      <c r="D68" s="817" t="s">
        <v>630</v>
      </c>
      <c r="E68" s="894">
        <v>0.2</v>
      </c>
      <c r="F68" s="881">
        <v>30</v>
      </c>
    </row>
    <row r="69" spans="1:6" s="877" customFormat="1" ht="36">
      <c r="A69" s="881">
        <v>9</v>
      </c>
      <c r="B69" s="3345"/>
      <c r="C69" s="817" t="s">
        <v>631</v>
      </c>
      <c r="D69" s="817" t="s">
        <v>632</v>
      </c>
      <c r="E69" s="894">
        <v>0.2</v>
      </c>
      <c r="F69" s="881">
        <v>30</v>
      </c>
    </row>
    <row r="70" spans="1:6" s="877" customFormat="1" ht="48">
      <c r="A70" s="881">
        <v>10</v>
      </c>
      <c r="B70" s="3345"/>
      <c r="C70" s="817" t="s">
        <v>633</v>
      </c>
      <c r="D70" s="817" t="s">
        <v>634</v>
      </c>
      <c r="E70" s="894">
        <v>0.2</v>
      </c>
      <c r="F70" s="881">
        <v>30</v>
      </c>
    </row>
    <row r="71" spans="1:6" s="877" customFormat="1" ht="48">
      <c r="A71" s="881">
        <v>11</v>
      </c>
      <c r="B71" s="3345"/>
      <c r="C71" s="817" t="s">
        <v>635</v>
      </c>
      <c r="D71" s="817" t="s">
        <v>636</v>
      </c>
      <c r="E71" s="894">
        <v>0.2</v>
      </c>
      <c r="F71" s="881">
        <v>30</v>
      </c>
    </row>
    <row r="72" spans="1:6" s="877" customFormat="1" ht="36">
      <c r="A72" s="881">
        <v>12</v>
      </c>
      <c r="B72" s="3345"/>
      <c r="C72" s="817" t="s">
        <v>637</v>
      </c>
      <c r="D72" s="817" t="s">
        <v>638</v>
      </c>
      <c r="E72" s="894">
        <v>0.5</v>
      </c>
      <c r="F72" s="881">
        <v>80</v>
      </c>
    </row>
    <row r="73" spans="1:6" s="877" customFormat="1" ht="24">
      <c r="A73" s="881">
        <v>13</v>
      </c>
      <c r="B73" s="3345"/>
      <c r="C73" s="817" t="s">
        <v>639</v>
      </c>
      <c r="D73" s="817" t="s">
        <v>640</v>
      </c>
      <c r="E73" s="894">
        <v>0.4</v>
      </c>
      <c r="F73" s="881">
        <v>60</v>
      </c>
    </row>
    <row r="74" spans="1:6" s="877" customFormat="1" ht="24">
      <c r="A74" s="881">
        <v>14</v>
      </c>
      <c r="B74" s="3345"/>
      <c r="C74" s="817" t="s">
        <v>641</v>
      </c>
      <c r="D74" s="817" t="s">
        <v>642</v>
      </c>
      <c r="E74" s="894">
        <v>0.2</v>
      </c>
      <c r="F74" s="881">
        <v>30</v>
      </c>
    </row>
    <row r="75" spans="1:6" s="877" customFormat="1" ht="24">
      <c r="A75" s="881">
        <v>15</v>
      </c>
      <c r="B75" s="3345"/>
      <c r="C75" s="817" t="s">
        <v>643</v>
      </c>
      <c r="D75" s="817" t="s">
        <v>644</v>
      </c>
      <c r="E75" s="894">
        <v>0.2</v>
      </c>
      <c r="F75" s="881">
        <v>30</v>
      </c>
    </row>
    <row r="76" spans="1:6" s="877" customFormat="1" ht="24">
      <c r="A76" s="881">
        <v>16</v>
      </c>
      <c r="B76" s="3345" t="s">
        <v>645</v>
      </c>
      <c r="C76" s="817" t="s">
        <v>646</v>
      </c>
      <c r="D76" s="817" t="s">
        <v>647</v>
      </c>
      <c r="E76" s="894">
        <v>0.5</v>
      </c>
      <c r="F76" s="881">
        <v>80</v>
      </c>
    </row>
    <row r="77" spans="1:6" s="877" customFormat="1" ht="24">
      <c r="A77" s="881">
        <v>17</v>
      </c>
      <c r="B77" s="3345"/>
      <c r="C77" s="817" t="s">
        <v>648</v>
      </c>
      <c r="D77" s="817" t="s">
        <v>649</v>
      </c>
      <c r="E77" s="894">
        <v>0.5</v>
      </c>
      <c r="F77" s="881">
        <v>80</v>
      </c>
    </row>
    <row r="78" spans="1:6" s="877" customFormat="1" ht="24">
      <c r="A78" s="881">
        <v>18</v>
      </c>
      <c r="B78" s="3345"/>
      <c r="C78" s="817" t="s">
        <v>650</v>
      </c>
      <c r="D78" s="817" t="s">
        <v>651</v>
      </c>
      <c r="E78" s="894">
        <v>0.2</v>
      </c>
      <c r="F78" s="881">
        <v>30</v>
      </c>
    </row>
    <row r="79" spans="1:6" s="877" customFormat="1" ht="24">
      <c r="A79" s="881">
        <v>19</v>
      </c>
      <c r="B79" s="3345"/>
      <c r="C79" s="817" t="s">
        <v>652</v>
      </c>
      <c r="D79" s="817" t="s">
        <v>653</v>
      </c>
      <c r="E79" s="894">
        <v>0.5</v>
      </c>
      <c r="F79" s="881">
        <v>80</v>
      </c>
    </row>
    <row r="80" spans="1:6" s="877" customFormat="1" ht="36">
      <c r="A80" s="881">
        <v>20</v>
      </c>
      <c r="B80" s="3345"/>
      <c r="C80" s="817" t="s">
        <v>654</v>
      </c>
      <c r="D80" s="817" t="s">
        <v>655</v>
      </c>
      <c r="E80" s="894">
        <v>0.2</v>
      </c>
      <c r="F80" s="881">
        <v>30</v>
      </c>
    </row>
    <row r="81" spans="1:6" s="877" customFormat="1" ht="36">
      <c r="A81" s="881">
        <v>21</v>
      </c>
      <c r="B81" s="3345"/>
      <c r="C81" s="817" t="s">
        <v>656</v>
      </c>
      <c r="D81" s="817" t="s">
        <v>657</v>
      </c>
      <c r="E81" s="894">
        <v>0.2</v>
      </c>
      <c r="F81" s="881">
        <v>30</v>
      </c>
    </row>
    <row r="82" spans="1:6" s="877" customFormat="1" ht="48">
      <c r="A82" s="881">
        <v>22</v>
      </c>
      <c r="B82" s="3345"/>
      <c r="C82" s="817" t="s">
        <v>658</v>
      </c>
      <c r="D82" s="817" t="s">
        <v>659</v>
      </c>
      <c r="E82" s="894">
        <v>0.2</v>
      </c>
      <c r="F82" s="881">
        <v>30</v>
      </c>
    </row>
    <row r="83" spans="1:6" s="877" customFormat="1" ht="48">
      <c r="A83" s="881">
        <v>23</v>
      </c>
      <c r="B83" s="3345"/>
      <c r="C83" s="817" t="s">
        <v>660</v>
      </c>
      <c r="D83" s="817" t="s">
        <v>661</v>
      </c>
      <c r="E83" s="894">
        <v>0.2</v>
      </c>
      <c r="F83" s="881">
        <v>30</v>
      </c>
    </row>
    <row r="84" spans="1:6" s="877" customFormat="1" ht="36">
      <c r="A84" s="881">
        <v>24</v>
      </c>
      <c r="B84" s="3345"/>
      <c r="C84" s="817" t="s">
        <v>662</v>
      </c>
      <c r="D84" s="817" t="s">
        <v>663</v>
      </c>
      <c r="E84" s="894">
        <v>0.2</v>
      </c>
      <c r="F84" s="881">
        <v>30</v>
      </c>
    </row>
    <row r="85" spans="1:6" s="877" customFormat="1" ht="36">
      <c r="A85" s="881">
        <v>25</v>
      </c>
      <c r="B85" s="3345"/>
      <c r="C85" s="817" t="s">
        <v>664</v>
      </c>
      <c r="D85" s="817" t="s">
        <v>665</v>
      </c>
      <c r="E85" s="894">
        <v>0.5</v>
      </c>
      <c r="F85" s="881">
        <v>80</v>
      </c>
    </row>
    <row r="86" spans="1:6" s="877" customFormat="1" ht="36">
      <c r="A86" s="881">
        <v>26</v>
      </c>
      <c r="B86" s="3345"/>
      <c r="C86" s="817" t="s">
        <v>666</v>
      </c>
      <c r="D86" s="817" t="s">
        <v>667</v>
      </c>
      <c r="E86" s="894">
        <v>0.2</v>
      </c>
      <c r="F86" s="881">
        <v>30</v>
      </c>
    </row>
    <row r="87" spans="1:6" s="877" customFormat="1" ht="36">
      <c r="A87" s="881">
        <v>27</v>
      </c>
      <c r="B87" s="3345"/>
      <c r="C87" s="817" t="s">
        <v>668</v>
      </c>
      <c r="D87" s="817" t="s">
        <v>669</v>
      </c>
      <c r="E87" s="894">
        <v>0.2</v>
      </c>
      <c r="F87" s="881">
        <v>30</v>
      </c>
    </row>
    <row r="88" spans="1:6" s="877" customFormat="1" ht="36">
      <c r="A88" s="881">
        <v>28</v>
      </c>
      <c r="B88" s="3345"/>
      <c r="C88" s="817" t="s">
        <v>670</v>
      </c>
      <c r="D88" s="817" t="s">
        <v>671</v>
      </c>
      <c r="E88" s="894">
        <v>0.2</v>
      </c>
      <c r="F88" s="881">
        <v>30</v>
      </c>
    </row>
    <row r="89" spans="1:6" s="877" customFormat="1" ht="24">
      <c r="A89" s="881">
        <v>29</v>
      </c>
      <c r="B89" s="3345"/>
      <c r="C89" s="817" t="s">
        <v>672</v>
      </c>
      <c r="D89" s="817" t="s">
        <v>673</v>
      </c>
      <c r="E89" s="894">
        <v>0.2</v>
      </c>
      <c r="F89" s="881">
        <v>30</v>
      </c>
    </row>
    <row r="90" spans="1:6" s="877" customFormat="1" ht="24">
      <c r="A90" s="881">
        <v>30</v>
      </c>
      <c r="B90" s="3345"/>
      <c r="C90" s="817" t="s">
        <v>674</v>
      </c>
      <c r="D90" s="817" t="s">
        <v>675</v>
      </c>
      <c r="E90" s="894">
        <v>0.2</v>
      </c>
      <c r="F90" s="881">
        <v>30</v>
      </c>
    </row>
    <row r="91" spans="1:6" s="877" customFormat="1" ht="36">
      <c r="A91" s="881">
        <v>31</v>
      </c>
      <c r="B91" s="3345"/>
      <c r="C91" s="817" t="s">
        <v>676</v>
      </c>
      <c r="D91" s="817" t="s">
        <v>677</v>
      </c>
      <c r="E91" s="894">
        <v>0.2</v>
      </c>
      <c r="F91" s="881">
        <v>30</v>
      </c>
    </row>
    <row r="92" spans="1:6" s="877" customFormat="1" ht="24">
      <c r="A92" s="881">
        <v>32</v>
      </c>
      <c r="B92" s="3345" t="s">
        <v>678</v>
      </c>
      <c r="C92" s="881" t="s">
        <v>679</v>
      </c>
      <c r="D92" s="817" t="s">
        <v>680</v>
      </c>
      <c r="E92" s="894">
        <v>0.2</v>
      </c>
      <c r="F92" s="881">
        <v>30</v>
      </c>
    </row>
    <row r="93" spans="1:6" s="877" customFormat="1" ht="36">
      <c r="A93" s="881">
        <v>33</v>
      </c>
      <c r="B93" s="3345"/>
      <c r="C93" s="881" t="s">
        <v>681</v>
      </c>
      <c r="D93" s="817" t="s">
        <v>682</v>
      </c>
      <c r="E93" s="894">
        <v>0.2</v>
      </c>
      <c r="F93" s="881">
        <v>30</v>
      </c>
    </row>
    <row r="94" spans="1:6" s="877" customFormat="1" ht="48">
      <c r="A94" s="881">
        <v>34</v>
      </c>
      <c r="B94" s="3345"/>
      <c r="C94" s="881" t="s">
        <v>683</v>
      </c>
      <c r="D94" s="817" t="s">
        <v>684</v>
      </c>
      <c r="E94" s="894">
        <v>0.2</v>
      </c>
      <c r="F94" s="881">
        <v>30</v>
      </c>
    </row>
    <row r="95" spans="1:6" s="877" customFormat="1" ht="36">
      <c r="A95" s="881">
        <v>35</v>
      </c>
      <c r="B95" s="3345"/>
      <c r="C95" s="881" t="s">
        <v>685</v>
      </c>
      <c r="D95" s="817" t="s">
        <v>686</v>
      </c>
      <c r="E95" s="894">
        <v>0.2</v>
      </c>
      <c r="F95" s="881">
        <v>30</v>
      </c>
    </row>
    <row r="96" spans="1:6" s="877" customFormat="1" ht="48">
      <c r="A96" s="881">
        <v>36</v>
      </c>
      <c r="B96" s="3345"/>
      <c r="C96" s="817" t="s">
        <v>687</v>
      </c>
      <c r="D96" s="817" t="s">
        <v>688</v>
      </c>
      <c r="E96" s="894">
        <v>0.2</v>
      </c>
      <c r="F96" s="881">
        <v>30</v>
      </c>
    </row>
    <row r="97" spans="1:6" s="877" customFormat="1" ht="36">
      <c r="A97" s="881">
        <v>37</v>
      </c>
      <c r="B97" s="3345"/>
      <c r="C97" s="881" t="s">
        <v>689</v>
      </c>
      <c r="D97" s="817" t="s">
        <v>690</v>
      </c>
      <c r="E97" s="894">
        <v>0.2</v>
      </c>
      <c r="F97" s="881">
        <v>30</v>
      </c>
    </row>
    <row r="98" spans="1:6" s="877" customFormat="1" ht="36">
      <c r="A98" s="881">
        <v>38</v>
      </c>
      <c r="B98" s="3345"/>
      <c r="C98" s="881" t="s">
        <v>691</v>
      </c>
      <c r="D98" s="817" t="s">
        <v>692</v>
      </c>
      <c r="E98" s="894">
        <v>0.2</v>
      </c>
      <c r="F98" s="881">
        <v>30</v>
      </c>
    </row>
    <row r="99" spans="1:6" s="877" customFormat="1" ht="36">
      <c r="A99" s="881">
        <v>39</v>
      </c>
      <c r="B99" s="3345" t="s">
        <v>693</v>
      </c>
      <c r="C99" s="881" t="s">
        <v>694</v>
      </c>
      <c r="D99" s="817" t="s">
        <v>695</v>
      </c>
      <c r="E99" s="894">
        <v>0.3</v>
      </c>
      <c r="F99" s="881">
        <v>50</v>
      </c>
    </row>
    <row r="100" spans="1:6" s="877" customFormat="1" ht="24">
      <c r="A100" s="881">
        <v>40</v>
      </c>
      <c r="B100" s="3345"/>
      <c r="C100" s="881" t="s">
        <v>696</v>
      </c>
      <c r="D100" s="817" t="s">
        <v>697</v>
      </c>
      <c r="E100" s="894">
        <v>0.2</v>
      </c>
      <c r="F100" s="881">
        <v>30</v>
      </c>
    </row>
    <row r="101" spans="1:6" s="877" customFormat="1" ht="36">
      <c r="A101" s="881">
        <v>41</v>
      </c>
      <c r="B101" s="334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5" t="s">
        <v>708</v>
      </c>
      <c r="C105" s="881" t="s">
        <v>709</v>
      </c>
      <c r="D105" s="817" t="s">
        <v>710</v>
      </c>
      <c r="E105" s="894">
        <v>0.2</v>
      </c>
      <c r="F105" s="881">
        <v>30</v>
      </c>
    </row>
    <row r="106" spans="1:6" s="877" customFormat="1" ht="36">
      <c r="A106" s="881">
        <v>46</v>
      </c>
      <c r="B106" s="3345"/>
      <c r="C106" s="881" t="s">
        <v>711</v>
      </c>
      <c r="D106" s="817" t="s">
        <v>712</v>
      </c>
      <c r="E106" s="894">
        <v>0.2</v>
      </c>
      <c r="F106" s="881">
        <v>30</v>
      </c>
    </row>
    <row r="107" spans="1:6" s="877" customFormat="1" ht="36">
      <c r="A107" s="881">
        <v>47</v>
      </c>
      <c r="B107" s="3345" t="s">
        <v>713</v>
      </c>
      <c r="C107" s="881" t="s">
        <v>714</v>
      </c>
      <c r="D107" s="817" t="s">
        <v>715</v>
      </c>
      <c r="E107" s="894">
        <v>0.3</v>
      </c>
      <c r="F107" s="881">
        <v>50</v>
      </c>
    </row>
    <row r="108" spans="1:6" s="877" customFormat="1" ht="36">
      <c r="A108" s="881">
        <v>48</v>
      </c>
      <c r="B108" s="334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5" t="s">
        <v>724</v>
      </c>
      <c r="C111" s="881" t="s">
        <v>725</v>
      </c>
      <c r="D111" s="817" t="s">
        <v>726</v>
      </c>
      <c r="E111" s="894">
        <v>0.2</v>
      </c>
      <c r="F111" s="881">
        <v>30</v>
      </c>
    </row>
    <row r="112" spans="1:6" s="877" customFormat="1" ht="24">
      <c r="A112" s="881">
        <v>52</v>
      </c>
      <c r="B112" s="3345"/>
      <c r="C112" s="881" t="s">
        <v>727</v>
      </c>
      <c r="D112" s="817" t="s">
        <v>728</v>
      </c>
      <c r="E112" s="894">
        <v>0.2</v>
      </c>
      <c r="F112" s="881">
        <v>30</v>
      </c>
    </row>
    <row r="113" spans="1:6" s="877" customFormat="1" ht="24">
      <c r="A113" s="881">
        <v>53</v>
      </c>
      <c r="B113" s="334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5" t="s">
        <v>737</v>
      </c>
      <c r="C116" s="881" t="s">
        <v>738</v>
      </c>
      <c r="D116" s="817" t="s">
        <v>739</v>
      </c>
      <c r="E116" s="894">
        <v>0.2</v>
      </c>
      <c r="F116" s="881">
        <v>30</v>
      </c>
    </row>
    <row r="117" spans="1:6" ht="36">
      <c r="A117" s="881">
        <v>57</v>
      </c>
      <c r="B117" s="334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3" t="s">
        <v>2994</v>
      </c>
      <c r="B2" s="2904" t="e">
        <f ca="1">SUMIF(B6:B13,"&lt;&gt;#ref!",B6:B13)</f>
        <v>#DIV/0!</v>
      </c>
      <c r="C2" s="2903" t="s">
        <v>2995</v>
      </c>
      <c r="D2" s="2903" t="s">
        <v>2996</v>
      </c>
      <c r="E2" s="2904">
        <f ca="1">SUMIF(E6:E13,"&lt;&gt;#ref!",E6:E13)</f>
        <v>0</v>
      </c>
    </row>
    <row r="3" spans="1:5" ht="15.75">
      <c r="A3" s="2903" t="s">
        <v>2997</v>
      </c>
      <c r="B3" s="2904" t="e">
        <f ca="1">ROUND(B2*10000/E2,0)</f>
        <v>#DIV/0!</v>
      </c>
      <c r="C3" s="2903" t="s">
        <v>3003</v>
      </c>
      <c r="D3" s="2905"/>
      <c r="E3" s="2905"/>
    </row>
    <row r="4" spans="1:5" ht="15.75">
      <c r="A4" s="2906"/>
      <c r="B4" s="2905"/>
      <c r="C4" s="2905"/>
      <c r="D4" s="2905"/>
      <c r="E4" s="2905"/>
    </row>
    <row r="5" spans="1:5" ht="28.5">
      <c r="A5" s="2907" t="s">
        <v>2998</v>
      </c>
      <c r="B5" s="2903" t="s">
        <v>2999</v>
      </c>
      <c r="C5" s="2904"/>
      <c r="D5" s="2905"/>
      <c r="E5" s="2903" t="s">
        <v>3000</v>
      </c>
    </row>
    <row r="6" spans="1:5" ht="15.75">
      <c r="A6" s="2908" t="s">
        <v>3001</v>
      </c>
      <c r="B6" s="2904" t="e">
        <f ca="1">SUMIF(INDIRECT("'"&amp;A6&amp;"'"&amp;"!A:A"),"总价",INDIRECT("'"&amp;A6&amp;"'"&amp;"!B:B"))</f>
        <v>#DIV/0!</v>
      </c>
      <c r="C6" s="2903" t="s">
        <v>2995</v>
      </c>
      <c r="D6" s="2905"/>
      <c r="E6" s="2576">
        <f ca="1">SUMIF(INDIRECT("'"&amp;A6&amp;"'"&amp;"!C:C"),"建筑面积",INDIRECT("'"&amp;A6&amp;"'"&amp;"!D:D"))</f>
        <v>0</v>
      </c>
    </row>
    <row r="7" spans="1:5" ht="15.75">
      <c r="A7" s="2908"/>
      <c r="B7" s="2904" t="e">
        <f ca="1">SUMIF(INDIRECT("'"&amp;A7&amp;"'"&amp;"!A:A"),"总价",INDIRECT("'"&amp;A7&amp;"'"&amp;"!B:B"))</f>
        <v>#REF!</v>
      </c>
      <c r="C7" s="2903" t="s">
        <v>2995</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2995</v>
      </c>
      <c r="D8" s="2905"/>
      <c r="E8" s="2576" t="e">
        <f t="shared" ca="1" si="0"/>
        <v>#REF!</v>
      </c>
    </row>
    <row r="9" spans="1:5" ht="15.75">
      <c r="A9" s="2908"/>
      <c r="B9" s="2904" t="e">
        <f t="shared" ca="1" si="1"/>
        <v>#REF!</v>
      </c>
      <c r="C9" s="2903" t="s">
        <v>2995</v>
      </c>
      <c r="D9" s="2905"/>
      <c r="E9" s="2576" t="e">
        <f t="shared" ca="1" si="0"/>
        <v>#REF!</v>
      </c>
    </row>
    <row r="10" spans="1:5" ht="15.75">
      <c r="A10" s="2908"/>
      <c r="B10" s="2904" t="e">
        <f t="shared" ca="1" si="1"/>
        <v>#REF!</v>
      </c>
      <c r="C10" s="2903" t="s">
        <v>2995</v>
      </c>
      <c r="D10" s="2905"/>
      <c r="E10" s="2576" t="e">
        <f t="shared" ca="1" si="0"/>
        <v>#REF!</v>
      </c>
    </row>
    <row r="11" spans="1:5" ht="15.75">
      <c r="A11" s="2908"/>
      <c r="B11" s="2904" t="e">
        <f t="shared" ca="1" si="1"/>
        <v>#REF!</v>
      </c>
      <c r="C11" s="2903" t="s">
        <v>2995</v>
      </c>
      <c r="D11" s="2905"/>
      <c r="E11" s="2576" t="e">
        <f t="shared" ca="1" si="0"/>
        <v>#REF!</v>
      </c>
    </row>
    <row r="12" spans="1:5" ht="15.75">
      <c r="A12" s="2908"/>
      <c r="B12" s="2904" t="e">
        <f t="shared" ca="1" si="1"/>
        <v>#REF!</v>
      </c>
      <c r="C12" s="2903" t="s">
        <v>2995</v>
      </c>
      <c r="D12" s="2905"/>
      <c r="E12" s="2576" t="e">
        <f t="shared" ca="1" si="0"/>
        <v>#REF!</v>
      </c>
    </row>
    <row r="13" spans="1:5" ht="15.75">
      <c r="A13" s="2908"/>
      <c r="B13" s="2904" t="e">
        <f t="shared" ca="1" si="1"/>
        <v>#REF!</v>
      </c>
      <c r="C13" s="2903" t="s">
        <v>2995</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1" t="s">
        <v>1145</v>
      </c>
      <c r="C1" s="3351"/>
      <c r="D1" s="3351"/>
      <c r="E1" s="3351"/>
      <c r="F1" s="3351"/>
      <c r="G1" s="3347" t="s">
        <v>1146</v>
      </c>
      <c r="H1" s="3347"/>
      <c r="I1" s="3347"/>
      <c r="J1" s="3347"/>
      <c r="K1" s="3347"/>
      <c r="L1" s="3347"/>
      <c r="N1" s="3347" t="s">
        <v>1147</v>
      </c>
      <c r="O1" s="3347"/>
      <c r="P1" s="3347"/>
      <c r="Q1" s="3347"/>
      <c r="R1" s="1445"/>
      <c r="S1" s="3347" t="s">
        <v>1148</v>
      </c>
      <c r="T1" s="3347"/>
      <c r="U1" s="3347"/>
      <c r="V1" s="3347"/>
      <c r="X1" s="3346" t="s">
        <v>1149</v>
      </c>
      <c r="Y1" s="3347"/>
      <c r="Z1" s="3347"/>
      <c r="AA1" s="3347"/>
      <c r="AB1" s="3347"/>
      <c r="AD1" s="3346" t="s">
        <v>1150</v>
      </c>
      <c r="AE1" s="3347"/>
      <c r="AF1" s="3347"/>
      <c r="AG1" s="3347"/>
      <c r="AH1" s="334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9" customFormat="1" ht="14.25">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6">
        <f t="shared" ref="N5" si="7">I5/100</f>
        <v>0</v>
      </c>
      <c r="O5" s="1466">
        <f t="shared" ref="O5" si="8">J5/100</f>
        <v>0</v>
      </c>
      <c r="P5" s="1466">
        <f t="shared" ref="P5" si="9">K5/100</f>
        <v>0</v>
      </c>
      <c r="Q5" s="1466">
        <f t="shared" ref="Q5" si="10">L5/100</f>
        <v>0</v>
      </c>
      <c r="R5" s="1731"/>
      <c r="S5" s="1732"/>
      <c r="T5" s="1731"/>
      <c r="U5" s="1731"/>
      <c r="V5" s="1731"/>
      <c r="W5" s="2918" t="s">
        <v>3037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349">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49"/>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49"/>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56"/>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3032</v>
      </c>
      <c r="B14" s="1468">
        <v>439</v>
      </c>
      <c r="C14" s="1468">
        <v>327</v>
      </c>
      <c r="D14" s="1468">
        <f>C14</f>
        <v>327</v>
      </c>
      <c r="E14" s="1468">
        <v>627</v>
      </c>
      <c r="F14" s="1469">
        <v>283</v>
      </c>
      <c r="G14" s="3352">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49"/>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49"/>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56"/>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52">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49"/>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49"/>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50"/>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48">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49"/>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49"/>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50"/>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48">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49"/>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49"/>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50"/>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53">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54"/>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54"/>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55"/>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48">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49"/>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49"/>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50"/>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48">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49">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49">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50">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48">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49">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49">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50">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48">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49">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49">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50">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48">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49">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49">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50">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48">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49">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49">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50">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48">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49">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49">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50">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48">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49">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49">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50">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48">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49">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49">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50">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48">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49">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49">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50">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48">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49">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49">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50">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9"/>
      <c r="B4" s="3028" t="s">
        <v>1624</v>
      </c>
      <c r="C4" s="3028"/>
      <c r="D4" s="3028"/>
      <c r="E4" s="1959"/>
    </row>
    <row r="5" spans="1:5" ht="16.5" thickTop="1">
      <c r="A5" s="1957"/>
      <c r="B5" s="3026" t="s">
        <v>1616</v>
      </c>
      <c r="C5" s="1960" t="s">
        <v>1617</v>
      </c>
      <c r="D5" s="1039">
        <f ca="1">'结果表（1）'!H101</f>
        <v>232</v>
      </c>
      <c r="E5" s="1957"/>
    </row>
    <row r="6" spans="1:5" ht="15.75">
      <c r="A6" s="1957"/>
      <c r="B6" s="3026"/>
      <c r="C6" s="1960" t="s">
        <v>1618</v>
      </c>
      <c r="D6" s="1039" t="str">
        <f ca="1">NUMBERSTRING(INT(D5*10000),2)&amp;"元整"</f>
        <v>贰佰叁拾贰万元整</v>
      </c>
      <c r="E6" s="1957"/>
    </row>
    <row r="7" spans="1:5" ht="15.75">
      <c r="A7" s="1957"/>
      <c r="B7" s="3031"/>
      <c r="C7" s="1961" t="s">
        <v>1619</v>
      </c>
      <c r="D7" s="1040">
        <f ca="1">'结果表（1）'!H102</f>
        <v>3273</v>
      </c>
      <c r="E7" s="1957"/>
    </row>
    <row r="8" spans="1:5" ht="15.75">
      <c r="A8" s="1957"/>
      <c r="B8" s="3032" t="str">
        <f>'结果表（1）'!E103</f>
        <v>2.估价师知悉的法定优先受偿款</v>
      </c>
      <c r="C8" s="1962" t="s">
        <v>1620</v>
      </c>
      <c r="D8" s="1040">
        <f>'结果表（1）'!H103</f>
        <v>0</v>
      </c>
      <c r="E8" s="1957"/>
    </row>
    <row r="9" spans="1:5" ht="15.75">
      <c r="A9" s="1957"/>
      <c r="B9" s="3034"/>
      <c r="C9" s="1960" t="s">
        <v>1618</v>
      </c>
      <c r="D9" s="1039" t="str">
        <f>NUMBERSTRING(INT(D8*10000),2)&amp;"元整"</f>
        <v>零元整</v>
      </c>
      <c r="E9" s="1957"/>
    </row>
    <row r="10" spans="1:5" ht="15">
      <c r="A10" s="1957"/>
      <c r="B10" s="1963" t="s">
        <v>1623</v>
      </c>
      <c r="C10" s="1964" t="s">
        <v>1621</v>
      </c>
      <c r="D10" s="1041">
        <f>'结果表（1）'!H104</f>
        <v>0</v>
      </c>
      <c r="E10" s="1957"/>
    </row>
    <row r="11" spans="1:5" ht="15">
      <c r="A11" s="1957"/>
      <c r="B11" s="1963" t="s">
        <v>1625</v>
      </c>
      <c r="C11" s="1964" t="s">
        <v>1626</v>
      </c>
      <c r="D11" s="1041">
        <f>'结果表（1）'!H105</f>
        <v>0</v>
      </c>
      <c r="E11" s="1957"/>
    </row>
    <row r="12" spans="1:5" ht="15">
      <c r="A12" s="1957"/>
      <c r="B12" s="1963" t="s">
        <v>1627</v>
      </c>
      <c r="C12" s="1964" t="s">
        <v>1626</v>
      </c>
      <c r="D12" s="1041">
        <f>'结果表（1）'!H106</f>
        <v>0</v>
      </c>
      <c r="E12" s="1957"/>
    </row>
    <row r="13" spans="1:5" ht="15.75">
      <c r="A13" s="1957"/>
      <c r="B13" s="3025" t="str">
        <f>'结果表（1）'!E107</f>
        <v>3.房地产抵押价值</v>
      </c>
      <c r="C13" s="1965" t="s">
        <v>1617</v>
      </c>
      <c r="D13" s="1042">
        <f ca="1">'结果表（1）'!H107</f>
        <v>232</v>
      </c>
      <c r="E13" s="1957"/>
    </row>
    <row r="14" spans="1:5" ht="15.75">
      <c r="A14" s="1957"/>
      <c r="B14" s="3026"/>
      <c r="C14" s="1960" t="s">
        <v>1618</v>
      </c>
      <c r="D14" s="1039" t="str">
        <f ca="1">NUMBERSTRING(INT(D13*10000),2)&amp;"元整"</f>
        <v>贰佰叁拾贰万元整</v>
      </c>
      <c r="E14" s="1957"/>
    </row>
    <row r="15" spans="1:5" ht="15">
      <c r="A15" s="1957"/>
      <c r="B15" s="3031"/>
      <c r="C15" s="1961" t="s">
        <v>1628</v>
      </c>
      <c r="D15" s="1051">
        <f ca="1">'结果表（1）'!H108</f>
        <v>3273</v>
      </c>
      <c r="E15" s="1957"/>
    </row>
    <row r="16" spans="1:5" ht="15">
      <c r="A16" s="1957"/>
      <c r="B16" s="3032" t="str">
        <f>'结果表（1）'!E109</f>
        <v>——</v>
      </c>
      <c r="C16" s="1965" t="s">
        <v>1629</v>
      </c>
      <c r="D16" s="1966" t="str">
        <f>'结果表（1）'!H109</f>
        <v>——</v>
      </c>
      <c r="E16" s="1957"/>
    </row>
    <row r="17" spans="1:5" ht="15.75">
      <c r="A17" s="1957"/>
      <c r="B17" s="3033"/>
      <c r="C17" s="1960" t="s">
        <v>1630</v>
      </c>
      <c r="D17" s="1039" t="e">
        <f>NUMBERSTRING(INT(D16*10000),2)&amp;"元整"</f>
        <v>#VALUE!</v>
      </c>
      <c r="E17" s="1957"/>
    </row>
    <row r="18" spans="1:5" ht="15">
      <c r="A18" s="1957"/>
      <c r="B18" s="3034"/>
      <c r="C18" s="1961" t="s">
        <v>1619</v>
      </c>
      <c r="D18" s="1051" t="str">
        <f>'结果表（1）'!H110</f>
        <v>——</v>
      </c>
      <c r="E18" s="1957"/>
    </row>
    <row r="19" spans="1:5" ht="15.75">
      <c r="A19" s="1957"/>
      <c r="B19" s="3025" t="str">
        <f>'结果表（1）'!E111</f>
        <v>4.抵押净值</v>
      </c>
      <c r="C19" s="1965" t="s">
        <v>1617</v>
      </c>
      <c r="D19" s="1040">
        <f ca="1">'结果表（1）'!H111</f>
        <v>100</v>
      </c>
      <c r="E19" s="1957"/>
    </row>
    <row r="20" spans="1:5" ht="15.75">
      <c r="A20" s="1957"/>
      <c r="B20" s="3026"/>
      <c r="C20" s="1960" t="s">
        <v>1630</v>
      </c>
      <c r="D20" s="1039" t="str">
        <f ca="1">NUMBERSTRING(INT(D19*10000),2)&amp;"元整"</f>
        <v>壹佰万元整</v>
      </c>
      <c r="E20" s="1957"/>
    </row>
    <row r="21" spans="1:5" ht="15.75" thickBot="1">
      <c r="A21" s="1957"/>
      <c r="B21" s="3027"/>
      <c r="C21" s="1967" t="s">
        <v>1628</v>
      </c>
      <c r="D21" s="1052">
        <f ca="1">'结果表（1）'!H112</f>
        <v>1411</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85" zoomScaleNormal="85" workbookViewId="0">
      <pane ySplit="24" topLeftCell="A25" activePane="bottomLeft" state="frozen"/>
      <selection activeCell="C50" sqref="C50"/>
      <selection pane="bottomLeft" activeCell="S24" sqref="S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3004</v>
      </c>
      <c r="C1" s="3358" t="s">
        <v>3005</v>
      </c>
      <c r="D1" s="3359"/>
      <c r="E1" s="3359"/>
      <c r="F1" s="3359"/>
      <c r="G1" s="3359"/>
      <c r="H1" s="3359"/>
      <c r="I1" s="3359"/>
      <c r="J1" s="3359"/>
      <c r="K1" s="3359"/>
      <c r="L1" s="3359"/>
      <c r="M1" s="3359"/>
      <c r="N1" s="3359"/>
      <c r="O1" s="3359"/>
      <c r="P1" s="3359"/>
      <c r="Q1" s="3359"/>
      <c r="R1" s="3359"/>
      <c r="S1" s="3360"/>
      <c r="T1" s="1203" t="s">
        <v>3006</v>
      </c>
    </row>
    <row r="2" spans="1:45" s="706" customFormat="1" ht="38.25">
      <c r="A2" s="1204"/>
      <c r="B2" s="702" t="s">
        <v>3007</v>
      </c>
      <c r="C2" s="703" t="str">
        <f t="shared" ref="C2:L2" si="0">C3&amp;"(含)"&amp;"-"&amp;D3</f>
        <v>0(含)-100</v>
      </c>
      <c r="D2" s="704" t="str">
        <f t="shared" si="0"/>
        <v>100(含)-300</v>
      </c>
      <c r="E2" s="704" t="str">
        <f t="shared" si="0"/>
        <v>300(含)-500</v>
      </c>
      <c r="F2" s="704" t="str">
        <f t="shared" si="0"/>
        <v>500(含)-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100</v>
      </c>
      <c r="E3" s="709">
        <v>300</v>
      </c>
      <c r="F3" s="1703">
        <v>500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98</v>
      </c>
      <c r="E4" s="1210">
        <v>96</v>
      </c>
      <c r="F4" s="1707">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3014</v>
      </c>
      <c r="B17" s="2910" t="s">
        <v>3015</v>
      </c>
      <c r="C17" s="1230">
        <v>1</v>
      </c>
      <c r="D17" s="1231">
        <v>-1</v>
      </c>
      <c r="E17" s="1231">
        <v>-2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60</v>
      </c>
      <c r="E18" s="1243">
        <v>50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3016</v>
      </c>
      <c r="E19" s="1791"/>
      <c r="F19" s="1791"/>
      <c r="G19" s="1791"/>
      <c r="H19" s="1279"/>
      <c r="I19" s="167"/>
      <c r="J19" s="167"/>
      <c r="K19" s="167"/>
      <c r="L19" s="167"/>
      <c r="M19" s="167"/>
      <c r="N19" s="167"/>
      <c r="O19" s="167"/>
      <c r="P19" s="167"/>
      <c r="Q19" s="167"/>
      <c r="R19" s="787"/>
      <c r="S19" s="137"/>
    </row>
    <row r="20" spans="1:45" ht="16.5" thickBot="1">
      <c r="A20" s="714" t="s">
        <v>3017</v>
      </c>
      <c r="B20" s="337">
        <f>IF(D20="——",S22,S22-F20)</f>
        <v>1054</v>
      </c>
      <c r="C20" s="167"/>
      <c r="D20" s="2912" t="s">
        <v>70</v>
      </c>
      <c r="E20" s="1792"/>
      <c r="F20" s="1203" t="e">
        <f ca="1">SUMIF(INDIRECT("'"&amp;H20&amp;"'"&amp;"!A:A"),"承租人权益价值",INDIRECT("'"&amp;H20&amp;"'"&amp;"!c:c"))</f>
        <v>#REF!</v>
      </c>
      <c r="G20" s="1203" t="s">
        <v>3018</v>
      </c>
      <c r="H20" s="2913"/>
      <c r="I20" s="167"/>
      <c r="J20" s="167"/>
      <c r="K20" s="167"/>
      <c r="L20" s="167"/>
      <c r="M20" s="167"/>
      <c r="N20" s="167"/>
      <c r="O20" s="167"/>
      <c r="P20" s="167"/>
      <c r="Q20" s="167"/>
      <c r="R20" s="787"/>
      <c r="S20" s="137"/>
    </row>
    <row r="21" spans="1:45" ht="15.75">
      <c r="A21" s="714" t="s">
        <v>3019</v>
      </c>
      <c r="B21" s="337">
        <f>R22</f>
        <v>10480</v>
      </c>
      <c r="C21" s="167"/>
      <c r="D21" s="167"/>
      <c r="E21" s="167"/>
      <c r="F21" s="167"/>
      <c r="G21" s="167"/>
      <c r="H21" s="167"/>
      <c r="I21" s="167"/>
      <c r="J21" s="167"/>
      <c r="K21" s="167"/>
      <c r="L21" s="167"/>
      <c r="M21" s="167"/>
      <c r="N21" s="167"/>
      <c r="O21" s="167"/>
      <c r="P21" s="167"/>
      <c r="Q21" s="167"/>
      <c r="R21" s="787"/>
      <c r="S21" s="137"/>
    </row>
    <row r="22" spans="1:45">
      <c r="A22" s="360" t="s">
        <v>3020</v>
      </c>
      <c r="B22" s="24">
        <f>SUM(B24:B10000)</f>
        <v>1005.76</v>
      </c>
      <c r="C22" s="3159" t="s">
        <v>33</v>
      </c>
      <c r="D22" s="3160"/>
      <c r="E22" s="3160"/>
      <c r="F22" s="3160"/>
      <c r="G22" s="3160"/>
      <c r="H22" s="3160"/>
      <c r="I22" s="3160"/>
      <c r="J22" s="3160"/>
      <c r="K22" s="3160"/>
      <c r="L22" s="3160"/>
      <c r="M22" s="3160"/>
      <c r="N22" s="3160"/>
      <c r="O22" s="3160"/>
      <c r="P22" s="3160"/>
      <c r="Q22" s="3357"/>
      <c r="R22" s="715">
        <f>ROUND(S22*10000/B22,0)</f>
        <v>10480</v>
      </c>
      <c r="S22" s="24">
        <f>SUM(S24:S10000)</f>
        <v>1054</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f>B25</f>
        <v>296.95999999999998</v>
      </c>
      <c r="C24" s="718">
        <v>1</v>
      </c>
      <c r="D24" s="719"/>
      <c r="E24" s="718">
        <v>1</v>
      </c>
      <c r="F24" s="719"/>
      <c r="G24" s="718">
        <v>1</v>
      </c>
      <c r="H24" s="719"/>
      <c r="I24" s="718">
        <v>1</v>
      </c>
      <c r="J24" s="719"/>
      <c r="K24" s="718">
        <v>1</v>
      </c>
      <c r="L24" s="719"/>
      <c r="M24" s="718">
        <v>1</v>
      </c>
      <c r="N24" s="719"/>
      <c r="O24" s="718">
        <v>1</v>
      </c>
      <c r="P24" s="719">
        <v>1</v>
      </c>
      <c r="Q24" s="718">
        <v>1</v>
      </c>
      <c r="R24" s="720">
        <f>'比较法-商业'!C48</f>
        <v>30077</v>
      </c>
      <c r="S24" s="718"/>
      <c r="T24" s="3023" t="s">
        <v>3159</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'数据-基础表'!I13</f>
        <v>296.95999999999998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0.5</v>
      </c>
      <c r="R25" s="715">
        <f>IF(B25="",0,ROUND($R$24*C25*E25*G25*I25*K25*M25*O25*Q25,0))</f>
        <v>15039</v>
      </c>
      <c r="S25" s="360">
        <f t="shared" ref="S25:S54" si="11">ROUND(R25*B25/10000,0)</f>
        <v>447</v>
      </c>
    </row>
    <row r="26" spans="1:45">
      <c r="A26" s="158"/>
      <c r="B26" s="717">
        <f>'数据-基础表'!I14</f>
        <v>411.84</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0.5</v>
      </c>
      <c r="R26" s="715">
        <f t="shared" ref="R26:R89" si="20">IF(B26="",0,ROUND($R$24*C26*E26*G26*I26*K26*M26*O26*Q26,0))</f>
        <v>14738</v>
      </c>
      <c r="S26" s="360">
        <f t="shared" si="11"/>
        <v>607</v>
      </c>
      <c r="V26" s="794">
        <f>B22*9842</f>
        <v>9898689.9199999999</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c r="V27" s="794">
        <v>1728015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c r="V28" s="794">
        <f>V27/10000</f>
        <v>172.8015</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28686</v>
      </c>
      <c r="C2" s="2" t="s">
        <v>133</v>
      </c>
      <c r="D2" s="242"/>
      <c r="E2" s="242"/>
      <c r="F2" s="242"/>
      <c r="G2" s="242"/>
    </row>
    <row r="3" spans="1:7" s="243" customFormat="1" ht="18" customHeight="1" thickBot="1">
      <c r="A3" s="246" t="s">
        <v>85</v>
      </c>
      <c r="B3" s="247">
        <f ca="1">ROUND(B2*10000/'数据-汇总表'!E3,0)</f>
        <v>404712</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708.8</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14</v>
      </c>
      <c r="D19" s="1035">
        <f>'数据-汇总表'!E3</f>
        <v>708.8</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2025</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1054</v>
      </c>
      <c r="C25" s="1354">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3155</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3155</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28384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236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213</v>
      </c>
      <c r="D34" s="260"/>
      <c r="E34" s="263"/>
      <c r="F34" s="300">
        <f>IF('数据-取费表'!B24=0,1,'数据-取费表'!N16)</f>
        <v>1</v>
      </c>
      <c r="G34" s="262" t="s">
        <v>116</v>
      </c>
    </row>
    <row r="35" spans="1:7" ht="13.5" customHeight="1">
      <c r="A35" s="950" t="s">
        <v>796</v>
      </c>
      <c r="B35" s="258" t="s">
        <v>60</v>
      </c>
      <c r="C35" s="263">
        <f>ROUND(C34*F35,0)</f>
        <v>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v>
      </c>
      <c r="D37" s="260">
        <f>'数据-汇总表'!E3</f>
        <v>708.8</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11</v>
      </c>
      <c r="D42" s="281"/>
      <c r="E42" s="281"/>
      <c r="F42" s="282"/>
      <c r="G42" s="3214" t="s">
        <v>121</v>
      </c>
    </row>
    <row r="43" spans="1:7" ht="13.5" customHeight="1">
      <c r="A43" s="950" t="s">
        <v>792</v>
      </c>
      <c r="B43" s="258" t="s">
        <v>1060</v>
      </c>
      <c r="C43" s="281">
        <f ca="1">ROUND(IF('数据-取费表'!B22&lt;=1,C39*F22*'数据-取费表'!B21/2,C39*(POWER((1+F22),'数据-取费表'!B21/2)-1)),0)</f>
        <v>0</v>
      </c>
      <c r="D43" s="281"/>
      <c r="E43" s="281"/>
      <c r="F43" s="282"/>
      <c r="G43" s="3215"/>
    </row>
    <row r="44" spans="1:7" ht="13.5" customHeight="1">
      <c r="A44" s="950" t="s">
        <v>793</v>
      </c>
      <c r="B44" s="258" t="s">
        <v>1062</v>
      </c>
      <c r="C44" s="281">
        <f ca="1">ROUND(IF('数据-取费表'!B22&lt;=1,C40*F22*'数据-取费表'!B21/2,C40*(POWER((1+F22),'数据-取费表'!B21/2)-1)),4)</f>
        <v>1E-3</v>
      </c>
      <c r="D44" s="281"/>
      <c r="E44" s="281"/>
      <c r="F44" s="282"/>
      <c r="G44" s="3216"/>
    </row>
    <row r="45" spans="1:7" s="257" customFormat="1" ht="13.5" customHeight="1">
      <c r="A45" s="947" t="s">
        <v>786</v>
      </c>
      <c r="B45" s="287" t="s">
        <v>112</v>
      </c>
      <c r="C45" s="288">
        <f>C46</f>
        <v>36</v>
      </c>
      <c r="D45" s="278">
        <f>C47</f>
        <v>3.0000000000000001E-3</v>
      </c>
      <c r="E45" s="279" t="s">
        <v>129</v>
      </c>
      <c r="F45" s="289"/>
      <c r="G45" s="290" t="s">
        <v>1068</v>
      </c>
    </row>
    <row r="46" spans="1:7" s="257" customFormat="1" ht="13.5" customHeight="1">
      <c r="A46" s="950" t="s">
        <v>794</v>
      </c>
      <c r="B46" s="291" t="s">
        <v>1061</v>
      </c>
      <c r="C46" s="292">
        <f>ROUND((C33+C39)*F27,0)</f>
        <v>36</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1069</v>
      </c>
    </row>
    <row r="50" spans="1:7" s="301" customFormat="1" ht="24">
      <c r="A50" s="947" t="s">
        <v>789</v>
      </c>
      <c r="B50" s="253" t="s">
        <v>124</v>
      </c>
      <c r="C50" s="275"/>
      <c r="D50" s="275"/>
      <c r="E50" s="275"/>
      <c r="F50" s="307">
        <f>IF('数据-取费表'!B24=0,'数据-取费表'!N16,1)</f>
        <v>0.96699999999999997</v>
      </c>
      <c r="G50" s="290" t="s">
        <v>125</v>
      </c>
    </row>
    <row r="51" spans="1:7" ht="16.5" customHeight="1">
      <c r="A51" s="947" t="s">
        <v>790</v>
      </c>
      <c r="B51" s="253" t="s">
        <v>132</v>
      </c>
      <c r="C51" s="275">
        <f ca="1">ROUND(C49*F50,0)</f>
        <v>302</v>
      </c>
      <c r="D51" s="275"/>
      <c r="E51" s="275"/>
      <c r="F51" s="307"/>
      <c r="G51" s="277" t="s">
        <v>64</v>
      </c>
    </row>
    <row r="52" spans="1:7" s="251" customFormat="1" ht="16.5" thickBot="1">
      <c r="A52" s="308" t="s">
        <v>65</v>
      </c>
      <c r="B52" s="309"/>
      <c r="C52" s="310">
        <f ca="1">C31+C51</f>
        <v>28686</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1" t="s">
        <v>156</v>
      </c>
      <c r="B1" s="3361"/>
      <c r="C1" s="3361"/>
      <c r="D1" s="3361"/>
      <c r="E1" s="3361"/>
      <c r="F1" s="33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2" t="s">
        <v>169</v>
      </c>
      <c r="B2" s="3362"/>
      <c r="C2" s="3362"/>
      <c r="D2" s="3362"/>
      <c r="E2" s="3362"/>
      <c r="F2" s="33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1" t="s">
        <v>867</v>
      </c>
      <c r="B1" s="336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43914</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zoomScaleNormal="100" workbookViewId="0">
      <selection sqref="A1:J8"/>
    </sheetView>
  </sheetViews>
  <sheetFormatPr defaultColWidth="9" defaultRowHeight="13.5"/>
  <cols>
    <col min="1" max="1" width="4.25" style="2970" customWidth="1"/>
    <col min="2" max="2" width="17" style="3007" customWidth="1"/>
    <col min="3" max="3" width="8.875" style="3008" customWidth="1"/>
    <col min="4" max="4" width="7" style="3008" customWidth="1"/>
    <col min="5" max="5" width="16" style="3008" customWidth="1"/>
    <col min="6" max="6" width="6.75" style="3008" bestFit="1" customWidth="1"/>
    <col min="7" max="7" width="11.75" style="3009" customWidth="1"/>
    <col min="8" max="8" width="40.875" style="3010" bestFit="1" customWidth="1"/>
    <col min="9" max="9" width="10.625" style="3010" customWidth="1"/>
    <col min="10" max="10" width="10.5" style="3011" customWidth="1"/>
    <col min="11" max="11" width="8.75" style="3011" bestFit="1" customWidth="1"/>
    <col min="12" max="12" width="10.375" style="3012" customWidth="1"/>
    <col min="13" max="13" width="10.75" style="2969" customWidth="1"/>
    <col min="14" max="15" width="9" style="2970"/>
    <col min="16" max="16" width="13.375" style="2971" customWidth="1"/>
    <col min="17" max="16384" width="9" style="2970"/>
  </cols>
  <sheetData>
    <row r="1" spans="1:17" ht="40.5" customHeight="1">
      <c r="A1" s="3365" t="s">
        <v>3057</v>
      </c>
      <c r="B1" s="3365"/>
      <c r="C1" s="3365"/>
      <c r="D1" s="3365"/>
      <c r="E1" s="3365"/>
      <c r="F1" s="3365"/>
      <c r="G1" s="3365"/>
      <c r="H1" s="3365"/>
      <c r="I1" s="3365"/>
      <c r="J1" s="3365"/>
      <c r="K1" s="3019"/>
      <c r="L1" s="3019"/>
    </row>
    <row r="2" spans="1:17" s="2973" customFormat="1" ht="29.25" customHeight="1">
      <c r="A2" s="2972" t="s">
        <v>3058</v>
      </c>
      <c r="D2" s="2974"/>
      <c r="E2" s="2974"/>
      <c r="F2" s="2974"/>
      <c r="G2" s="2975"/>
      <c r="H2" s="2976"/>
      <c r="I2" s="2976"/>
      <c r="J2" s="2977"/>
      <c r="K2" s="2977"/>
      <c r="L2" s="2978"/>
      <c r="M2" s="2979"/>
      <c r="P2" s="2980"/>
    </row>
    <row r="3" spans="1:17" s="2985" customFormat="1" ht="31.5" customHeight="1">
      <c r="A3" s="2981" t="s">
        <v>608</v>
      </c>
      <c r="B3" s="2981" t="s">
        <v>3059</v>
      </c>
      <c r="C3" s="2981" t="s">
        <v>3060</v>
      </c>
      <c r="D3" s="2981" t="s">
        <v>3061</v>
      </c>
      <c r="E3" s="2981" t="s">
        <v>3062</v>
      </c>
      <c r="F3" s="2981" t="s">
        <v>3063</v>
      </c>
      <c r="G3" s="2982" t="s">
        <v>3064</v>
      </c>
      <c r="H3" s="2981" t="s">
        <v>3065</v>
      </c>
      <c r="I3" s="2981" t="s">
        <v>3066</v>
      </c>
      <c r="J3" s="2981" t="s">
        <v>3067</v>
      </c>
      <c r="K3" s="2981" t="s">
        <v>3068</v>
      </c>
      <c r="L3" s="2983" t="s">
        <v>3069</v>
      </c>
      <c r="M3" s="2983" t="s">
        <v>3070</v>
      </c>
      <c r="N3" s="2981" t="s">
        <v>3071</v>
      </c>
      <c r="O3" s="2981" t="s">
        <v>3072</v>
      </c>
      <c r="P3" s="2984" t="s">
        <v>3073</v>
      </c>
    </row>
    <row r="4" spans="1:17" s="2973" customFormat="1" ht="49.5" customHeight="1">
      <c r="A4" s="2986">
        <v>1</v>
      </c>
      <c r="B4" s="2986" t="s">
        <v>3074</v>
      </c>
      <c r="C4" s="2987" t="s">
        <v>3075</v>
      </c>
      <c r="D4" s="2988" t="s">
        <v>3076</v>
      </c>
      <c r="E4" s="2988" t="s">
        <v>3077</v>
      </c>
      <c r="F4" s="2988">
        <v>2</v>
      </c>
      <c r="G4" s="2989">
        <f>2163.25-631.32</f>
        <v>1531.9299999999998</v>
      </c>
      <c r="H4" s="2990" t="s">
        <v>3078</v>
      </c>
      <c r="I4" s="2990" t="s">
        <v>3079</v>
      </c>
      <c r="J4" s="2991" t="s">
        <v>3080</v>
      </c>
      <c r="K4" s="2992" t="s">
        <v>3081</v>
      </c>
      <c r="L4" s="2993"/>
      <c r="M4" s="2994"/>
      <c r="N4" s="2995"/>
      <c r="O4" s="2995"/>
      <c r="P4" s="2996"/>
    </row>
    <row r="5" spans="1:17" s="2973" customFormat="1" ht="49.5" customHeight="1">
      <c r="A5" s="2986">
        <v>2</v>
      </c>
      <c r="B5" s="2986" t="s">
        <v>3082</v>
      </c>
      <c r="C5" s="2987" t="s">
        <v>3075</v>
      </c>
      <c r="D5" s="2988" t="s">
        <v>3076</v>
      </c>
      <c r="E5" s="2988" t="s">
        <v>3083</v>
      </c>
      <c r="F5" s="2988">
        <v>1</v>
      </c>
      <c r="G5" s="2989">
        <v>631.32000000000005</v>
      </c>
      <c r="H5" s="2990" t="s">
        <v>3084</v>
      </c>
      <c r="I5" s="2990" t="s">
        <v>3085</v>
      </c>
      <c r="J5" s="2991" t="s">
        <v>3086</v>
      </c>
      <c r="K5" s="2992" t="s">
        <v>3081</v>
      </c>
      <c r="L5" s="2993"/>
      <c r="M5" s="2994"/>
      <c r="N5" s="2995"/>
      <c r="O5" s="2995"/>
      <c r="P5" s="2996"/>
    </row>
    <row r="6" spans="1:17" s="2973" customFormat="1" ht="49.5" customHeight="1">
      <c r="A6" s="2986">
        <v>3</v>
      </c>
      <c r="B6" s="2986" t="s">
        <v>3087</v>
      </c>
      <c r="C6" s="2987" t="s">
        <v>3088</v>
      </c>
      <c r="D6" s="2988" t="s">
        <v>3089</v>
      </c>
      <c r="E6" s="2988" t="s">
        <v>3090</v>
      </c>
      <c r="F6" s="2997">
        <v>2</v>
      </c>
      <c r="G6" s="2998">
        <v>708.8</v>
      </c>
      <c r="H6" s="2992" t="s">
        <v>3091</v>
      </c>
      <c r="I6" s="2992" t="s">
        <v>3092</v>
      </c>
      <c r="J6" s="2991" t="s">
        <v>3093</v>
      </c>
      <c r="K6" s="2992" t="s">
        <v>3094</v>
      </c>
      <c r="L6" s="2993"/>
      <c r="M6" s="2994"/>
      <c r="N6" s="2995"/>
      <c r="O6" s="2995"/>
      <c r="P6" s="2996"/>
      <c r="Q6" s="2999"/>
    </row>
    <row r="7" spans="1:17" s="2973" customFormat="1" ht="49.5" customHeight="1">
      <c r="A7" s="2986">
        <v>4</v>
      </c>
      <c r="B7" s="2986" t="s">
        <v>3095</v>
      </c>
      <c r="C7" s="2987" t="s">
        <v>3096</v>
      </c>
      <c r="D7" s="2988" t="s">
        <v>3097</v>
      </c>
      <c r="E7" s="2988" t="s">
        <v>3098</v>
      </c>
      <c r="F7" s="2997">
        <v>1</v>
      </c>
      <c r="G7" s="2998">
        <v>693.12</v>
      </c>
      <c r="H7" s="2992" t="s">
        <v>3099</v>
      </c>
      <c r="I7" s="2992" t="s">
        <v>3100</v>
      </c>
      <c r="J7" s="2991" t="s">
        <v>3101</v>
      </c>
      <c r="K7" s="2992" t="s">
        <v>3094</v>
      </c>
      <c r="L7" s="2993"/>
      <c r="M7" s="2994"/>
      <c r="N7" s="2995"/>
      <c r="O7" s="2995"/>
      <c r="P7" s="2996"/>
    </row>
    <row r="8" spans="1:17" s="2985" customFormat="1" ht="49.5" customHeight="1">
      <c r="A8" s="2981">
        <v>4</v>
      </c>
      <c r="B8" s="2981" t="s">
        <v>3102</v>
      </c>
      <c r="C8" s="3000"/>
      <c r="D8" s="3000"/>
      <c r="E8" s="3000"/>
      <c r="F8" s="3000">
        <f>SUM(F4:F7)</f>
        <v>6</v>
      </c>
      <c r="G8" s="3001">
        <f>SUM(G4:G7)</f>
        <v>3565.17</v>
      </c>
      <c r="H8" s="3002"/>
      <c r="I8" s="3002"/>
      <c r="J8" s="2981"/>
      <c r="K8" s="2981"/>
      <c r="L8" s="3003">
        <f>SUM(L4:L7)</f>
        <v>0</v>
      </c>
      <c r="M8" s="3004">
        <f>SUM(M4:M7)</f>
        <v>0</v>
      </c>
      <c r="N8" s="3005"/>
      <c r="O8" s="3005"/>
      <c r="P8" s="3006"/>
    </row>
  </sheetData>
  <mergeCells count="1">
    <mergeCell ref="A1:J1"/>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1635</v>
      </c>
      <c r="B2" s="3036" t="s">
        <v>1636</v>
      </c>
      <c r="C2" s="3036" t="s">
        <v>1637</v>
      </c>
      <c r="D2" s="3036" t="str">
        <f>'结果表（1）'!D116</f>
        <v>出让国有建设用地使用权价值</v>
      </c>
      <c r="E2" s="3036"/>
      <c r="F2" s="3036" t="str">
        <f>'结果表（1）'!F116</f>
        <v>在建建筑物价值</v>
      </c>
      <c r="G2" s="3036"/>
      <c r="H2" s="3036" t="str">
        <f>IF(项目基本情况!B9="房地产市场价值","房地产市场价值","房地产价值")</f>
        <v>房地产价值</v>
      </c>
      <c r="I2" s="3036"/>
    </row>
    <row r="3" spans="1:9" ht="15">
      <c r="A3" s="3037"/>
      <c r="B3" s="3037"/>
      <c r="C3" s="3037"/>
      <c r="D3" s="1043" t="s">
        <v>1632</v>
      </c>
      <c r="E3" s="1043" t="s">
        <v>1638</v>
      </c>
      <c r="F3" s="1043" t="s">
        <v>1632</v>
      </c>
      <c r="G3" s="1043" t="s">
        <v>1633</v>
      </c>
      <c r="H3" s="1043" t="s">
        <v>1632</v>
      </c>
      <c r="I3" s="1043" t="s">
        <v>1633</v>
      </c>
    </row>
    <row r="4" spans="1:9" ht="30">
      <c r="A4" s="1971" t="str">
        <f>项目基本情况!S2</f>
        <v>北京市出让国有建设用地使用权及在建建筑物房地产</v>
      </c>
      <c r="B4" s="1043">
        <f>项目基本情况!C17</f>
        <v>708.8</v>
      </c>
      <c r="C4" s="1043">
        <f>项目基本情况!C18</f>
        <v>0</v>
      </c>
      <c r="D4" s="1043" t="e">
        <f ca="1">'结果表（1）'!D118</f>
        <v>#REF!</v>
      </c>
      <c r="E4" s="1043" t="e">
        <f ca="1">'结果表（1）'!E118</f>
        <v>#REF!</v>
      </c>
      <c r="F4" s="1043" t="e">
        <f ca="1">'结果表（1）'!F118</f>
        <v>#REF!</v>
      </c>
      <c r="G4" s="1043" t="e">
        <f ca="1">'结果表（1）'!G118</f>
        <v>#REF!</v>
      </c>
      <c r="H4" s="1043">
        <f ca="1">'结果表（1）'!H118</f>
        <v>232</v>
      </c>
      <c r="I4" s="1043">
        <f ca="1">'结果表（1）'!I118</f>
        <v>3273</v>
      </c>
    </row>
    <row r="5" spans="1:9" ht="30" customHeight="1">
      <c r="A5" s="3037" t="s">
        <v>1634</v>
      </c>
      <c r="B5" s="3037"/>
      <c r="C5" s="3037"/>
      <c r="D5" s="3038" t="e">
        <f ca="1">'结果表（1）'!D119</f>
        <v>#REF!</v>
      </c>
      <c r="E5" s="3038"/>
      <c r="F5" s="3038" t="e">
        <f ca="1">'结果表（1）'!F119</f>
        <v>#REF!</v>
      </c>
      <c r="G5" s="3038"/>
      <c r="H5" s="3038" t="str">
        <f ca="1">'结果表（1）'!H119</f>
        <v>贰佰叁拾贰万元整</v>
      </c>
      <c r="I5" s="3038"/>
    </row>
    <row r="6" spans="1:9" ht="15.75">
      <c r="A6" s="3039" t="str">
        <f>'结果表（1）'!A120</f>
        <v>估价师知悉的法定优先受偿款</v>
      </c>
      <c r="B6" s="3039"/>
      <c r="C6" s="3039"/>
      <c r="D6" s="3039">
        <f>'结果表（1）'!D120</f>
        <v>0</v>
      </c>
      <c r="E6" s="3039"/>
      <c r="F6" s="3039"/>
      <c r="G6" s="3039"/>
      <c r="H6" s="3039"/>
      <c r="I6" s="3039"/>
    </row>
    <row r="7" spans="1:9" ht="15">
      <c r="A7" s="3037" t="s">
        <v>1634</v>
      </c>
      <c r="B7" s="3037"/>
      <c r="C7" s="3037"/>
      <c r="D7" s="3040" t="str">
        <f>'结果表（1）'!D121</f>
        <v>零元整</v>
      </c>
      <c r="E7" s="3041"/>
      <c r="F7" s="3041"/>
      <c r="G7" s="3041"/>
      <c r="H7" s="3041"/>
      <c r="I7" s="3042"/>
    </row>
    <row r="8" spans="1:9" ht="15.75">
      <c r="A8" s="3039" t="str">
        <f>'结果表（1）'!A122</f>
        <v>房地产抵押价值</v>
      </c>
      <c r="B8" s="3039"/>
      <c r="C8" s="3039"/>
      <c r="D8" s="3039">
        <f ca="1">'结果表（1）'!D122</f>
        <v>232</v>
      </c>
      <c r="E8" s="3039"/>
      <c r="F8" s="3039"/>
      <c r="G8" s="3039"/>
      <c r="H8" s="3039"/>
      <c r="I8" s="3039"/>
    </row>
    <row r="9" spans="1:9" ht="15">
      <c r="A9" s="3037" t="s">
        <v>1634</v>
      </c>
      <c r="B9" s="3037"/>
      <c r="C9" s="3037"/>
      <c r="D9" s="3038" t="str">
        <f ca="1">'结果表（1）'!D123</f>
        <v>贰佰叁拾贰万元整</v>
      </c>
      <c r="E9" s="3038"/>
      <c r="F9" s="3038"/>
      <c r="G9" s="3038"/>
      <c r="H9" s="3038"/>
      <c r="I9" s="3038"/>
    </row>
    <row r="10" spans="1:9" ht="15.75">
      <c r="A10" s="3039" t="str">
        <f>'结果表（1）'!A124</f>
        <v/>
      </c>
      <c r="B10" s="3039"/>
      <c r="C10" s="3039"/>
      <c r="D10" s="3039" t="str">
        <f>'结果表（1）'!D124</f>
        <v>——</v>
      </c>
      <c r="E10" s="3039"/>
      <c r="F10" s="3039"/>
      <c r="G10" s="3039"/>
      <c r="H10" s="3039"/>
      <c r="I10" s="3039"/>
    </row>
    <row r="11" spans="1:9" ht="15">
      <c r="A11" s="3037" t="s">
        <v>1634</v>
      </c>
      <c r="B11" s="3037"/>
      <c r="C11" s="3037"/>
      <c r="D11" s="3038" t="e">
        <f>'结果表（1）'!D125</f>
        <v>#VALUE!</v>
      </c>
      <c r="E11" s="3038"/>
      <c r="F11" s="3038"/>
      <c r="G11" s="3038"/>
      <c r="H11" s="3038"/>
      <c r="I11" s="3038"/>
    </row>
    <row r="12" spans="1:9" ht="15.75">
      <c r="A12" s="3039" t="str">
        <f>'结果表（1）'!A126</f>
        <v>抵押净值</v>
      </c>
      <c r="B12" s="3039"/>
      <c r="C12" s="3039"/>
      <c r="D12" s="3039">
        <f ca="1">'结果表（1）'!D126</f>
        <v>100</v>
      </c>
      <c r="E12" s="3039"/>
      <c r="F12" s="3039"/>
      <c r="G12" s="3039"/>
      <c r="H12" s="3039"/>
      <c r="I12" s="3039"/>
    </row>
    <row r="13" spans="1:9" ht="15.75" thickBot="1">
      <c r="A13" s="3043" t="s">
        <v>1634</v>
      </c>
      <c r="B13" s="3043"/>
      <c r="C13" s="3043"/>
      <c r="D13" s="3044" t="str">
        <f ca="1">'结果表（1）'!D127</f>
        <v>壹佰万元整</v>
      </c>
      <c r="E13" s="3044"/>
      <c r="F13" s="3044"/>
      <c r="G13" s="3044"/>
      <c r="H13" s="3044"/>
      <c r="I13" s="3044"/>
    </row>
    <row r="14" spans="1:9" ht="15" thickTop="1">
      <c r="A14" s="3045" t="s">
        <v>1639</v>
      </c>
      <c r="B14" s="3045"/>
      <c r="C14" s="3045"/>
      <c r="D14" s="3045"/>
      <c r="E14" s="3045"/>
      <c r="F14" s="3045"/>
      <c r="G14" s="3045"/>
      <c r="H14" s="3045"/>
      <c r="I14" s="3045"/>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46" t="s">
        <v>1656</v>
      </c>
      <c r="B1" s="3046"/>
      <c r="C1" s="3046"/>
      <c r="D1" s="3046"/>
    </row>
    <row r="2" spans="1:4" ht="18">
      <c r="A2" s="3047" t="s">
        <v>1640</v>
      </c>
      <c r="B2" s="3047"/>
      <c r="C2" s="3047"/>
      <c r="D2" s="3047"/>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47" t="s">
        <v>1646</v>
      </c>
      <c r="B6" s="3047"/>
      <c r="C6" s="3047"/>
      <c r="D6" s="3047"/>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3048" t="s">
        <v>1649</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9" t="str">
        <f>IF(项目基本情况!B8="抵押","4.本次评估估价师所知悉的法定优先受偿款情况说明如下：","——")</f>
        <v>4.本次评估估价师所知悉的法定优先受偿款情况说明如下：</v>
      </c>
      <c r="B14" s="3050"/>
      <c r="C14" s="3050"/>
      <c r="D14" s="3050"/>
    </row>
    <row r="15" spans="1:4" ht="42" customHeight="1">
      <c r="A15" s="30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9"/>
      <c r="C15" s="3049"/>
      <c r="D15" s="3049"/>
    </row>
    <row r="16" spans="1:4" ht="30" customHeight="1">
      <c r="A16" s="3052" t="s">
        <v>1650</v>
      </c>
      <c r="B16" s="3052"/>
      <c r="C16" s="3052"/>
      <c r="D16" s="3052"/>
    </row>
    <row r="17" spans="1:4" ht="144" customHeight="1">
      <c r="A17" s="3052" t="s">
        <v>1651</v>
      </c>
      <c r="B17" s="3052"/>
      <c r="C17" s="3052"/>
      <c r="D17" s="3052"/>
    </row>
    <row r="18" spans="1:4" ht="15.75" customHeight="1">
      <c r="A18" s="3049" t="str">
        <f>IF(项目基本情况!B8="抵押",'结果表（1）'!K120,"——")</f>
        <v>故，本次评估不存在估价师知悉的法定优先受偿款</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9"/>
      <c r="C20" s="3049"/>
      <c r="D20" s="3049"/>
    </row>
    <row r="21" spans="1:4" ht="57.75" customHeight="1">
      <c r="A21" s="3053"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3"/>
      <c r="C21" s="3053"/>
      <c r="D21" s="3053"/>
    </row>
    <row r="22" spans="1:4" ht="18.75" customHeight="1">
      <c r="A22" s="3054" t="s">
        <v>1652</v>
      </c>
      <c r="B22" s="3054"/>
      <c r="C22" s="3054"/>
      <c r="D22" s="3054"/>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51">
        <v>42551</v>
      </c>
      <c r="D31" s="30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60" t="s">
        <v>1663</v>
      </c>
      <c r="B15" s="3055" t="s">
        <v>136</v>
      </c>
      <c r="C15" s="3056"/>
    </row>
    <row r="16" spans="1:7" ht="13.5">
      <c r="A16" s="3061"/>
      <c r="B16" s="3055" t="s">
        <v>69</v>
      </c>
      <c r="C16" s="3056"/>
    </row>
    <row r="17" spans="1:3" ht="13.5">
      <c r="A17" s="3061"/>
      <c r="B17" s="3058" t="s">
        <v>1664</v>
      </c>
      <c r="C17" s="1998" t="s">
        <v>1663</v>
      </c>
    </row>
    <row r="18" spans="1:3" ht="13.5">
      <c r="A18" s="3061"/>
      <c r="B18" s="3058"/>
      <c r="C18" s="1998" t="s">
        <v>1665</v>
      </c>
    </row>
    <row r="19" spans="1:3" ht="13.5">
      <c r="A19" s="3061"/>
      <c r="B19" s="3058"/>
      <c r="C19" s="1998" t="s">
        <v>1666</v>
      </c>
    </row>
    <row r="20" spans="1:3" ht="13.5">
      <c r="A20" s="3062"/>
      <c r="B20" s="3057" t="s">
        <v>1667</v>
      </c>
      <c r="C20" s="3056"/>
    </row>
    <row r="21" spans="1:3" ht="13.5">
      <c r="A21" s="1999" t="s">
        <v>1668</v>
      </c>
      <c r="B21" s="2000"/>
      <c r="C21" s="2001"/>
    </row>
    <row r="22" spans="1:3" ht="13.5">
      <c r="A22" s="3059" t="s">
        <v>1669</v>
      </c>
      <c r="B22" s="3057" t="s">
        <v>1670</v>
      </c>
      <c r="C22" s="3056"/>
    </row>
    <row r="23" spans="1:3" ht="13.5">
      <c r="A23" s="3059"/>
      <c r="B23" s="3057" t="s">
        <v>1671</v>
      </c>
      <c r="C23" s="3056"/>
    </row>
    <row r="24" spans="1:3" ht="13.5">
      <c r="A24" s="3059"/>
      <c r="B24" s="3057" t="s">
        <v>1672</v>
      </c>
      <c r="C24" s="3056"/>
    </row>
    <row r="25" spans="1:3" ht="13.5">
      <c r="A25" s="3059"/>
      <c r="B25" s="3058" t="s">
        <v>1673</v>
      </c>
      <c r="C25" s="1998" t="s">
        <v>1674</v>
      </c>
    </row>
    <row r="26" spans="1:3" ht="13.5">
      <c r="A26" s="3059"/>
      <c r="B26" s="3058"/>
      <c r="C26" s="1998" t="s">
        <v>1675</v>
      </c>
    </row>
    <row r="27" spans="1:3" ht="13.5">
      <c r="A27" s="3059"/>
      <c r="B27" s="3058"/>
      <c r="C27" s="1998" t="s">
        <v>1676</v>
      </c>
    </row>
    <row r="28" spans="1:3" ht="13.5">
      <c r="A28" s="3059"/>
      <c r="B28" s="3058"/>
      <c r="C28" s="1998" t="s">
        <v>1677</v>
      </c>
    </row>
    <row r="29" spans="1:3" ht="13.5">
      <c r="A29" s="3059"/>
      <c r="B29" s="3058"/>
      <c r="C29" s="1998" t="s">
        <v>1678</v>
      </c>
    </row>
    <row r="30" spans="1:3" ht="13.5">
      <c r="A30" s="3059"/>
      <c r="B30" s="3058"/>
      <c r="C30" s="1998" t="s">
        <v>1679</v>
      </c>
    </row>
    <row r="31" spans="1:3" ht="13.5">
      <c r="A31" s="3059"/>
      <c r="B31" s="3058"/>
      <c r="C31" s="1998" t="s">
        <v>1680</v>
      </c>
    </row>
    <row r="32" spans="1:3" ht="13.5">
      <c r="A32" s="3059"/>
      <c r="B32" s="3058"/>
      <c r="C32" s="1998" t="s">
        <v>1681</v>
      </c>
    </row>
    <row r="33" spans="1:3" ht="13.5">
      <c r="A33" s="3059"/>
      <c r="B33" s="3058"/>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43929</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929">
        <v>44876</v>
      </c>
      <c r="D4" s="2350" t="s">
        <v>832</v>
      </c>
      <c r="E4" s="1021">
        <f ca="1">IF(F4&lt;B2,"已过期",96010014)</f>
        <v>96010014</v>
      </c>
      <c r="F4" s="1029">
        <v>47118</v>
      </c>
    </row>
    <row r="5" spans="1:6" ht="24" customHeight="1">
      <c r="A5" s="1701"/>
      <c r="B5" s="1021"/>
      <c r="C5" s="2347"/>
      <c r="D5" s="2350"/>
      <c r="E5" s="1021"/>
      <c r="F5" s="1029"/>
    </row>
    <row r="6" spans="1:6" ht="24" customHeight="1">
      <c r="A6" s="1701" t="s">
        <v>833</v>
      </c>
      <c r="B6" s="1021">
        <f ca="1">IF(C6&lt;B2,"已过期",1119970111)</f>
        <v>1119970111</v>
      </c>
      <c r="C6" s="2347">
        <v>44876</v>
      </c>
      <c r="D6" s="2350" t="s">
        <v>833</v>
      </c>
      <c r="E6" s="1021">
        <f ca="1">IF(F6&lt;B2,"已过期",94010078)</f>
        <v>94010078</v>
      </c>
      <c r="F6" s="1029">
        <v>46387</v>
      </c>
    </row>
    <row r="7" spans="1:6" ht="24" customHeight="1">
      <c r="A7" s="1701" t="s">
        <v>834</v>
      </c>
      <c r="B7" s="1021">
        <f ca="1">IF(C7&lt;B2,"已过期",1120050019)</f>
        <v>1120050019</v>
      </c>
      <c r="C7" s="2347">
        <v>44395</v>
      </c>
      <c r="D7" s="2350" t="s">
        <v>834</v>
      </c>
      <c r="E7" s="1021">
        <f ca="1">IF(F7&lt;B2,"已过期",2002110030)</f>
        <v>2002110030</v>
      </c>
      <c r="F7" s="1029">
        <v>46387</v>
      </c>
    </row>
    <row r="8" spans="1:6" ht="24" customHeight="1">
      <c r="A8" s="1701" t="s">
        <v>835</v>
      </c>
      <c r="B8" s="1021">
        <f ca="1">IF(C8&lt;B2,"已过期",1120000080)</f>
        <v>1120000080</v>
      </c>
      <c r="C8" s="2929">
        <v>44876</v>
      </c>
      <c r="D8" s="2350" t="s">
        <v>835</v>
      </c>
      <c r="E8" s="1021">
        <f ca="1">IF(F8&lt;B2,"已过期",2000110082)</f>
        <v>2000110082</v>
      </c>
      <c r="F8" s="1029">
        <v>46387</v>
      </c>
    </row>
    <row r="9" spans="1:6" ht="24" customHeight="1">
      <c r="A9" s="1701" t="s">
        <v>836</v>
      </c>
      <c r="B9" s="1021">
        <f ca="1">IF(C9&lt;B2,"已过期",1419970001)</f>
        <v>1419970001</v>
      </c>
      <c r="C9" s="2929">
        <v>44899</v>
      </c>
      <c r="D9" s="2350" t="s">
        <v>836</v>
      </c>
      <c r="E9" s="1021">
        <f ca="1">IF(F9&lt;B2,"已过期",2002110125)</f>
        <v>2002110125</v>
      </c>
      <c r="F9" s="1029">
        <v>47118</v>
      </c>
    </row>
    <row r="10" spans="1:6" ht="24" customHeight="1">
      <c r="A10" s="1701" t="s">
        <v>837</v>
      </c>
      <c r="B10" s="1021">
        <f ca="1">IF(C10&lt;B2,"已过期",1120060040)</f>
        <v>1120060040</v>
      </c>
      <c r="C10" s="2347">
        <v>44554</v>
      </c>
      <c r="D10" s="2350" t="s">
        <v>837</v>
      </c>
      <c r="E10" s="1021">
        <f ca="1">IF(F10&lt;B2,"已过期",2004110096)</f>
        <v>2004110096</v>
      </c>
      <c r="F10" s="1029">
        <v>47118</v>
      </c>
    </row>
    <row r="11" spans="1:6" ht="24" customHeight="1">
      <c r="A11" s="1701" t="s">
        <v>838</v>
      </c>
      <c r="B11" s="1021">
        <f ca="1">IF(C11&lt;B2,"已过期",1120100036)</f>
        <v>1120100036</v>
      </c>
      <c r="C11" s="2347">
        <v>44675</v>
      </c>
      <c r="D11" s="2350" t="s">
        <v>838</v>
      </c>
      <c r="E11" s="1021">
        <f ca="1">IF(F11&lt;B2,"已过期",2010110070)</f>
        <v>2010110070</v>
      </c>
      <c r="F11" s="1029">
        <v>47907</v>
      </c>
    </row>
    <row r="12" spans="1:6" ht="24" customHeight="1">
      <c r="A12" s="1701"/>
      <c r="B12" s="1021"/>
      <c r="C12" s="2929"/>
      <c r="D12" s="1701"/>
      <c r="E12" s="1021"/>
      <c r="F12" s="1029"/>
    </row>
    <row r="13" spans="1:6" ht="24" customHeight="1">
      <c r="A13" s="1701" t="s">
        <v>839</v>
      </c>
      <c r="B13" s="1021">
        <f ca="1">IF(C13&lt;B2,"已过期",1120070131)</f>
        <v>1120070131</v>
      </c>
      <c r="C13" s="2347">
        <v>44849</v>
      </c>
      <c r="D13" s="2350" t="s">
        <v>839</v>
      </c>
      <c r="E13" s="1021">
        <f ca="1">IF(F13&lt;B2,"已过期",2014110011)</f>
        <v>2014110011</v>
      </c>
      <c r="F13" s="1029">
        <v>49302</v>
      </c>
    </row>
    <row r="14" spans="1:6" ht="24" customHeight="1">
      <c r="A14" s="1701" t="s">
        <v>3044</v>
      </c>
      <c r="B14" s="1021">
        <f ca="1">IF(C14&lt;B2,"已过期",1120040230)</f>
        <v>1120040230</v>
      </c>
      <c r="C14" s="2347">
        <v>44864</v>
      </c>
      <c r="D14" s="2350" t="s">
        <v>3044</v>
      </c>
      <c r="E14" s="1021">
        <f ca="1">IF(F14&lt;B2,"已过期",98030020)</f>
        <v>98030020</v>
      </c>
      <c r="F14" s="1029">
        <v>47118</v>
      </c>
    </row>
    <row r="15" spans="1:6" ht="24" customHeight="1">
      <c r="A15" s="1702"/>
      <c r="B15" s="1021"/>
      <c r="C15" s="2347"/>
      <c r="D15" s="2351"/>
      <c r="E15" s="1021"/>
      <c r="F15" s="1022"/>
    </row>
    <row r="16" spans="1:6" ht="24" customHeight="1">
      <c r="A16" s="1701"/>
      <c r="B16" s="1021"/>
      <c r="C16" s="2929"/>
      <c r="D16" s="2350"/>
      <c r="E16" s="1021"/>
      <c r="F16" s="1029"/>
    </row>
    <row r="17" spans="1:7" ht="24" customHeight="1">
      <c r="A17" s="1701"/>
      <c r="B17" s="1021"/>
      <c r="C17" s="2347"/>
      <c r="D17" s="2350"/>
      <c r="E17" s="1021"/>
      <c r="F17" s="1029"/>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840</v>
      </c>
      <c r="E21" s="1021">
        <f ca="1">IF(F21&lt;B2,"已过期",2011110090)</f>
        <v>2011110090</v>
      </c>
      <c r="F21" s="1029">
        <v>48302</v>
      </c>
    </row>
    <row r="22" spans="1:7" ht="24" customHeight="1">
      <c r="A22" s="1701" t="s">
        <v>841</v>
      </c>
      <c r="B22" s="1021">
        <f ca="1">IF(C22&lt;B2,"已过期",1120020033)</f>
        <v>1120020033</v>
      </c>
      <c r="C22" s="2929">
        <v>44339</v>
      </c>
      <c r="D22" s="2350" t="s">
        <v>841</v>
      </c>
      <c r="E22" s="1021">
        <f ca="1">IF(F22&lt;B2,"已过期",2000110137)</f>
        <v>2000110137</v>
      </c>
      <c r="F22" s="1029">
        <v>46387</v>
      </c>
    </row>
    <row r="23" spans="1:7" ht="24" customHeight="1">
      <c r="A23" s="1701" t="s">
        <v>3053</v>
      </c>
      <c r="B23" s="1021">
        <v>1119980106</v>
      </c>
      <c r="C23" s="2347">
        <v>43916</v>
      </c>
      <c r="D23" s="1701" t="s">
        <v>3056</v>
      </c>
      <c r="E23" s="1021">
        <v>96010063</v>
      </c>
      <c r="F23" s="1029">
        <v>47118</v>
      </c>
    </row>
    <row r="24" spans="1:7" s="1023" customFormat="1" ht="24" customHeight="1">
      <c r="A24" s="1702" t="s">
        <v>1328</v>
      </c>
      <c r="B24" s="1702" t="s">
        <v>1328</v>
      </c>
      <c r="C24" s="2348" t="s">
        <v>1328</v>
      </c>
      <c r="D24" s="2351" t="s">
        <v>1328</v>
      </c>
      <c r="E24" s="1702" t="s">
        <v>1328</v>
      </c>
      <c r="F24" s="1702" t="s">
        <v>1328</v>
      </c>
    </row>
    <row r="25" spans="1:7" ht="24" customHeight="1">
      <c r="A25" s="3063" t="s">
        <v>842</v>
      </c>
      <c r="B25" s="3063"/>
      <c r="C25" s="3063"/>
      <c r="D25" s="3063"/>
      <c r="E25" s="3063"/>
      <c r="F25" s="3063"/>
      <c r="G25" s="3063"/>
    </row>
    <row r="26" spans="1:7" s="1024" customFormat="1" ht="24" customHeight="1">
      <c r="A26" s="3064" t="s">
        <v>843</v>
      </c>
      <c r="B26" s="3064"/>
      <c r="C26" s="3065"/>
      <c r="D26" s="3066" t="s">
        <v>844</v>
      </c>
      <c r="E26" s="3064"/>
      <c r="F26" s="3064"/>
    </row>
    <row r="27" spans="1:7" s="1026" customFormat="1" ht="24" customHeight="1">
      <c r="A27" s="1025" t="s">
        <v>845</v>
      </c>
      <c r="B27" s="1020" t="s">
        <v>846</v>
      </c>
      <c r="C27" s="2346" t="s">
        <v>847</v>
      </c>
      <c r="D27" s="2353" t="s">
        <v>845</v>
      </c>
      <c r="E27" s="1020" t="s">
        <v>846</v>
      </c>
      <c r="F27" s="1020" t="s">
        <v>847</v>
      </c>
    </row>
    <row r="28" spans="1:7" s="1026" customFormat="1" ht="24" customHeight="1">
      <c r="A28" s="1027" t="s">
        <v>848</v>
      </c>
      <c r="B28" s="1028" t="s">
        <v>849</v>
      </c>
      <c r="C28" s="1029">
        <v>44820</v>
      </c>
      <c r="D28" s="2354" t="s">
        <v>850</v>
      </c>
      <c r="E28" s="1027" t="s">
        <v>851</v>
      </c>
      <c r="F28" s="1057">
        <v>44377</v>
      </c>
    </row>
    <row r="29" spans="1:7" s="1026" customFormat="1" ht="24" customHeight="1">
      <c r="A29" s="1027"/>
      <c r="B29" s="1027"/>
      <c r="C29" s="2352"/>
      <c r="D29" s="2354" t="s">
        <v>852</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2020-04-07T05:15:37Z</cp:lastPrinted>
  <dcterms:created xsi:type="dcterms:W3CDTF">2015-07-13T07:17:23Z</dcterms:created>
  <dcterms:modified xsi:type="dcterms:W3CDTF">2020-04-08T08:02:48Z</dcterms:modified>
</cp:coreProperties>
</file>