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项目\财智国际大厦\"/>
    </mc:Choice>
  </mc:AlternateContent>
  <xr:revisionPtr revIDLastSave="0" documentId="13_ncr:1_{D021AD81-48C7-4A28-8574-14F6C978FDAC}" xr6:coauthVersionLast="47" xr6:coauthVersionMax="47" xr10:uidLastSave="{00000000-0000-0000-0000-000000000000}"/>
  <bookViews>
    <workbookView xWindow="-108" yWindow="-108" windowWidth="23256" windowHeight="12576" tabRatio="885" firstSheet="8"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估价师及机构信息" sheetId="48" r:id="rId7"/>
    <sheet name="定义" sheetId="10" state="hidden" r:id="rId8"/>
    <sheet name="项目基本情况" sheetId="4" r:id="rId9"/>
    <sheet name="抵押物清单（分楼）" sheetId="42" state="hidden" r:id="rId10"/>
    <sheet name="使用说明" sheetId="41"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8"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6">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8">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9" i="31" l="1"/>
  <c r="A30" i="31"/>
  <c r="A31" i="31"/>
  <c r="A32" i="31"/>
  <c r="A28" i="31"/>
  <c r="A27" i="31"/>
  <c r="B29" i="31"/>
  <c r="B30" i="31"/>
  <c r="B31" i="31"/>
  <c r="B32" i="31"/>
  <c r="B28" i="31"/>
  <c r="I48" i="34"/>
  <c r="G48" i="34"/>
  <c r="E48" i="34"/>
  <c r="E5" i="1"/>
  <c r="G20" i="1"/>
  <c r="E20" i="1" s="1"/>
  <c r="C34" i="34"/>
  <c r="G12" i="64"/>
  <c r="C12" i="4" s="1"/>
  <c r="C6" i="11"/>
  <c r="C37" i="34" l="1"/>
  <c r="E37" i="34" s="1"/>
  <c r="G37" i="34" s="1"/>
  <c r="I37" i="34" s="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D7" i="63" s="1"/>
  <c r="C26" i="63" s="1"/>
  <c r="R14" i="63"/>
  <c r="R24" i="63" s="1"/>
  <c r="E23" i="63"/>
  <c r="D26" i="63"/>
  <c r="C29" i="63"/>
  <c r="R35" i="63"/>
  <c r="U34" i="63" s="1"/>
  <c r="D29" i="63"/>
  <c r="D32" i="63"/>
  <c r="AH10" i="59"/>
  <c r="AG10" i="59"/>
  <c r="AE10" i="59"/>
  <c r="AF10" i="59" s="1"/>
  <c r="AD10" i="59"/>
  <c r="Q10" i="59"/>
  <c r="P10" i="59"/>
  <c r="O10" i="59"/>
  <c r="N10" i="59"/>
  <c r="C32" i="63" l="1"/>
  <c r="C38" i="63" s="1"/>
  <c r="C39" i="63" s="1"/>
  <c r="E11" i="63"/>
  <c r="E7" i="63" s="1"/>
  <c r="C27" i="63" s="1"/>
  <c r="R25" i="63"/>
  <c r="R19" i="63"/>
  <c r="E26" i="63"/>
  <c r="E38" i="63"/>
  <c r="E39" i="63" s="1"/>
  <c r="E29" i="63"/>
  <c r="E32" i="63" s="1"/>
  <c r="AH11" i="59"/>
  <c r="AG11" i="59"/>
  <c r="AE11" i="59"/>
  <c r="AF11" i="59" s="1"/>
  <c r="AD11" i="59"/>
  <c r="Q11" i="59"/>
  <c r="P11" i="59"/>
  <c r="O11" i="59"/>
  <c r="N11" i="59"/>
  <c r="C40" i="63" l="1"/>
  <c r="C41" i="63" s="1"/>
  <c r="R5" i="63"/>
  <c r="U5" i="63" s="1"/>
  <c r="E20" i="43"/>
  <c r="B2" i="63" l="1"/>
  <c r="B3" i="63" s="1"/>
  <c r="AH12" i="59"/>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F25" i="59" s="1"/>
  <c r="V25" i="59" s="1"/>
  <c r="P25" i="59"/>
  <c r="E25" i="59" s="1"/>
  <c r="E24" i="59" s="1"/>
  <c r="E23" i="59" s="1"/>
  <c r="E22" i="59" s="1"/>
  <c r="E21" i="59" s="1"/>
  <c r="E20" i="59" s="1"/>
  <c r="E19" i="59" s="1"/>
  <c r="E18" i="59" s="1"/>
  <c r="E17" i="59" s="1"/>
  <c r="O25" i="59"/>
  <c r="N25" i="59"/>
  <c r="Q26" i="59"/>
  <c r="P26" i="59"/>
  <c r="O26" i="59"/>
  <c r="N26" i="59"/>
  <c r="D26" i="59"/>
  <c r="C25" i="59"/>
  <c r="C24" i="59" s="1"/>
  <c r="T25"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s="1"/>
  <c r="AD9" i="43"/>
  <c r="AD12" i="43" s="1"/>
  <c r="AC9" i="43"/>
  <c r="AC12" i="43" s="1"/>
  <c r="AB9" i="43"/>
  <c r="AB12" i="43"/>
  <c r="AA9" i="43"/>
  <c r="AA10" i="43" s="1"/>
  <c r="Z9" i="43"/>
  <c r="Z12" i="43" s="1"/>
  <c r="AE10" i="43"/>
  <c r="AG10" i="43"/>
  <c r="AB10" i="43"/>
  <c r="AD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F84" i="59" s="1"/>
  <c r="F83" i="59" s="1"/>
  <c r="E85" i="59"/>
  <c r="E84" i="59" s="1"/>
  <c r="E83" i="59" s="1"/>
  <c r="C85" i="59"/>
  <c r="D85" i="59"/>
  <c r="B85" i="59"/>
  <c r="B84" i="59"/>
  <c r="B83" i="59"/>
  <c r="D82" i="59"/>
  <c r="S81"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C76" i="59" s="1"/>
  <c r="D76" i="59" s="1"/>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C44" i="59" s="1"/>
  <c r="N42" i="59"/>
  <c r="B43" i="59"/>
  <c r="B44" i="59" s="1"/>
  <c r="D42" i="59"/>
  <c r="Q41" i="59"/>
  <c r="P41" i="59"/>
  <c r="O41" i="59"/>
  <c r="N41" i="59"/>
  <c r="Q40" i="59"/>
  <c r="P40" i="59"/>
  <c r="AA40" i="59"/>
  <c r="O40" i="59"/>
  <c r="Y40" i="59" s="1"/>
  <c r="Z40" i="59" s="1"/>
  <c r="N40" i="59"/>
  <c r="X40" i="59" s="1"/>
  <c r="Q39" i="59"/>
  <c r="AB39" i="59" s="1"/>
  <c r="P39" i="59"/>
  <c r="AA39" i="59" s="1"/>
  <c r="O39" i="59"/>
  <c r="Y39" i="59" s="1"/>
  <c r="Z39" i="59" s="1"/>
  <c r="N39" i="59"/>
  <c r="X39" i="59" s="1"/>
  <c r="Q38" i="59"/>
  <c r="F39" i="59" s="1"/>
  <c r="P38" i="59"/>
  <c r="E39" i="59"/>
  <c r="O38" i="59"/>
  <c r="C39" i="59"/>
  <c r="N38" i="59"/>
  <c r="B39" i="59" s="1"/>
  <c r="B40" i="59" s="1"/>
  <c r="B41" i="59" s="1"/>
  <c r="S41" i="59" s="1"/>
  <c r="D38" i="59"/>
  <c r="Q37" i="59"/>
  <c r="AB37" i="59" s="1"/>
  <c r="P37" i="59"/>
  <c r="AA37" i="59" s="1"/>
  <c r="O37" i="59"/>
  <c r="Y37" i="59" s="1"/>
  <c r="Z37" i="59" s="1"/>
  <c r="N37" i="59"/>
  <c r="X37" i="59" s="1"/>
  <c r="Q36" i="59"/>
  <c r="P36" i="59"/>
  <c r="O36" i="59"/>
  <c r="Y36" i="59" s="1"/>
  <c r="Z36" i="59" s="1"/>
  <c r="N36" i="59"/>
  <c r="Q35" i="59"/>
  <c r="P35" i="59"/>
  <c r="O35" i="59"/>
  <c r="N35" i="59"/>
  <c r="Q34" i="59"/>
  <c r="AB34" i="59" s="1"/>
  <c r="P34" i="59"/>
  <c r="O34" i="59"/>
  <c r="C35" i="59" s="1"/>
  <c r="N34" i="59"/>
  <c r="B35" i="59" s="1"/>
  <c r="B36" i="59" s="1"/>
  <c r="B37" i="59" s="1"/>
  <c r="S37" i="59" s="1"/>
  <c r="D34" i="59"/>
  <c r="Q33" i="59"/>
  <c r="P33" i="59"/>
  <c r="O33" i="59"/>
  <c r="N33" i="59"/>
  <c r="Q32" i="59"/>
  <c r="P32" i="59"/>
  <c r="O32" i="59"/>
  <c r="N32" i="59"/>
  <c r="X32" i="59" s="1"/>
  <c r="Q31" i="59"/>
  <c r="AB31" i="59" s="1"/>
  <c r="P31" i="59"/>
  <c r="AA29" i="59" s="1"/>
  <c r="O31" i="59"/>
  <c r="N31" i="59"/>
  <c r="Q30" i="59"/>
  <c r="P30" i="59"/>
  <c r="E31" i="59"/>
  <c r="O30" i="59"/>
  <c r="C31" i="59" s="1"/>
  <c r="N30" i="59"/>
  <c r="B31" i="59"/>
  <c r="B32" i="59" s="1"/>
  <c r="D30" i="59"/>
  <c r="O29" i="59"/>
  <c r="Y28" i="59" s="1"/>
  <c r="Z28" i="59" s="1"/>
  <c r="N29" i="59"/>
  <c r="X27" i="59" s="1"/>
  <c r="D39" i="59"/>
  <c r="P29" i="59"/>
  <c r="E29" i="59" s="1"/>
  <c r="E28" i="59" s="1"/>
  <c r="E27" i="59" s="1"/>
  <c r="Q29" i="59"/>
  <c r="F29" i="59" s="1"/>
  <c r="C60" i="59"/>
  <c r="C61" i="59" s="1"/>
  <c r="D59" i="59"/>
  <c r="T69" i="59"/>
  <c r="D77" i="59"/>
  <c r="C80" i="59"/>
  <c r="D80" i="59" s="1"/>
  <c r="D81" i="59"/>
  <c r="C84" i="59"/>
  <c r="D84" i="59" s="1"/>
  <c r="C88" i="59"/>
  <c r="C87" i="59" s="1"/>
  <c r="D87" i="59" s="1"/>
  <c r="AB27" i="59"/>
  <c r="B75" i="43"/>
  <c r="B66" i="43"/>
  <c r="B55" i="43"/>
  <c r="Q25" i="40"/>
  <c r="Z25" i="40" s="1"/>
  <c r="D93" i="40"/>
  <c r="E93" i="40" s="1"/>
  <c r="F93" i="40" s="1"/>
  <c r="G93" i="40" s="1"/>
  <c r="H25" i="40"/>
  <c r="U25" i="40" s="1"/>
  <c r="F25" i="40"/>
  <c r="AA25" i="40" s="1"/>
  <c r="Q27" i="39"/>
  <c r="Z27" i="39" s="1"/>
  <c r="D100" i="39"/>
  <c r="E100" i="39" s="1"/>
  <c r="F100" i="39" s="1"/>
  <c r="G100" i="39" s="1"/>
  <c r="Z18" i="36"/>
  <c r="Q18" i="36"/>
  <c r="F18" i="36"/>
  <c r="S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C29" i="39" s="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0" i="43" s="1"/>
  <c r="J99" i="43"/>
  <c r="J108" i="43"/>
  <c r="I99" i="43"/>
  <c r="I108" i="43" s="1"/>
  <c r="H99" i="43"/>
  <c r="H108" i="43" s="1"/>
  <c r="G99" i="43"/>
  <c r="G108" i="43"/>
  <c r="F99" i="43"/>
  <c r="F100" i="43" s="1"/>
  <c r="E99" i="43"/>
  <c r="E100" i="43" s="1"/>
  <c r="D99" i="43"/>
  <c r="D100" i="43" s="1"/>
  <c r="C99" i="43"/>
  <c r="C108" i="43" s="1"/>
  <c r="C100" i="43"/>
  <c r="G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c r="K71" i="43"/>
  <c r="J71" i="43" s="1"/>
  <c r="D71" i="43"/>
  <c r="M70" i="43"/>
  <c r="N70" i="43"/>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1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4" i="31"/>
  <c r="T34" i="31" s="1"/>
  <c r="R35" i="31"/>
  <c r="T35" i="31" s="1"/>
  <c r="R36" i="31"/>
  <c r="R37" i="31"/>
  <c r="T37" i="31" s="1"/>
  <c r="R38" i="31"/>
  <c r="T38" i="31" s="1"/>
  <c r="R39" i="31"/>
  <c r="T39" i="31" s="1"/>
  <c r="R40" i="31"/>
  <c r="R41" i="31"/>
  <c r="R42" i="31"/>
  <c r="R43" i="31"/>
  <c r="T43" i="31" s="1"/>
  <c r="R44" i="31"/>
  <c r="R45" i="31"/>
  <c r="R46" i="31"/>
  <c r="R47" i="31"/>
  <c r="T47" i="31" s="1"/>
  <c r="R48" i="31"/>
  <c r="R49" i="31"/>
  <c r="T49" i="31" s="1"/>
  <c r="R50" i="31"/>
  <c r="T50" i="31" s="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S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S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S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S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T477" i="31" s="1"/>
  <c r="R478" i="31"/>
  <c r="R479" i="31"/>
  <c r="T479" i="31" s="1"/>
  <c r="R480" i="31"/>
  <c r="T480" i="31" s="1"/>
  <c r="R481" i="31"/>
  <c r="R482" i="31"/>
  <c r="R483" i="31"/>
  <c r="T483" i="31" s="1"/>
  <c r="R484" i="31"/>
  <c r="R485" i="31"/>
  <c r="R486" i="31"/>
  <c r="R487" i="31"/>
  <c r="T487" i="31" s="1"/>
  <c r="R488" i="31"/>
  <c r="R489" i="31"/>
  <c r="S489" i="31" s="1"/>
  <c r="R490" i="31"/>
  <c r="R491" i="31"/>
  <c r="T491" i="31" s="1"/>
  <c r="R492" i="31"/>
  <c r="T492" i="31" s="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R517" i="31" s="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c r="J41" i="47"/>
  <c r="I41" i="47"/>
  <c r="L40" i="47"/>
  <c r="M40" i="47"/>
  <c r="J40" i="47"/>
  <c r="I40" i="47" s="1"/>
  <c r="L39" i="47"/>
  <c r="M39" i="47" s="1"/>
  <c r="J39" i="47"/>
  <c r="I39" i="47" s="1"/>
  <c r="L38" i="47"/>
  <c r="M38" i="47" s="1"/>
  <c r="J38" i="47"/>
  <c r="I38" i="47"/>
  <c r="L37" i="47"/>
  <c r="M37" i="47" s="1"/>
  <c r="J37" i="47"/>
  <c r="I37" i="47" s="1"/>
  <c r="L34" i="47"/>
  <c r="M34" i="47" s="1"/>
  <c r="J34" i="47"/>
  <c r="I34" i="47" s="1"/>
  <c r="L33" i="47"/>
  <c r="M33" i="47"/>
  <c r="J33" i="47"/>
  <c r="I33" i="47"/>
  <c r="L32" i="47"/>
  <c r="M32" i="47" s="1"/>
  <c r="J32" i="47"/>
  <c r="I32" i="47" s="1"/>
  <c r="L31" i="47"/>
  <c r="M31" i="47" s="1"/>
  <c r="J31" i="47"/>
  <c r="I31" i="47" s="1"/>
  <c r="D31" i="47" s="1"/>
  <c r="L30" i="47"/>
  <c r="M30" i="47" s="1"/>
  <c r="J30" i="47"/>
  <c r="I30" i="47" s="1"/>
  <c r="L29" i="47"/>
  <c r="M29" i="47" s="1"/>
  <c r="J29" i="47"/>
  <c r="I29" i="47"/>
  <c r="D29" i="47" s="1"/>
  <c r="L28" i="47"/>
  <c r="M28" i="47" s="1"/>
  <c r="J28" i="47"/>
  <c r="I28" i="47" s="1"/>
  <c r="L27" i="47"/>
  <c r="M27" i="47"/>
  <c r="J27" i="47"/>
  <c r="I27" i="47"/>
  <c r="L26" i="47"/>
  <c r="M26" i="47" s="1"/>
  <c r="J26" i="47"/>
  <c r="I26" i="47" s="1"/>
  <c r="L23" i="47"/>
  <c r="M23" i="47" s="1"/>
  <c r="J23" i="47"/>
  <c r="I23" i="47"/>
  <c r="L22" i="47"/>
  <c r="M22" i="47" s="1"/>
  <c r="J22" i="47"/>
  <c r="I22" i="47"/>
  <c r="L21" i="47"/>
  <c r="M21" i="47" s="1"/>
  <c r="J21" i="47"/>
  <c r="I21" i="47" s="1"/>
  <c r="L20" i="47"/>
  <c r="M20" i="47" s="1"/>
  <c r="J20" i="47"/>
  <c r="I20" i="47"/>
  <c r="L19" i="47"/>
  <c r="M19" i="47"/>
  <c r="J19" i="47"/>
  <c r="I19" i="47"/>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c r="D10" i="47" s="1"/>
  <c r="L10" i="47"/>
  <c r="M10" i="47"/>
  <c r="J11" i="47"/>
  <c r="I11" i="47"/>
  <c r="L11" i="47"/>
  <c r="M11" i="47"/>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8" i="31"/>
  <c r="S284" i="31"/>
  <c r="S282" i="31"/>
  <c r="S280" i="31"/>
  <c r="S274" i="31"/>
  <c r="S272" i="31"/>
  <c r="S268" i="31"/>
  <c r="S266" i="31"/>
  <c r="S260" i="31"/>
  <c r="S258" i="31"/>
  <c r="S257" i="31"/>
  <c r="S256" i="31"/>
  <c r="S254" i="31"/>
  <c r="S253" i="31"/>
  <c r="S251" i="31"/>
  <c r="S250" i="31"/>
  <c r="S249" i="31"/>
  <c r="S248" i="31"/>
  <c r="S244" i="31"/>
  <c r="S242" i="31"/>
  <c r="S241" i="31"/>
  <c r="S240" i="31"/>
  <c r="S239" i="31"/>
  <c r="S238" i="31"/>
  <c r="S237" i="31"/>
  <c r="S235" i="31"/>
  <c r="S232" i="31"/>
  <c r="S230" i="31"/>
  <c r="S229" i="31"/>
  <c r="S228" i="31"/>
  <c r="S227" i="31"/>
  <c r="S226" i="31"/>
  <c r="S428" i="31"/>
  <c r="S222" i="31"/>
  <c r="S220" i="31"/>
  <c r="S218" i="31"/>
  <c r="S216" i="31"/>
  <c r="S214" i="31"/>
  <c r="S212" i="31"/>
  <c r="S210" i="31"/>
  <c r="S206" i="31"/>
  <c r="S204" i="31"/>
  <c r="S196" i="31"/>
  <c r="S194" i="31"/>
  <c r="S192" i="31"/>
  <c r="S190" i="31"/>
  <c r="S188" i="31"/>
  <c r="S186" i="31"/>
  <c r="S184" i="31"/>
  <c r="S182" i="31"/>
  <c r="S180" i="31"/>
  <c r="S174" i="31"/>
  <c r="S172" i="31"/>
  <c r="S170" i="31"/>
  <c r="S166" i="31"/>
  <c r="S164" i="31"/>
  <c r="S162" i="31"/>
  <c r="S160" i="31"/>
  <c r="S156" i="31"/>
  <c r="S154" i="31"/>
  <c r="S152" i="31"/>
  <c r="S150" i="31"/>
  <c r="S148" i="31"/>
  <c r="S144" i="31"/>
  <c r="S142" i="31"/>
  <c r="S140" i="31"/>
  <c r="S138" i="31"/>
  <c r="S136" i="31"/>
  <c r="S132" i="31"/>
  <c r="S130" i="31"/>
  <c r="S128" i="31"/>
  <c r="S126" i="31"/>
  <c r="S499" i="31"/>
  <c r="S483" i="31"/>
  <c r="S475" i="31"/>
  <c r="S440" i="31"/>
  <c r="S436" i="31"/>
  <c r="S124" i="31"/>
  <c r="S120" i="31"/>
  <c r="S118" i="31"/>
  <c r="S116" i="31"/>
  <c r="S503" i="31"/>
  <c r="S464" i="31"/>
  <c r="S460" i="31"/>
  <c r="S43" i="31"/>
  <c r="S35" i="31"/>
  <c r="S72" i="31"/>
  <c r="S70" i="31"/>
  <c r="S68" i="31"/>
  <c r="S66" i="31"/>
  <c r="S64" i="31"/>
  <c r="S60" i="31"/>
  <c r="S58" i="31"/>
  <c r="S100" i="31"/>
  <c r="S96" i="31"/>
  <c r="S94" i="31"/>
  <c r="S92" i="31"/>
  <c r="S90" i="31"/>
  <c r="S88" i="31"/>
  <c r="S84" i="31"/>
  <c r="S82" i="31"/>
  <c r="S34" i="31"/>
  <c r="S102" i="31"/>
  <c r="S104" i="31"/>
  <c r="S106" i="31"/>
  <c r="S108" i="31"/>
  <c r="S112" i="31"/>
  <c r="S114" i="31"/>
  <c r="S448" i="31"/>
  <c r="S450" i="31"/>
  <c r="S452"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G111" i="21"/>
  <c r="H111" i="21"/>
  <c r="B109" i="39"/>
  <c r="F35" i="39" s="1"/>
  <c r="S35" i="39" s="1"/>
  <c r="B111" i="39"/>
  <c r="J30" i="36"/>
  <c r="H30" i="36"/>
  <c r="F30" i="36"/>
  <c r="AA30" i="36" s="1"/>
  <c r="C79" i="35"/>
  <c r="H26" i="35" s="1"/>
  <c r="J31" i="35"/>
  <c r="H31" i="35"/>
  <c r="AB31" i="35"/>
  <c r="F31" i="35"/>
  <c r="D87" i="35"/>
  <c r="E87" i="35" s="1"/>
  <c r="F87" i="35" s="1"/>
  <c r="G87" i="35" s="1"/>
  <c r="H87" i="35" s="1"/>
  <c r="I87" i="35" s="1"/>
  <c r="J87" i="35" s="1"/>
  <c r="K87" i="35"/>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G111" i="33" s="1"/>
  <c r="H111" i="33" s="1"/>
  <c r="I111" i="33" s="1"/>
  <c r="J111" i="33" s="1"/>
  <c r="K111" i="33" s="1"/>
  <c r="L111" i="33" s="1"/>
  <c r="M111" i="33" s="1"/>
  <c r="S519" i="31"/>
  <c r="S520" i="31"/>
  <c r="S522" i="31"/>
  <c r="S523" i="31"/>
  <c r="S524" i="31"/>
  <c r="S525" i="31"/>
  <c r="S526"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H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s="1"/>
  <c r="Q41" i="39"/>
  <c r="Z41" i="39"/>
  <c r="Q42" i="39"/>
  <c r="Z42" i="39" s="1"/>
  <c r="Q43" i="39"/>
  <c r="Z43" i="39" s="1"/>
  <c r="Q44" i="39"/>
  <c r="Z44" i="39" s="1"/>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F13" i="37" s="1"/>
  <c r="S13" i="37" s="1"/>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J25" i="37"/>
  <c r="AC25" i="37"/>
  <c r="F25" i="37"/>
  <c r="AA25" i="37" s="1"/>
  <c r="Q23" i="37"/>
  <c r="Z23" i="37"/>
  <c r="Q19" i="37"/>
  <c r="Z19" i="37" s="1"/>
  <c r="Q17" i="37"/>
  <c r="Z17" i="37"/>
  <c r="Q15" i="37"/>
  <c r="Z15" i="37"/>
  <c r="Q14" i="37"/>
  <c r="Z14" i="37" s="1"/>
  <c r="Q13" i="37"/>
  <c r="Z13" i="37" s="1"/>
  <c r="Q12" i="37"/>
  <c r="Z12" i="37"/>
  <c r="Q11" i="37"/>
  <c r="Z11" i="37" s="1"/>
  <c r="Q10" i="37"/>
  <c r="Z10" i="37"/>
  <c r="Q9" i="37"/>
  <c r="Z9" i="37"/>
  <c r="J8" i="37"/>
  <c r="W8" i="37" s="1"/>
  <c r="H8" i="37"/>
  <c r="AB8" i="37" s="1"/>
  <c r="F8" i="37"/>
  <c r="S8" i="37" s="1"/>
  <c r="J31" i="36"/>
  <c r="W31" i="36" s="1"/>
  <c r="H31" i="36"/>
  <c r="AB31" i="36"/>
  <c r="F31" i="36"/>
  <c r="M86" i="36"/>
  <c r="L86" i="36"/>
  <c r="K86" i="36"/>
  <c r="J86" i="36"/>
  <c r="I86" i="36"/>
  <c r="H86" i="36"/>
  <c r="G86" i="36"/>
  <c r="F86" i="36"/>
  <c r="E86" i="36"/>
  <c r="D86" i="36"/>
  <c r="C86" i="36"/>
  <c r="D85" i="36"/>
  <c r="E85" i="36" s="1"/>
  <c r="H29" i="36"/>
  <c r="U29" i="36"/>
  <c r="D81" i="36"/>
  <c r="E81" i="36" s="1"/>
  <c r="F81" i="36" s="1"/>
  <c r="G81" i="36" s="1"/>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F13" i="36" s="1"/>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s="1"/>
  <c r="Q24" i="36"/>
  <c r="Z24" i="36"/>
  <c r="Q23" i="36"/>
  <c r="Z23" i="36"/>
  <c r="J23" i="36"/>
  <c r="AC23" i="36" s="1"/>
  <c r="Q22" i="36"/>
  <c r="Z22" i="36"/>
  <c r="J22" i="36"/>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J35" i="35" s="1"/>
  <c r="B97" i="35"/>
  <c r="B77" i="35"/>
  <c r="B75" i="35"/>
  <c r="J24" i="35" s="1"/>
  <c r="B73" i="35"/>
  <c r="J23" i="35" s="1"/>
  <c r="H23" i="35"/>
  <c r="U23" i="35" s="1"/>
  <c r="B57" i="35"/>
  <c r="B61" i="35"/>
  <c r="B59" i="35"/>
  <c r="H12" i="35" s="1"/>
  <c r="B131" i="34"/>
  <c r="H47" i="34" s="1"/>
  <c r="B129" i="34"/>
  <c r="F46" i="34" s="1"/>
  <c r="B127" i="34"/>
  <c r="B99" i="34"/>
  <c r="J32" i="34" s="1"/>
  <c r="B97" i="34"/>
  <c r="B95" i="34"/>
  <c r="B93" i="34"/>
  <c r="F29" i="34" s="1"/>
  <c r="S29" i="34" s="1"/>
  <c r="B75" i="34"/>
  <c r="J14" i="34" s="1"/>
  <c r="W14" i="34" s="1"/>
  <c r="B73" i="34"/>
  <c r="F13" i="34" s="1"/>
  <c r="B71" i="34"/>
  <c r="B130" i="33"/>
  <c r="B128" i="33"/>
  <c r="B126" i="33"/>
  <c r="B98" i="33"/>
  <c r="B96" i="33"/>
  <c r="B94" i="33"/>
  <c r="H29" i="33" s="1"/>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c r="Q35" i="35"/>
  <c r="Z35" i="35" s="1"/>
  <c r="Q34" i="35"/>
  <c r="Z34" i="35"/>
  <c r="J34" i="35"/>
  <c r="AC34" i="35" s="1"/>
  <c r="Q33" i="35"/>
  <c r="Z33" i="35"/>
  <c r="Q32" i="35"/>
  <c r="Z32" i="35"/>
  <c r="H32" i="35"/>
  <c r="AB32" i="35" s="1"/>
  <c r="F32" i="35"/>
  <c r="AA32" i="35"/>
  <c r="Q31" i="35"/>
  <c r="Z31" i="35"/>
  <c r="AC31" i="35"/>
  <c r="AA31" i="35"/>
  <c r="Q30" i="35"/>
  <c r="Z30" i="35"/>
  <c r="Q29" i="35"/>
  <c r="Z29" i="35" s="1"/>
  <c r="Q28" i="35"/>
  <c r="Z28" i="35" s="1"/>
  <c r="J28" i="35"/>
  <c r="AC28" i="35" s="1"/>
  <c r="H28" i="35"/>
  <c r="AB28" i="35" s="1"/>
  <c r="F28" i="35"/>
  <c r="AA28" i="35" s="1"/>
  <c r="Q27" i="35"/>
  <c r="Z27" i="35" s="1"/>
  <c r="Q26" i="35"/>
  <c r="Z26" i="35"/>
  <c r="Q25" i="35"/>
  <c r="Z25" i="35" s="1"/>
  <c r="Q24" i="35"/>
  <c r="Z24" i="35"/>
  <c r="Q23" i="35"/>
  <c r="Z23" i="35"/>
  <c r="AC23" i="35"/>
  <c r="Q22" i="35"/>
  <c r="Z22" i="35"/>
  <c r="Q20" i="35"/>
  <c r="Z20" i="35"/>
  <c r="Q16" i="35"/>
  <c r="Z16" i="35" s="1"/>
  <c r="Q14" i="35"/>
  <c r="Z14" i="35"/>
  <c r="Q13" i="35"/>
  <c r="Z13" i="35" s="1"/>
  <c r="Q12" i="35"/>
  <c r="Z12" i="35" s="1"/>
  <c r="J12" i="35"/>
  <c r="W12" i="35"/>
  <c r="U12" i="35"/>
  <c r="Q11" i="35"/>
  <c r="Z11" i="35"/>
  <c r="Q10" i="35"/>
  <c r="Z10" i="35"/>
  <c r="Q9" i="35"/>
  <c r="Z9" i="35" s="1"/>
  <c r="J8" i="35"/>
  <c r="AC8" i="35"/>
  <c r="H8" i="35"/>
  <c r="AB8" i="35" s="1"/>
  <c r="F8" i="35"/>
  <c r="S8" i="35" s="1"/>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J19" i="34" s="1"/>
  <c r="AC19" i="34" s="1"/>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Q39" i="33"/>
  <c r="Z39" i="33"/>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c r="J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Q14" i="33"/>
  <c r="Z14" i="33"/>
  <c r="Q13" i="33"/>
  <c r="Z13" i="33" s="1"/>
  <c r="Q12" i="33"/>
  <c r="Z12" i="33"/>
  <c r="J12" i="33"/>
  <c r="W12" i="33" s="1"/>
  <c r="F12" i="33"/>
  <c r="S12" i="33" s="1"/>
  <c r="Q11" i="33"/>
  <c r="Z11" i="33" s="1"/>
  <c r="Q10" i="33"/>
  <c r="Z10" i="33" s="1"/>
  <c r="F10" i="33"/>
  <c r="S10" i="33" s="1"/>
  <c r="Q9" i="33"/>
  <c r="Z9" i="33" s="1"/>
  <c r="J8" i="33"/>
  <c r="AC8" i="33"/>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F46" i="21" s="1"/>
  <c r="AA46" i="21" s="1"/>
  <c r="B128" i="21"/>
  <c r="B126" i="21"/>
  <c r="B98" i="21"/>
  <c r="H31" i="21" s="1"/>
  <c r="AB31" i="21" s="1"/>
  <c r="B96" i="21"/>
  <c r="J30" i="21" s="1"/>
  <c r="AC30" i="21" s="1"/>
  <c r="B94" i="21"/>
  <c r="B92" i="21"/>
  <c r="B90" i="21"/>
  <c r="B74" i="21"/>
  <c r="F14" i="21" s="1"/>
  <c r="B72" i="21"/>
  <c r="F13" i="21" s="1"/>
  <c r="B70" i="21"/>
  <c r="F12" i="21" s="1"/>
  <c r="AA12" i="21" s="1"/>
  <c r="F10" i="21"/>
  <c r="S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c r="E10" i="11"/>
  <c r="E9" i="11"/>
  <c r="F43" i="21"/>
  <c r="S43" i="21"/>
  <c r="H38" i="21"/>
  <c r="AB38" i="21" s="1"/>
  <c r="U38" i="21"/>
  <c r="H43" i="21"/>
  <c r="AB43" i="21" s="1"/>
  <c r="F38" i="21"/>
  <c r="F36" i="21"/>
  <c r="S36" i="21" s="1"/>
  <c r="F39" i="21"/>
  <c r="S39" i="2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c r="J26" i="21"/>
  <c r="W26" i="21"/>
  <c r="F26" i="21"/>
  <c r="S26" i="21" s="1"/>
  <c r="AB41" i="21"/>
  <c r="U41" i="21"/>
  <c r="F45" i="39"/>
  <c r="S45" i="39" s="1"/>
  <c r="J45" i="39"/>
  <c r="W45" i="39"/>
  <c r="J44" i="39"/>
  <c r="F36" i="39"/>
  <c r="S36" i="39" s="1"/>
  <c r="H36" i="39"/>
  <c r="AB36" i="39" s="1"/>
  <c r="J36" i="39"/>
  <c r="AC36" i="39" s="1"/>
  <c r="U38" i="39"/>
  <c r="H32" i="37"/>
  <c r="AB32" i="37" s="1"/>
  <c r="U8" i="37"/>
  <c r="U14" i="37"/>
  <c r="W30" i="37"/>
  <c r="F29" i="36"/>
  <c r="AA29" i="36"/>
  <c r="F16" i="36"/>
  <c r="S16" i="36" s="1"/>
  <c r="U22" i="36"/>
  <c r="W23" i="36"/>
  <c r="AC31" i="36"/>
  <c r="U31" i="36"/>
  <c r="J33" i="36"/>
  <c r="AC33" i="36" s="1"/>
  <c r="AB34" i="36"/>
  <c r="H22" i="35"/>
  <c r="AB22" i="35" s="1"/>
  <c r="U31" i="35"/>
  <c r="S32" i="35"/>
  <c r="S31" i="35"/>
  <c r="W31" i="35"/>
  <c r="U32" i="35"/>
  <c r="F36" i="34"/>
  <c r="AA36" i="34" s="1"/>
  <c r="H39" i="33"/>
  <c r="AB39" i="33" s="1"/>
  <c r="F26" i="33"/>
  <c r="AC38" i="21"/>
  <c r="S27" i="35"/>
  <c r="F11" i="40"/>
  <c r="AA11" i="40" s="1"/>
  <c r="S8" i="40"/>
  <c r="H11" i="40"/>
  <c r="AB11" i="40" s="1"/>
  <c r="U9" i="40"/>
  <c r="F42" i="39"/>
  <c r="AA42" i="39" s="1"/>
  <c r="F41" i="39"/>
  <c r="AA41" i="39" s="1"/>
  <c r="H40" i="39"/>
  <c r="AB40" i="39" s="1"/>
  <c r="H39" i="39"/>
  <c r="AB39" i="39" s="1"/>
  <c r="S38" i="39"/>
  <c r="H34" i="39"/>
  <c r="AB34" i="39" s="1"/>
  <c r="H31" i="39"/>
  <c r="AB31" i="39" s="1"/>
  <c r="F31" i="39"/>
  <c r="AA31" i="39" s="1"/>
  <c r="H19" i="39"/>
  <c r="AB19" i="39"/>
  <c r="F19" i="39"/>
  <c r="S19" i="39" s="1"/>
  <c r="H17" i="39"/>
  <c r="AB17" i="39" s="1"/>
  <c r="U17" i="39"/>
  <c r="F17" i="39"/>
  <c r="J23" i="40"/>
  <c r="AC23" i="40" s="1"/>
  <c r="H42" i="39"/>
  <c r="AB42" i="39" s="1"/>
  <c r="J34" i="39"/>
  <c r="AC34" i="39" s="1"/>
  <c r="J31" i="39"/>
  <c r="W31" i="39" s="1"/>
  <c r="H29" i="39"/>
  <c r="U29" i="39" s="1"/>
  <c r="J19" i="39"/>
  <c r="AC19" i="39" s="1"/>
  <c r="J17" i="39"/>
  <c r="W17" i="39" s="1"/>
  <c r="J29" i="39"/>
  <c r="F29" i="39"/>
  <c r="AA29" i="39" s="1"/>
  <c r="F11" i="21"/>
  <c r="S11" i="21"/>
  <c r="C25" i="39"/>
  <c r="H11" i="39"/>
  <c r="AB11" i="39" s="1"/>
  <c r="H11" i="21"/>
  <c r="U11" i="21" s="1"/>
  <c r="J11" i="21"/>
  <c r="AC11" i="21" s="1"/>
  <c r="U33" i="21"/>
  <c r="H36" i="40"/>
  <c r="U36" i="40" s="1"/>
  <c r="F35" i="40"/>
  <c r="S35" i="40" s="1"/>
  <c r="J30" i="40"/>
  <c r="W30" i="40" s="1"/>
  <c r="F30" i="40"/>
  <c r="AA30" i="40" s="1"/>
  <c r="H27" i="40"/>
  <c r="U27" i="40"/>
  <c r="H23" i="40"/>
  <c r="AB23" i="40" s="1"/>
  <c r="J11" i="40"/>
  <c r="AA12" i="33"/>
  <c r="S44" i="39"/>
  <c r="J34" i="36"/>
  <c r="AC34" i="36" s="1"/>
  <c r="U30" i="36"/>
  <c r="F22" i="35"/>
  <c r="AA22" i="35"/>
  <c r="H10" i="35"/>
  <c r="U10" i="35" s="1"/>
  <c r="AB29" i="36"/>
  <c r="F33" i="36"/>
  <c r="S33" i="36" s="1"/>
  <c r="F85" i="36"/>
  <c r="G85" i="36" s="1"/>
  <c r="H85" i="36" s="1"/>
  <c r="I85" i="36" s="1"/>
  <c r="J85" i="36" s="1"/>
  <c r="K85" i="36" s="1"/>
  <c r="L85" i="36" s="1"/>
  <c r="M85" i="36" s="1"/>
  <c r="J29" i="36"/>
  <c r="AC29" i="36" s="1"/>
  <c r="F34" i="36"/>
  <c r="AA34" i="36"/>
  <c r="H20" i="36"/>
  <c r="J20" i="36"/>
  <c r="W20" i="36"/>
  <c r="AB8" i="36"/>
  <c r="F14" i="35"/>
  <c r="F23" i="35"/>
  <c r="AA23" i="35" s="1"/>
  <c r="J32" i="35"/>
  <c r="AC32" i="35" s="1"/>
  <c r="J16" i="35"/>
  <c r="W16" i="35" s="1"/>
  <c r="H14" i="35"/>
  <c r="AB14" i="35"/>
  <c r="H33" i="35"/>
  <c r="AB33" i="35" s="1"/>
  <c r="W8" i="35"/>
  <c r="S9" i="35"/>
  <c r="J20" i="35"/>
  <c r="W20" i="35" s="1"/>
  <c r="H20" i="35"/>
  <c r="AB20" i="35" s="1"/>
  <c r="F20" i="35"/>
  <c r="AA20" i="35" s="1"/>
  <c r="E101" i="37"/>
  <c r="F101" i="37" s="1"/>
  <c r="G101" i="37" s="1"/>
  <c r="H101" i="37" s="1"/>
  <c r="I101" i="37" s="1"/>
  <c r="J101" i="37" s="1"/>
  <c r="K101" i="37" s="1"/>
  <c r="L101" i="37" s="1"/>
  <c r="M101" i="37" s="1"/>
  <c r="J34" i="37"/>
  <c r="W34" i="37" s="1"/>
  <c r="J43" i="34"/>
  <c r="W43" i="34" s="1"/>
  <c r="U42" i="34"/>
  <c r="H40" i="34"/>
  <c r="U40" i="34" s="1"/>
  <c r="E114" i="34"/>
  <c r="F114" i="34" s="1"/>
  <c r="G114" i="34" s="1"/>
  <c r="H114" i="34" s="1"/>
  <c r="I114" i="34" s="1"/>
  <c r="J114" i="34" s="1"/>
  <c r="K114" i="34" s="1"/>
  <c r="L114" i="34" s="1"/>
  <c r="M114" i="34" s="1"/>
  <c r="F38" i="34"/>
  <c r="AA38" i="34" s="1"/>
  <c r="J15" i="34"/>
  <c r="AC15" i="34" s="1"/>
  <c r="H15" i="34"/>
  <c r="AB15" i="34" s="1"/>
  <c r="F41" i="33"/>
  <c r="S41" i="33" s="1"/>
  <c r="J34" i="33"/>
  <c r="W34" i="33" s="1"/>
  <c r="F36" i="33"/>
  <c r="S36" i="33" s="1"/>
  <c r="F25" i="33"/>
  <c r="AA25" i="33"/>
  <c r="J25" i="33"/>
  <c r="AC25" i="33" s="1"/>
  <c r="H25" i="33"/>
  <c r="AB25" i="33" s="1"/>
  <c r="J23" i="33"/>
  <c r="F23" i="33"/>
  <c r="AA23" i="33" s="1"/>
  <c r="H23" i="33"/>
  <c r="AB23" i="33" s="1"/>
  <c r="F19" i="33"/>
  <c r="S19" i="33"/>
  <c r="J19" i="33"/>
  <c r="W19" i="33" s="1"/>
  <c r="J17" i="33"/>
  <c r="AC17" i="33" s="1"/>
  <c r="H17" i="33"/>
  <c r="AB17" i="33" s="1"/>
  <c r="J15" i="33"/>
  <c r="AC15" i="33"/>
  <c r="F11" i="33"/>
  <c r="S11" i="33" s="1"/>
  <c r="AA11" i="33"/>
  <c r="W10" i="33"/>
  <c r="H10" i="33"/>
  <c r="U10" i="33" s="1"/>
  <c r="U8" i="33"/>
  <c r="F37" i="40"/>
  <c r="AA37" i="40" s="1"/>
  <c r="F36" i="40"/>
  <c r="AA36" i="40" s="1"/>
  <c r="J27" i="40"/>
  <c r="W27" i="40" s="1"/>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H36" i="33"/>
  <c r="U36" i="33" s="1"/>
  <c r="S25" i="33"/>
  <c r="F17" i="33"/>
  <c r="AA17" i="33" s="1"/>
  <c r="H15" i="33"/>
  <c r="AB15" i="33" s="1"/>
  <c r="AC42" i="34"/>
  <c r="W42" i="34"/>
  <c r="AA42" i="34"/>
  <c r="S42" i="34"/>
  <c r="J37" i="33"/>
  <c r="W37" i="33" s="1"/>
  <c r="J36" i="33"/>
  <c r="AC36" i="33" s="1"/>
  <c r="J11" i="33"/>
  <c r="AC11" i="33" s="1"/>
  <c r="J42" i="21"/>
  <c r="AC42" i="21" s="1"/>
  <c r="H42" i="21"/>
  <c r="AB42" i="21" s="1"/>
  <c r="J10" i="35"/>
  <c r="AC10" i="35" s="1"/>
  <c r="J14" i="21"/>
  <c r="AC14" i="21" s="1"/>
  <c r="S14" i="21"/>
  <c r="H14" i="21"/>
  <c r="AB14" i="21" s="1"/>
  <c r="H28" i="21"/>
  <c r="F28" i="21"/>
  <c r="AA28" i="21" s="1"/>
  <c r="J28" i="21"/>
  <c r="W28" i="21" s="1"/>
  <c r="H30" i="21"/>
  <c r="AB30" i="21" s="1"/>
  <c r="F30" i="21"/>
  <c r="S30" i="21" s="1"/>
  <c r="J44" i="21"/>
  <c r="AC44" i="21" s="1"/>
  <c r="H44" i="21"/>
  <c r="U44" i="21" s="1"/>
  <c r="F44" i="21"/>
  <c r="AA44" i="21"/>
  <c r="H46" i="21"/>
  <c r="U46"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c r="H13" i="33"/>
  <c r="AB13" i="33"/>
  <c r="F13" i="33"/>
  <c r="S13" i="33" s="1"/>
  <c r="J29" i="33"/>
  <c r="W29" i="33" s="1"/>
  <c r="U29" i="33"/>
  <c r="F29" i="33"/>
  <c r="S29" i="33" s="1"/>
  <c r="J31" i="33"/>
  <c r="W31" i="33" s="1"/>
  <c r="H31" i="33"/>
  <c r="AB31" i="33"/>
  <c r="F31" i="33"/>
  <c r="S31" i="33" s="1"/>
  <c r="H45" i="33"/>
  <c r="U45" i="33" s="1"/>
  <c r="J45" i="33"/>
  <c r="W45" i="33" s="1"/>
  <c r="F45" i="33"/>
  <c r="S45" i="33"/>
  <c r="F14" i="34"/>
  <c r="S14" i="34" s="1"/>
  <c r="H14" i="34"/>
  <c r="U14" i="34" s="1"/>
  <c r="H30" i="34"/>
  <c r="U30" i="34" s="1"/>
  <c r="F30" i="34"/>
  <c r="S30" i="34" s="1"/>
  <c r="J30" i="34"/>
  <c r="H32" i="34"/>
  <c r="U32" i="34" s="1"/>
  <c r="F32" i="34"/>
  <c r="S32" i="34" s="1"/>
  <c r="H46" i="34"/>
  <c r="U46" i="34" s="1"/>
  <c r="S46" i="34"/>
  <c r="J46" i="34"/>
  <c r="W46" i="34"/>
  <c r="H11" i="35"/>
  <c r="AB11" i="35" s="1"/>
  <c r="J11" i="35"/>
  <c r="AC11" i="35" s="1"/>
  <c r="F11" i="35"/>
  <c r="S11" i="35" s="1"/>
  <c r="J26" i="36"/>
  <c r="W26" i="36" s="1"/>
  <c r="H28" i="36"/>
  <c r="U28" i="36"/>
  <c r="H32" i="36"/>
  <c r="J32" i="36"/>
  <c r="W32" i="36"/>
  <c r="J11" i="36"/>
  <c r="W11" i="36" s="1"/>
  <c r="H11" i="36"/>
  <c r="AB11" i="36" s="1"/>
  <c r="F11" i="36"/>
  <c r="AA11" i="36"/>
  <c r="H13" i="36"/>
  <c r="AB13" i="36" s="1"/>
  <c r="J13" i="36"/>
  <c r="AC13" i="36" s="1"/>
  <c r="W13" i="36"/>
  <c r="S13" i="36"/>
  <c r="H36" i="37"/>
  <c r="AB36" i="37" s="1"/>
  <c r="H37" i="37"/>
  <c r="U37" i="37" s="1"/>
  <c r="AC12" i="40"/>
  <c r="W12" i="40"/>
  <c r="H14" i="33"/>
  <c r="AB14" i="33" s="1"/>
  <c r="F14" i="33"/>
  <c r="AA14" i="33"/>
  <c r="J14" i="33"/>
  <c r="H30" i="33"/>
  <c r="AB30" i="33" s="1"/>
  <c r="F30" i="33"/>
  <c r="S30" i="33" s="1"/>
  <c r="J30" i="33"/>
  <c r="W30" i="33" s="1"/>
  <c r="AC30" i="33"/>
  <c r="H44" i="33"/>
  <c r="AB44" i="33" s="1"/>
  <c r="J44" i="33"/>
  <c r="AC44" i="33" s="1"/>
  <c r="F44" i="33"/>
  <c r="AA44" i="33" s="1"/>
  <c r="S44" i="33"/>
  <c r="J46" i="33"/>
  <c r="W46" i="33"/>
  <c r="F46" i="33"/>
  <c r="AA46" i="33" s="1"/>
  <c r="H46" i="33"/>
  <c r="AB46" i="33"/>
  <c r="H13" i="34"/>
  <c r="U13" i="34"/>
  <c r="J13" i="34"/>
  <c r="W13" i="34" s="1"/>
  <c r="AA13" i="34"/>
  <c r="J29" i="34"/>
  <c r="AC29" i="34" s="1"/>
  <c r="H29" i="34"/>
  <c r="U29" i="34" s="1"/>
  <c r="J31" i="34"/>
  <c r="AC31" i="34" s="1"/>
  <c r="H31" i="34"/>
  <c r="AB31" i="34" s="1"/>
  <c r="F31" i="34"/>
  <c r="S31" i="34" s="1"/>
  <c r="H45" i="34"/>
  <c r="U45" i="34" s="1"/>
  <c r="J45" i="34"/>
  <c r="W45" i="34" s="1"/>
  <c r="F45" i="34"/>
  <c r="S45" i="34"/>
  <c r="U47" i="34"/>
  <c r="F47" i="34"/>
  <c r="AA47" i="34" s="1"/>
  <c r="J47" i="34"/>
  <c r="AC47" i="34" s="1"/>
  <c r="F13" i="35"/>
  <c r="S13" i="35"/>
  <c r="J13" i="35"/>
  <c r="AC13" i="35" s="1"/>
  <c r="H13" i="35"/>
  <c r="U13" i="35"/>
  <c r="J25" i="35"/>
  <c r="W25" i="35" s="1"/>
  <c r="F25" i="35"/>
  <c r="S25" i="35" s="1"/>
  <c r="H25" i="35"/>
  <c r="AB25" i="35"/>
  <c r="AC35" i="35"/>
  <c r="F35" i="35"/>
  <c r="AA35" i="35" s="1"/>
  <c r="H35" i="35"/>
  <c r="AB35" i="35" s="1"/>
  <c r="J25" i="36"/>
  <c r="AC25" i="36" s="1"/>
  <c r="F25" i="36"/>
  <c r="AA25" i="36" s="1"/>
  <c r="H25" i="36"/>
  <c r="AB25" i="36" s="1"/>
  <c r="H13" i="37"/>
  <c r="U13" i="37"/>
  <c r="J13" i="37"/>
  <c r="W13" i="37"/>
  <c r="F28" i="37"/>
  <c r="AA28" i="37" s="1"/>
  <c r="J28" i="37"/>
  <c r="AC28" i="37" s="1"/>
  <c r="H28" i="37"/>
  <c r="U28" i="37"/>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U13" i="40"/>
  <c r="J13" i="40"/>
  <c r="W13" i="40"/>
  <c r="F13" i="40"/>
  <c r="AA13" i="40"/>
  <c r="F14" i="37"/>
  <c r="S14" i="37" s="1"/>
  <c r="F13" i="39"/>
  <c r="AA13" i="39" s="1"/>
  <c r="J13" i="39"/>
  <c r="W13" i="39" s="1"/>
  <c r="H13" i="39"/>
  <c r="U13" i="39"/>
  <c r="H14" i="40"/>
  <c r="AB14" i="40" s="1"/>
  <c r="J14" i="40"/>
  <c r="W14" i="40"/>
  <c r="F14" i="40"/>
  <c r="AA14" i="40" s="1"/>
  <c r="J14" i="37"/>
  <c r="AC14" i="37" s="1"/>
  <c r="W28" i="37"/>
  <c r="S47" i="34"/>
  <c r="S14" i="33"/>
  <c r="J10" i="36"/>
  <c r="AC10" i="36" s="1"/>
  <c r="AB45" i="33"/>
  <c r="U31" i="33"/>
  <c r="U42" i="21"/>
  <c r="S33" i="21"/>
  <c r="S19" i="21"/>
  <c r="J41" i="39"/>
  <c r="W41" i="39" s="1"/>
  <c r="AC45" i="39"/>
  <c r="U36" i="39"/>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AA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U11" i="40"/>
  <c r="AC12" i="35"/>
  <c r="S25" i="37"/>
  <c r="AA13" i="33"/>
  <c r="AC31" i="33"/>
  <c r="AC33" i="21"/>
  <c r="AA23" i="37"/>
  <c r="W10" i="36"/>
  <c r="H37" i="21"/>
  <c r="U37" i="21" s="1"/>
  <c r="J37" i="21"/>
  <c r="W37" i="21"/>
  <c r="F36" i="35"/>
  <c r="AA36" i="35" s="1"/>
  <c r="J9" i="37"/>
  <c r="AC9" i="37" s="1"/>
  <c r="H9" i="37"/>
  <c r="AB9" i="37" s="1"/>
  <c r="F9" i="37"/>
  <c r="AA9" i="37" s="1"/>
  <c r="F11" i="37"/>
  <c r="S11" i="37"/>
  <c r="J42" i="39"/>
  <c r="AC42" i="39"/>
  <c r="S37" i="21"/>
  <c r="AB27" i="40"/>
  <c r="AC31" i="39"/>
  <c r="U31" i="39"/>
  <c r="C12" i="43"/>
  <c r="D15" i="47"/>
  <c r="D17" i="47"/>
  <c r="D19" i="47"/>
  <c r="F15" i="47" s="1"/>
  <c r="B13" i="47" s="1"/>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W39" i="39"/>
  <c r="W8" i="39"/>
  <c r="W21" i="39"/>
  <c r="J11" i="39"/>
  <c r="AC11" i="39" s="1"/>
  <c r="J32" i="39"/>
  <c r="AC32" i="39" s="1"/>
  <c r="E65" i="39"/>
  <c r="E60" i="40"/>
  <c r="F34" i="43"/>
  <c r="C21" i="11"/>
  <c r="H55" i="39"/>
  <c r="S30" i="40"/>
  <c r="H16" i="44"/>
  <c r="D17" i="43"/>
  <c r="I17" i="43"/>
  <c r="D108" i="9"/>
  <c r="F22" i="43"/>
  <c r="G22" i="43"/>
  <c r="H14" i="44"/>
  <c r="W40" i="39"/>
  <c r="AC20" i="35"/>
  <c r="H23" i="34"/>
  <c r="AB23" i="34" s="1"/>
  <c r="F33" i="34"/>
  <c r="S33" i="34" s="1"/>
  <c r="H36" i="34"/>
  <c r="AB36" i="34" s="1"/>
  <c r="F35" i="34"/>
  <c r="AA35" i="34" s="1"/>
  <c r="F107" i="34"/>
  <c r="G107" i="34" s="1"/>
  <c r="H107" i="34" s="1"/>
  <c r="I107" i="34" s="1"/>
  <c r="J107" i="34" s="1"/>
  <c r="K107" i="34" s="1"/>
  <c r="L107" i="34" s="1"/>
  <c r="M107" i="34" s="1"/>
  <c r="J35" i="34"/>
  <c r="W35" i="34" s="1"/>
  <c r="F27" i="34"/>
  <c r="S27" i="34" s="1"/>
  <c r="W34" i="34"/>
  <c r="J33" i="34"/>
  <c r="W33" i="34" s="1"/>
  <c r="J37" i="34"/>
  <c r="AC37" i="34" s="1"/>
  <c r="F26" i="35"/>
  <c r="AA26" i="35" s="1"/>
  <c r="K145" i="21"/>
  <c r="K144" i="21"/>
  <c r="K141" i="21"/>
  <c r="K143" i="21"/>
  <c r="W25" i="21"/>
  <c r="F23" i="21"/>
  <c r="S23" i="21" s="1"/>
  <c r="AA23" i="21"/>
  <c r="J23" i="21"/>
  <c r="AC23" i="21" s="1"/>
  <c r="H23" i="21"/>
  <c r="U23" i="21" s="1"/>
  <c r="F17" i="21"/>
  <c r="AA17" i="21" s="1"/>
  <c r="J17" i="21"/>
  <c r="H17" i="21"/>
  <c r="AB17" i="21" s="1"/>
  <c r="J15" i="21"/>
  <c r="AC15" i="21" s="1"/>
  <c r="U35" i="21"/>
  <c r="AC35" i="21"/>
  <c r="H103" i="57"/>
  <c r="A135" i="57"/>
  <c r="A14" i="52" s="1"/>
  <c r="B61" i="60" s="1"/>
  <c r="B103" i="57"/>
  <c r="B107" i="57" s="1"/>
  <c r="C112" i="57"/>
  <c r="H107" i="57" s="1"/>
  <c r="D128" i="57"/>
  <c r="B113" i="43"/>
  <c r="I118" i="43" s="1"/>
  <c r="J118" i="43" s="1"/>
  <c r="K118" i="43" s="1"/>
  <c r="L118" i="43" s="1"/>
  <c r="M118" i="43" s="1"/>
  <c r="M101" i="43"/>
  <c r="M109" i="43" s="1"/>
  <c r="K101" i="43"/>
  <c r="K107" i="43" s="1"/>
  <c r="I101" i="43"/>
  <c r="I102" i="43" s="1"/>
  <c r="G101" i="43"/>
  <c r="G105" i="43" s="1"/>
  <c r="E101" i="43"/>
  <c r="C101" i="43"/>
  <c r="C105" i="43" s="1"/>
  <c r="N101" i="43"/>
  <c r="N107" i="43" s="1"/>
  <c r="L101" i="43"/>
  <c r="J101" i="43"/>
  <c r="J102" i="43" s="1"/>
  <c r="H101" i="43"/>
  <c r="H107" i="43" s="1"/>
  <c r="F101" i="43"/>
  <c r="F104" i="43" s="1"/>
  <c r="D101" i="43"/>
  <c r="D103" i="43" s="1"/>
  <c r="S427" i="31"/>
  <c r="S423" i="31"/>
  <c r="S415" i="31"/>
  <c r="S411" i="31"/>
  <c r="S403" i="31"/>
  <c r="S399" i="31"/>
  <c r="S391" i="31"/>
  <c r="S387" i="31"/>
  <c r="S383" i="31"/>
  <c r="S379" i="31"/>
  <c r="S375" i="31"/>
  <c r="S367" i="31"/>
  <c r="S363" i="31"/>
  <c r="S355" i="31"/>
  <c r="S351" i="31"/>
  <c r="S343" i="31"/>
  <c r="S339" i="31"/>
  <c r="S335" i="31"/>
  <c r="S331" i="31"/>
  <c r="S327" i="31"/>
  <c r="T319" i="31"/>
  <c r="T317" i="31"/>
  <c r="T315" i="31"/>
  <c r="T313" i="31"/>
  <c r="T307" i="31"/>
  <c r="T305" i="31"/>
  <c r="T303" i="31"/>
  <c r="T301" i="31"/>
  <c r="T295" i="31"/>
  <c r="T293" i="31"/>
  <c r="T291" i="31"/>
  <c r="T289" i="31"/>
  <c r="T283" i="31"/>
  <c r="T281" i="31"/>
  <c r="T279" i="31"/>
  <c r="T277" i="31"/>
  <c r="T271" i="31"/>
  <c r="T269" i="31"/>
  <c r="T267" i="31"/>
  <c r="T265" i="31"/>
  <c r="T259" i="31"/>
  <c r="S113" i="31"/>
  <c r="S105" i="31"/>
  <c r="S101" i="31"/>
  <c r="S81" i="31"/>
  <c r="S89" i="31"/>
  <c r="S93" i="31"/>
  <c r="S457" i="31"/>
  <c r="S461" i="31"/>
  <c r="S469" i="31"/>
  <c r="S505" i="31"/>
  <c r="S433" i="31"/>
  <c r="S437" i="31"/>
  <c r="S445" i="31"/>
  <c r="S127" i="31"/>
  <c r="S131" i="31"/>
  <c r="S135" i="31"/>
  <c r="S139" i="31"/>
  <c r="S143" i="31"/>
  <c r="S147" i="31"/>
  <c r="S151" i="31"/>
  <c r="S155" i="31"/>
  <c r="S159" i="31"/>
  <c r="S163" i="31"/>
  <c r="S171" i="31"/>
  <c r="S179" i="31"/>
  <c r="S187" i="31"/>
  <c r="S191" i="31"/>
  <c r="S195" i="31"/>
  <c r="S203" i="31"/>
  <c r="S211" i="31"/>
  <c r="S219" i="31"/>
  <c r="C18" i="57"/>
  <c r="D18" i="57" s="1"/>
  <c r="D47" i="15"/>
  <c r="AB12" i="37"/>
  <c r="J37" i="37"/>
  <c r="W37" i="37" s="1"/>
  <c r="AB40" i="37"/>
  <c r="U40" i="37"/>
  <c r="U15" i="21"/>
  <c r="AB15" i="21"/>
  <c r="AA16" i="35"/>
  <c r="S14" i="39"/>
  <c r="AB29" i="35"/>
  <c r="U29" i="35"/>
  <c r="AA35" i="39"/>
  <c r="U25" i="35"/>
  <c r="W44" i="33"/>
  <c r="U36" i="37"/>
  <c r="AB46" i="34"/>
  <c r="AA14" i="34"/>
  <c r="W44" i="21"/>
  <c r="F40" i="34"/>
  <c r="AA40" i="34" s="1"/>
  <c r="U20" i="36"/>
  <c r="AB20" i="36"/>
  <c r="AC44" i="39"/>
  <c r="W44" i="39"/>
  <c r="J45" i="21"/>
  <c r="AC45" i="21" s="1"/>
  <c r="F45" i="21"/>
  <c r="AA45" i="21" s="1"/>
  <c r="S42" i="21"/>
  <c r="B41" i="47"/>
  <c r="C23" i="40"/>
  <c r="AB23" i="36"/>
  <c r="U23" i="36"/>
  <c r="J12" i="36"/>
  <c r="W12" i="36" s="1"/>
  <c r="H12" i="36"/>
  <c r="U12" i="36" s="1"/>
  <c r="AB12" i="36"/>
  <c r="AA9" i="39"/>
  <c r="S9" i="39"/>
  <c r="J12" i="39"/>
  <c r="AC12" i="39" s="1"/>
  <c r="F12" i="39"/>
  <c r="S12" i="39" s="1"/>
  <c r="F15" i="21"/>
  <c r="S15" i="21" s="1"/>
  <c r="J36" i="34"/>
  <c r="W36" i="34" s="1"/>
  <c r="J19" i="40"/>
  <c r="AC19" i="40" s="1"/>
  <c r="W9" i="39"/>
  <c r="U14" i="39"/>
  <c r="H32" i="39"/>
  <c r="U32" i="39" s="1"/>
  <c r="F21" i="39"/>
  <c r="AA21" i="39" s="1"/>
  <c r="F31" i="37"/>
  <c r="AA31" i="37" s="1"/>
  <c r="S44" i="21"/>
  <c r="F17" i="37"/>
  <c r="AA17" i="37" s="1"/>
  <c r="AA29" i="33"/>
  <c r="AB28" i="36"/>
  <c r="AB13" i="40"/>
  <c r="AB13" i="37"/>
  <c r="U44" i="33"/>
  <c r="AB32" i="34"/>
  <c r="H45" i="21"/>
  <c r="U45" i="21" s="1"/>
  <c r="J14" i="36"/>
  <c r="AC14" i="36"/>
  <c r="J40" i="34"/>
  <c r="AC40" i="34" s="1"/>
  <c r="H19" i="33"/>
  <c r="AB19" i="33" s="1"/>
  <c r="U23"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c r="AC36" i="21"/>
  <c r="W36" i="21"/>
  <c r="E101" i="33"/>
  <c r="F101" i="33" s="1"/>
  <c r="G101" i="33" s="1"/>
  <c r="H101" i="33" s="1"/>
  <c r="I101" i="33" s="1"/>
  <c r="J101" i="33" s="1"/>
  <c r="K101" i="33" s="1"/>
  <c r="L101" i="33" s="1"/>
  <c r="M101" i="33" s="1"/>
  <c r="F32" i="33"/>
  <c r="AA32" i="33"/>
  <c r="E116" i="34"/>
  <c r="F116" i="34" s="1"/>
  <c r="G116" i="34" s="1"/>
  <c r="H116" i="34" s="1"/>
  <c r="I116" i="34" s="1"/>
  <c r="J116" i="34" s="1"/>
  <c r="K116" i="34" s="1"/>
  <c r="L116" i="34" s="1"/>
  <c r="M116" i="34" s="1"/>
  <c r="J39" i="34"/>
  <c r="W39" i="34" s="1"/>
  <c r="J27" i="36"/>
  <c r="AC27" i="36" s="1"/>
  <c r="F37" i="34"/>
  <c r="AA37" i="34" s="1"/>
  <c r="H37" i="34"/>
  <c r="U37" i="34" s="1"/>
  <c r="U12" i="40"/>
  <c r="AC14" i="39"/>
  <c r="AC46" i="34"/>
  <c r="U10" i="36"/>
  <c r="W28" i="33"/>
  <c r="AA14" i="35"/>
  <c r="S14" i="35"/>
  <c r="W11" i="21"/>
  <c r="AA45" i="39"/>
  <c r="H27" i="21"/>
  <c r="AB27" i="21" s="1"/>
  <c r="J27" i="21"/>
  <c r="W27" i="21" s="1"/>
  <c r="F27" i="21"/>
  <c r="AA27" i="21"/>
  <c r="J29" i="21"/>
  <c r="AC29" i="21" s="1"/>
  <c r="H29" i="21"/>
  <c r="U29" i="21" s="1"/>
  <c r="F29" i="21"/>
  <c r="H39" i="21"/>
  <c r="U39" i="21" s="1"/>
  <c r="F117" i="21"/>
  <c r="G117" i="21" s="1"/>
  <c r="S9" i="21"/>
  <c r="AA9" i="21"/>
  <c r="AA15" i="33"/>
  <c r="S15" i="33"/>
  <c r="AA35" i="33"/>
  <c r="E117" i="33"/>
  <c r="F117" i="33" s="1"/>
  <c r="G117" i="33" s="1"/>
  <c r="J39" i="33"/>
  <c r="AC39" i="33"/>
  <c r="H43" i="33"/>
  <c r="AB43" i="33" s="1"/>
  <c r="U43" i="33"/>
  <c r="E91" i="33"/>
  <c r="F91" i="33"/>
  <c r="G91" i="33" s="1"/>
  <c r="H91" i="33" s="1"/>
  <c r="I91" i="33" s="1"/>
  <c r="J91" i="33" s="1"/>
  <c r="K91" i="33" s="1"/>
  <c r="L91" i="33" s="1"/>
  <c r="M91" i="33" s="1"/>
  <c r="F27" i="33"/>
  <c r="S27" i="33" s="1"/>
  <c r="H41" i="33"/>
  <c r="U41" i="33" s="1"/>
  <c r="H17" i="34"/>
  <c r="U17" i="34" s="1"/>
  <c r="H16" i="35"/>
  <c r="U16" i="35" s="1"/>
  <c r="H34" i="35"/>
  <c r="U34" i="35" s="1"/>
  <c r="F34" i="35"/>
  <c r="G60" i="37"/>
  <c r="H60" i="37" s="1"/>
  <c r="I60" i="37" s="1"/>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F126" i="34" s="1"/>
  <c r="G126" i="34" s="1"/>
  <c r="H44" i="34"/>
  <c r="U44" i="34" s="1"/>
  <c r="W9" i="36"/>
  <c r="AB26" i="36"/>
  <c r="U26" i="36"/>
  <c r="U9" i="36"/>
  <c r="F20" i="36"/>
  <c r="AA20" i="36" s="1"/>
  <c r="J24" i="36"/>
  <c r="W24" i="36"/>
  <c r="H24" i="36"/>
  <c r="AB24" i="36" s="1"/>
  <c r="U24" i="36"/>
  <c r="F24" i="36"/>
  <c r="AA24" i="36" s="1"/>
  <c r="J26" i="37"/>
  <c r="AC26" i="37" s="1"/>
  <c r="H26" i="37"/>
  <c r="AB26" i="37" s="1"/>
  <c r="F26" i="37"/>
  <c r="AA26" i="37"/>
  <c r="J23" i="39"/>
  <c r="W23" i="39" s="1"/>
  <c r="E96" i="39"/>
  <c r="F96" i="39" s="1"/>
  <c r="G96" i="39" s="1"/>
  <c r="H15" i="37"/>
  <c r="U15" i="37" s="1"/>
  <c r="AB15" i="37"/>
  <c r="F15" i="37"/>
  <c r="AA15" i="37"/>
  <c r="F38" i="40"/>
  <c r="AA38" i="40" s="1"/>
  <c r="J38" i="40"/>
  <c r="W38" i="40" s="1"/>
  <c r="H38" i="40"/>
  <c r="AB38" i="40" s="1"/>
  <c r="J40" i="40"/>
  <c r="AC40" i="40" s="1"/>
  <c r="H40" i="40"/>
  <c r="AB40" i="40" s="1"/>
  <c r="F40" i="40"/>
  <c r="AA40" i="40"/>
  <c r="N6" i="43"/>
  <c r="M1" i="43"/>
  <c r="F101" i="9"/>
  <c r="F33" i="9"/>
  <c r="C25" i="57"/>
  <c r="F59" i="43"/>
  <c r="H63" i="43" s="1"/>
  <c r="G15" i="47"/>
  <c r="H25" i="34"/>
  <c r="U25" i="34" s="1"/>
  <c r="AB35" i="39"/>
  <c r="S27" i="37"/>
  <c r="AA12" i="37"/>
  <c r="AA34" i="35"/>
  <c r="S34" i="35"/>
  <c r="J17" i="34"/>
  <c r="AC17" i="34" s="1"/>
  <c r="F17" i="34"/>
  <c r="AA17" i="34" s="1"/>
  <c r="H27" i="33"/>
  <c r="U27" i="33" s="1"/>
  <c r="F43" i="33"/>
  <c r="S43" i="33" s="1"/>
  <c r="J43" i="33"/>
  <c r="AC43" i="33"/>
  <c r="AC27" i="21"/>
  <c r="H27" i="36"/>
  <c r="U27" i="36" s="1"/>
  <c r="AB27" i="36"/>
  <c r="F27" i="36"/>
  <c r="AA27" i="36" s="1"/>
  <c r="H11" i="34"/>
  <c r="U11" i="34" s="1"/>
  <c r="S17" i="37"/>
  <c r="J11" i="37"/>
  <c r="W11" i="37" s="1"/>
  <c r="AC11" i="37"/>
  <c r="AC37" i="37"/>
  <c r="F23" i="39"/>
  <c r="AA23" i="39" s="1"/>
  <c r="S26" i="37"/>
  <c r="F44" i="34"/>
  <c r="AA44" i="34" s="1"/>
  <c r="J44" i="34"/>
  <c r="AC44" i="34" s="1"/>
  <c r="U31" i="37"/>
  <c r="H10" i="37"/>
  <c r="U10" i="37"/>
  <c r="AB29" i="21"/>
  <c r="W27" i="36"/>
  <c r="J32" i="33"/>
  <c r="W32" i="33"/>
  <c r="H32" i="33"/>
  <c r="AB32" i="33" s="1"/>
  <c r="J10" i="37"/>
  <c r="AC10" i="37" s="1"/>
  <c r="H23" i="39"/>
  <c r="U23" i="39" s="1"/>
  <c r="J11" i="34"/>
  <c r="W11" i="34" s="1"/>
  <c r="J27" i="33"/>
  <c r="W27" i="33" s="1"/>
  <c r="J25" i="34"/>
  <c r="W25" i="34" s="1"/>
  <c r="K53" i="43"/>
  <c r="J53" i="43" s="1"/>
  <c r="D53" i="43"/>
  <c r="M53" i="43"/>
  <c r="N53" i="43" s="1"/>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AB36" i="40"/>
  <c r="W31" i="40"/>
  <c r="AC9" i="40"/>
  <c r="S9" i="40"/>
  <c r="AA27" i="40"/>
  <c r="S40" i="40"/>
  <c r="W35" i="40"/>
  <c r="W33" i="40"/>
  <c r="W34" i="40"/>
  <c r="AB39" i="40"/>
  <c r="J37" i="40"/>
  <c r="W37" i="40" s="1"/>
  <c r="H35" i="40"/>
  <c r="U35" i="40" s="1"/>
  <c r="H37" i="40"/>
  <c r="AB37" i="40" s="1"/>
  <c r="H28" i="40"/>
  <c r="F28" i="40"/>
  <c r="J28" i="40"/>
  <c r="G97" i="40"/>
  <c r="H97" i="40" s="1"/>
  <c r="I97" i="40" s="1"/>
  <c r="J97" i="40" s="1"/>
  <c r="K97" i="40" s="1"/>
  <c r="L97" i="40" s="1"/>
  <c r="M97" i="40" s="1"/>
  <c r="F21" i="40"/>
  <c r="AA21" i="40" s="1"/>
  <c r="H21" i="40"/>
  <c r="J21" i="40"/>
  <c r="W21" i="40" s="1"/>
  <c r="W19" i="40"/>
  <c r="F85" i="40"/>
  <c r="G85" i="40" s="1"/>
  <c r="H17" i="40"/>
  <c r="U17" i="40" s="1"/>
  <c r="J17" i="40"/>
  <c r="F17" i="40"/>
  <c r="S17" i="40" s="1"/>
  <c r="F83" i="40"/>
  <c r="G83" i="40" s="1"/>
  <c r="F15" i="40"/>
  <c r="J15" i="40"/>
  <c r="AC15" i="40" s="1"/>
  <c r="H15" i="40"/>
  <c r="AB15" i="40" s="1"/>
  <c r="AC25" i="40"/>
  <c r="W25" i="40"/>
  <c r="U19" i="40"/>
  <c r="U8" i="40"/>
  <c r="S36" i="40"/>
  <c r="AA35" i="40"/>
  <c r="AC38" i="39"/>
  <c r="AC17" i="39"/>
  <c r="AB29" i="39"/>
  <c r="AC25" i="39"/>
  <c r="S23" i="39"/>
  <c r="AC23" i="39"/>
  <c r="W27" i="39"/>
  <c r="AC27" i="39"/>
  <c r="W35" i="39"/>
  <c r="U41" i="39"/>
  <c r="U42" i="39"/>
  <c r="AB13" i="39"/>
  <c r="U19" i="39"/>
  <c r="AB27" i="39"/>
  <c r="U27" i="39"/>
  <c r="AA27" i="39"/>
  <c r="S27" i="39"/>
  <c r="S40" i="39"/>
  <c r="S31" i="39"/>
  <c r="AA12" i="39"/>
  <c r="S13" i="39"/>
  <c r="S34" i="36"/>
  <c r="AC24" i="36"/>
  <c r="S11" i="36"/>
  <c r="S12" i="36"/>
  <c r="S22" i="36"/>
  <c r="AC16" i="36"/>
  <c r="W14" i="36"/>
  <c r="S26" i="36"/>
  <c r="AC26" i="36"/>
  <c r="U14" i="36"/>
  <c r="S10" i="36"/>
  <c r="W18" i="36"/>
  <c r="AC18" i="36"/>
  <c r="W25" i="36"/>
  <c r="AC32" i="36"/>
  <c r="AC20" i="36"/>
  <c r="W28" i="36"/>
  <c r="W8" i="36"/>
  <c r="U13" i="36"/>
  <c r="AB18" i="36"/>
  <c r="U18" i="36"/>
  <c r="S29" i="36"/>
  <c r="W35" i="35"/>
  <c r="AC25" i="35"/>
  <c r="W23" i="35"/>
  <c r="S23" i="35"/>
  <c r="AB23" i="35"/>
  <c r="W11" i="35"/>
  <c r="W10" i="35"/>
  <c r="W14" i="35"/>
  <c r="W34" i="35"/>
  <c r="W28" i="35"/>
  <c r="AC27" i="35"/>
  <c r="U14" i="35"/>
  <c r="U35" i="35"/>
  <c r="AB10" i="35"/>
  <c r="U8" i="35"/>
  <c r="AB12" i="35"/>
  <c r="AA13" i="35"/>
  <c r="S20" i="35"/>
  <c r="AB13" i="35"/>
  <c r="S10" i="35"/>
  <c r="S34" i="37"/>
  <c r="W32" i="37"/>
  <c r="AB28" i="37"/>
  <c r="AC12" i="37"/>
  <c r="J33" i="37"/>
  <c r="AC33" i="37" s="1"/>
  <c r="F33" i="37"/>
  <c r="S33" i="37" s="1"/>
  <c r="H33" i="37"/>
  <c r="AB33" i="37" s="1"/>
  <c r="AC35" i="37"/>
  <c r="W35" i="37"/>
  <c r="S31" i="37"/>
  <c r="H35" i="37"/>
  <c r="U35" i="37" s="1"/>
  <c r="F35" i="37"/>
  <c r="AA35" i="37" s="1"/>
  <c r="E103" i="37"/>
  <c r="F103" i="37"/>
  <c r="G103" i="37" s="1"/>
  <c r="H103" i="37" s="1"/>
  <c r="I103" i="37" s="1"/>
  <c r="J103" i="37" s="1"/>
  <c r="K103" i="37" s="1"/>
  <c r="L103" i="37" s="1"/>
  <c r="M103" i="37" s="1"/>
  <c r="AC23" i="37"/>
  <c r="J19" i="37"/>
  <c r="AC19" i="37" s="1"/>
  <c r="F19" i="37"/>
  <c r="G75" i="37"/>
  <c r="H19" i="37"/>
  <c r="U19" i="37" s="1"/>
  <c r="W17" i="37"/>
  <c r="AC17" i="37"/>
  <c r="S15" i="37"/>
  <c r="J15" i="37"/>
  <c r="AC15" i="37" s="1"/>
  <c r="W10" i="37"/>
  <c r="AA11" i="37"/>
  <c r="U9" i="37"/>
  <c r="AB10" i="37"/>
  <c r="AC21" i="37"/>
  <c r="W21" i="37"/>
  <c r="W14" i="37"/>
  <c r="AB11" i="37"/>
  <c r="S37" i="37"/>
  <c r="AA38" i="37"/>
  <c r="AB41" i="34"/>
  <c r="U21" i="34"/>
  <c r="AB21" i="34"/>
  <c r="AA46" i="34"/>
  <c r="W11" i="33"/>
  <c r="U17" i="33"/>
  <c r="W25" i="33"/>
  <c r="U34" i="33"/>
  <c r="U38" i="33"/>
  <c r="W43" i="33"/>
  <c r="AC41" i="33"/>
  <c r="AA45" i="33"/>
  <c r="U46" i="33"/>
  <c r="S23" i="33"/>
  <c r="S17" i="33"/>
  <c r="W17" i="33"/>
  <c r="U15" i="33"/>
  <c r="AB9" i="33"/>
  <c r="U9" i="33"/>
  <c r="AC12" i="33"/>
  <c r="W39" i="33"/>
  <c r="W13" i="33"/>
  <c r="AC46" i="33"/>
  <c r="W21" i="33"/>
  <c r="AC21" i="33"/>
  <c r="AB41" i="33"/>
  <c r="AB42" i="33"/>
  <c r="U13" i="33"/>
  <c r="U39" i="33"/>
  <c r="S42" i="33"/>
  <c r="S9" i="33"/>
  <c r="AA39" i="21"/>
  <c r="W39" i="21"/>
  <c r="AA34" i="21"/>
  <c r="AA15" i="21"/>
  <c r="AC26" i="21"/>
  <c r="AC32" i="21"/>
  <c r="AC37" i="21"/>
  <c r="W34" i="21"/>
  <c r="AC28" i="21"/>
  <c r="AB23" i="21"/>
  <c r="U43" i="21"/>
  <c r="U26" i="21"/>
  <c r="AB44" i="21"/>
  <c r="U30" i="21"/>
  <c r="AB36" i="21"/>
  <c r="S17" i="21"/>
  <c r="AA36" i="21"/>
  <c r="AA43" i="21"/>
  <c r="AB32" i="21"/>
  <c r="AB21" i="21"/>
  <c r="U21" i="21"/>
  <c r="AC19" i="21"/>
  <c r="U17" i="21"/>
  <c r="U12" i="21"/>
  <c r="AB11" i="21"/>
  <c r="U10" i="21"/>
  <c r="AB8" i="21"/>
  <c r="AA11" i="21"/>
  <c r="AA14" i="21"/>
  <c r="S8" i="21"/>
  <c r="T507" i="31"/>
  <c r="S507" i="31"/>
  <c r="T497" i="31"/>
  <c r="S497" i="31"/>
  <c r="T493" i="31"/>
  <c r="S493" i="31"/>
  <c r="T489" i="31"/>
  <c r="T485" i="31"/>
  <c r="S485" i="31"/>
  <c r="T481" i="31"/>
  <c r="S481"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5" i="31"/>
  <c r="S45" i="31"/>
  <c r="T41" i="31"/>
  <c r="S41" i="31"/>
  <c r="S221" i="31"/>
  <c r="S213" i="31"/>
  <c r="S209" i="31"/>
  <c r="S205" i="31"/>
  <c r="S201" i="31"/>
  <c r="S197" i="31"/>
  <c r="S193" i="31"/>
  <c r="S189" i="31"/>
  <c r="S185" i="31"/>
  <c r="S181" i="31"/>
  <c r="S177" i="31"/>
  <c r="S173" i="31"/>
  <c r="S169" i="31"/>
  <c r="S165" i="31"/>
  <c r="S161" i="31"/>
  <c r="S153" i="31"/>
  <c r="S149" i="31"/>
  <c r="S145" i="31"/>
  <c r="S141" i="31"/>
  <c r="S137" i="31"/>
  <c r="S129" i="31"/>
  <c r="S447" i="31"/>
  <c r="S439" i="31"/>
  <c r="S435" i="31"/>
  <c r="S509" i="31"/>
  <c r="S467" i="31"/>
  <c r="S463" i="31"/>
  <c r="S459" i="31"/>
  <c r="S99" i="31"/>
  <c r="S95" i="31"/>
  <c r="S91" i="31"/>
  <c r="S87" i="31"/>
  <c r="S83" i="31"/>
  <c r="S103" i="31"/>
  <c r="S107" i="31"/>
  <c r="S111" i="31"/>
  <c r="S511" i="31"/>
  <c r="S325" i="31"/>
  <c r="S329" i="31"/>
  <c r="S337" i="31"/>
  <c r="S341" i="31"/>
  <c r="S349" i="31"/>
  <c r="S353" i="31"/>
  <c r="S361" i="31"/>
  <c r="S365" i="31"/>
  <c r="S373" i="31"/>
  <c r="S377" i="31"/>
  <c r="S385" i="31"/>
  <c r="S389" i="31"/>
  <c r="S397" i="31"/>
  <c r="S401" i="31"/>
  <c r="S409" i="31"/>
  <c r="S413" i="31"/>
  <c r="S421" i="31"/>
  <c r="S425" i="31"/>
  <c r="S77" i="31"/>
  <c r="S39" i="31"/>
  <c r="S47" i="31"/>
  <c r="S55" i="31"/>
  <c r="S115" i="31"/>
  <c r="S117" i="31"/>
  <c r="S119" i="31"/>
  <c r="S121" i="31"/>
  <c r="S123" i="31"/>
  <c r="S125" i="31"/>
  <c r="S471" i="31"/>
  <c r="S487" i="31"/>
  <c r="S495" i="31"/>
  <c r="D33" i="50"/>
  <c r="D12" i="50"/>
  <c r="B26" i="60" s="1"/>
  <c r="D34" i="50"/>
  <c r="D13" i="50"/>
  <c r="B27" i="60" s="1"/>
  <c r="D112" i="57"/>
  <c r="D35" i="50"/>
  <c r="D14" i="50"/>
  <c r="B28" i="60" s="1"/>
  <c r="C18" i="9"/>
  <c r="D18" i="9" s="1"/>
  <c r="D22" i="15"/>
  <c r="V25" i="31"/>
  <c r="H102" i="43"/>
  <c r="M6" i="43"/>
  <c r="M5" i="43"/>
  <c r="F81" i="43"/>
  <c r="H85" i="43" s="1"/>
  <c r="H13" i="44"/>
  <c r="H11" i="44"/>
  <c r="C51" i="10"/>
  <c r="A8" i="54" s="1"/>
  <c r="B8" i="60" s="1"/>
  <c r="F2" i="21"/>
  <c r="F2" i="34"/>
  <c r="F2" i="35"/>
  <c r="F2" i="33"/>
  <c r="D36" i="57"/>
  <c r="C120" i="57"/>
  <c r="H116" i="57" s="1"/>
  <c r="T500" i="31"/>
  <c r="S500" i="31"/>
  <c r="T498" i="31"/>
  <c r="S498" i="31"/>
  <c r="T496" i="31"/>
  <c r="S496" i="31"/>
  <c r="T494" i="31"/>
  <c r="S494" i="31"/>
  <c r="T490" i="31"/>
  <c r="S490" i="31"/>
  <c r="T488" i="31"/>
  <c r="S488" i="31"/>
  <c r="T486" i="31"/>
  <c r="S486" i="31"/>
  <c r="T484" i="31"/>
  <c r="S484" i="31"/>
  <c r="T482" i="31"/>
  <c r="S482"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80" i="31"/>
  <c r="S380" i="31"/>
  <c r="T364" i="31"/>
  <c r="S364" i="31"/>
  <c r="T332" i="31"/>
  <c r="S332" i="31"/>
  <c r="T318" i="31"/>
  <c r="S318" i="31"/>
  <c r="T302" i="31"/>
  <c r="S302" i="31"/>
  <c r="T286" i="31"/>
  <c r="S286" i="31"/>
  <c r="T270" i="31"/>
  <c r="S270" i="31"/>
  <c r="T404" i="31"/>
  <c r="S404" i="31"/>
  <c r="T388" i="31"/>
  <c r="S388" i="31"/>
  <c r="T356" i="31"/>
  <c r="S356" i="31"/>
  <c r="T340" i="31"/>
  <c r="S340" i="31"/>
  <c r="T310" i="31"/>
  <c r="S310" i="31"/>
  <c r="T294" i="31"/>
  <c r="S294" i="31"/>
  <c r="T278" i="31"/>
  <c r="S278" i="31"/>
  <c r="T262" i="31"/>
  <c r="S262" i="31"/>
  <c r="T80" i="31"/>
  <c r="S80" i="31"/>
  <c r="T78" i="31"/>
  <c r="S78" i="31"/>
  <c r="T76" i="31"/>
  <c r="S76" i="31"/>
  <c r="T56" i="31"/>
  <c r="S56" i="31"/>
  <c r="T54" i="31"/>
  <c r="S54" i="31"/>
  <c r="T52" i="31"/>
  <c r="S52" i="31"/>
  <c r="T48" i="31"/>
  <c r="S48" i="31"/>
  <c r="T46" i="31"/>
  <c r="S46" i="31"/>
  <c r="T44" i="31"/>
  <c r="S44" i="31"/>
  <c r="T42" i="31"/>
  <c r="S42" i="31"/>
  <c r="T40" i="31"/>
  <c r="S40"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G37" i="47"/>
  <c r="G19" i="43"/>
  <c r="O19" i="43" s="1"/>
  <c r="F36" i="43"/>
  <c r="C17" i="43"/>
  <c r="F35" i="43"/>
  <c r="F37" i="43"/>
  <c r="F39" i="43"/>
  <c r="K17" i="43"/>
  <c r="C7" i="34"/>
  <c r="C7" i="36"/>
  <c r="C46" i="36" s="1"/>
  <c r="F38" i="43"/>
  <c r="K86" i="43"/>
  <c r="J86" i="43"/>
  <c r="D86" i="43"/>
  <c r="M87" i="43"/>
  <c r="N87" i="43"/>
  <c r="K82" i="43"/>
  <c r="J82" i="43" s="1"/>
  <c r="D82" i="43"/>
  <c r="M83" i="43"/>
  <c r="N83" i="43" s="1"/>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E102" i="43"/>
  <c r="E106" i="43"/>
  <c r="I103" i="43"/>
  <c r="M107" i="43"/>
  <c r="M104" i="43"/>
  <c r="B115" i="43"/>
  <c r="C115" i="43" s="1"/>
  <c r="D116" i="43"/>
  <c r="E116" i="43" s="1"/>
  <c r="F116" i="43" s="1"/>
  <c r="G116" i="43" s="1"/>
  <c r="H116" i="43" s="1"/>
  <c r="M7" i="15"/>
  <c r="J6" i="15" s="1"/>
  <c r="F35" i="15"/>
  <c r="F64" i="15" s="1"/>
  <c r="A2" i="9"/>
  <c r="W23"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S8" i="36"/>
  <c r="AB34" i="35"/>
  <c r="U33" i="35"/>
  <c r="U22" i="35"/>
  <c r="AA33" i="35"/>
  <c r="AA29" i="35"/>
  <c r="S22" i="35"/>
  <c r="U28" i="35"/>
  <c r="AB27" i="35"/>
  <c r="U36" i="35"/>
  <c r="S35" i="35"/>
  <c r="AA25" i="35"/>
  <c r="S28" i="35"/>
  <c r="U29" i="37"/>
  <c r="U30" i="37"/>
  <c r="S40" i="37"/>
  <c r="U26" i="37"/>
  <c r="AC13" i="37"/>
  <c r="U38" i="37"/>
  <c r="AA13" i="37"/>
  <c r="W25" i="37"/>
  <c r="G84" i="34"/>
  <c r="J21" i="34"/>
  <c r="AC21" i="34" s="1"/>
  <c r="W41" i="34"/>
  <c r="AA45" i="34"/>
  <c r="AB45" i="34"/>
  <c r="S34" i="34"/>
  <c r="AB47" i="34"/>
  <c r="U31" i="34"/>
  <c r="AB14" i="34"/>
  <c r="AC45" i="34"/>
  <c r="AB13" i="34"/>
  <c r="S13" i="34"/>
  <c r="AA31" i="34"/>
  <c r="AB29" i="34"/>
  <c r="U37" i="33"/>
  <c r="U19" i="33"/>
  <c r="AC32" i="33"/>
  <c r="AA43" i="33"/>
  <c r="S32" i="33"/>
  <c r="U33" i="33"/>
  <c r="AA28" i="33"/>
  <c r="U30" i="33"/>
  <c r="S39" i="33"/>
  <c r="AB26" i="33"/>
  <c r="W35" i="33"/>
  <c r="W40" i="33"/>
  <c r="W26" i="33"/>
  <c r="S33" i="33"/>
  <c r="U35" i="33"/>
  <c r="AC45" i="33"/>
  <c r="AB29" i="33"/>
  <c r="AB36" i="33"/>
  <c r="W15" i="33"/>
  <c r="AA19" i="33"/>
  <c r="W8" i="33"/>
  <c r="G83" i="21"/>
  <c r="J21" i="21"/>
  <c r="AC21" i="21" s="1"/>
  <c r="S27" i="21"/>
  <c r="AA32" i="21"/>
  <c r="W23" i="21"/>
  <c r="AA25" i="21"/>
  <c r="U40" i="21"/>
  <c r="S46" i="21"/>
  <c r="AC46" i="21"/>
  <c r="AA26" i="21"/>
  <c r="W10" i="21"/>
  <c r="W12" i="21"/>
  <c r="S35" i="21"/>
  <c r="C15" i="39"/>
  <c r="C17" i="39"/>
  <c r="C19" i="39"/>
  <c r="C15" i="40"/>
  <c r="C17" i="40"/>
  <c r="B54" i="43"/>
  <c r="B65" i="43"/>
  <c r="U30" i="40"/>
  <c r="B52" i="43"/>
  <c r="B56" i="43"/>
  <c r="B63" i="43"/>
  <c r="B67" i="43"/>
  <c r="AA28" i="40"/>
  <c r="S28" i="40"/>
  <c r="AC28" i="40"/>
  <c r="W28" i="40"/>
  <c r="U28" i="40"/>
  <c r="AB28" i="40"/>
  <c r="AB21" i="40"/>
  <c r="U21" i="40"/>
  <c r="W17" i="40"/>
  <c r="AC17" i="40"/>
  <c r="AA15" i="40"/>
  <c r="S15" i="40"/>
  <c r="U33" i="37"/>
  <c r="W33" i="37"/>
  <c r="AA19" i="37"/>
  <c r="S19"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M88" i="43"/>
  <c r="N88" i="43"/>
  <c r="K88" i="43"/>
  <c r="J88" i="43" s="1"/>
  <c r="D88" i="43"/>
  <c r="I114" i="57"/>
  <c r="D131" i="57" s="1"/>
  <c r="B41" i="1"/>
  <c r="M27" i="15" s="1"/>
  <c r="D118" i="57"/>
  <c r="D119" i="57"/>
  <c r="I115" i="57" s="1"/>
  <c r="D132" i="57" s="1"/>
  <c r="D134" i="57"/>
  <c r="D13" i="52" s="1"/>
  <c r="D130" i="9"/>
  <c r="N46" i="9"/>
  <c r="H60"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s="1"/>
  <c r="Y21" i="59"/>
  <c r="Z21" i="59" s="1"/>
  <c r="AB21" i="59"/>
  <c r="AB19" i="59"/>
  <c r="X21" i="59"/>
  <c r="X19" i="59"/>
  <c r="AA21" i="59"/>
  <c r="AA19" i="59"/>
  <c r="AB20" i="59"/>
  <c r="X20" i="59"/>
  <c r="U21" i="59"/>
  <c r="J30" i="35"/>
  <c r="AC30" i="35" s="1"/>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B30" i="35"/>
  <c r="U30" i="35"/>
  <c r="I116" i="57"/>
  <c r="D133" i="57" s="1"/>
  <c r="I14" i="62" s="1"/>
  <c r="B8" i="62" s="1"/>
  <c r="D120" i="57"/>
  <c r="I114" i="9"/>
  <c r="D129" i="9" s="1"/>
  <c r="I112" i="9"/>
  <c r="D116" i="9"/>
  <c r="D114" i="9"/>
  <c r="D115" i="9"/>
  <c r="I113" i="9" s="1"/>
  <c r="H23" i="31"/>
  <c r="E2" i="21"/>
  <c r="F3" i="61"/>
  <c r="E2" i="11"/>
  <c r="E2" i="35"/>
  <c r="F7" i="61"/>
  <c r="F5" i="61"/>
  <c r="F6" i="61"/>
  <c r="D7" i="61"/>
  <c r="E2" i="33"/>
  <c r="E2" i="36"/>
  <c r="E2" i="37"/>
  <c r="E2" i="34"/>
  <c r="F4" i="61"/>
  <c r="S13" i="21" l="1"/>
  <c r="AA13" i="21"/>
  <c r="AA8" i="33"/>
  <c r="S8" i="33"/>
  <c r="W40" i="21"/>
  <c r="J28" i="34"/>
  <c r="W28" i="34" s="1"/>
  <c r="J31" i="21"/>
  <c r="J13" i="21"/>
  <c r="U32" i="36"/>
  <c r="AB32" i="36"/>
  <c r="AC29" i="39"/>
  <c r="W29" i="39"/>
  <c r="W32" i="34"/>
  <c r="AC32" i="34"/>
  <c r="H87" i="43"/>
  <c r="H84" i="43"/>
  <c r="U37" i="40"/>
  <c r="S38" i="40"/>
  <c r="N106" i="43"/>
  <c r="AB39" i="21"/>
  <c r="AA33" i="37"/>
  <c r="S29" i="21"/>
  <c r="AA29" i="21"/>
  <c r="S37" i="40"/>
  <c r="AA30" i="21"/>
  <c r="H13" i="21"/>
  <c r="U13" i="21" s="1"/>
  <c r="W15" i="21"/>
  <c r="S41" i="39"/>
  <c r="F26" i="47"/>
  <c r="B24" i="47" s="1"/>
  <c r="AB28" i="33"/>
  <c r="U20" i="35"/>
  <c r="U32" i="33"/>
  <c r="U23" i="40"/>
  <c r="AA14" i="37"/>
  <c r="AC34" i="33"/>
  <c r="U34" i="39"/>
  <c r="AC29" i="33"/>
  <c r="W30" i="21"/>
  <c r="W32" i="35"/>
  <c r="AB12" i="33"/>
  <c r="U12" i="33"/>
  <c r="AB28" i="21"/>
  <c r="U28" i="21"/>
  <c r="AB17" i="40"/>
  <c r="B117" i="43"/>
  <c r="C117" i="43" s="1"/>
  <c r="S21" i="40"/>
  <c r="S23" i="40"/>
  <c r="B116" i="43"/>
  <c r="C116" i="43" s="1"/>
  <c r="D115" i="43"/>
  <c r="E115" i="43" s="1"/>
  <c r="F115" i="43" s="1"/>
  <c r="AB17" i="37"/>
  <c r="AB35" i="37"/>
  <c r="U38" i="40"/>
  <c r="H28" i="34"/>
  <c r="U28" i="34" s="1"/>
  <c r="S41" i="34"/>
  <c r="S25" i="36"/>
  <c r="AC14" i="33"/>
  <c r="W14" i="33"/>
  <c r="AA31" i="33"/>
  <c r="AC23" i="33"/>
  <c r="W23" i="33"/>
  <c r="W33" i="36"/>
  <c r="AA10" i="33"/>
  <c r="U11" i="33"/>
  <c r="AB11" i="33"/>
  <c r="D55" i="59"/>
  <c r="C56" i="59"/>
  <c r="H86" i="43"/>
  <c r="C59" i="34"/>
  <c r="D59" i="34" s="1"/>
  <c r="E7" i="34"/>
  <c r="G7" i="34" s="1"/>
  <c r="I7" i="34" s="1"/>
  <c r="AA36" i="33"/>
  <c r="N105" i="43"/>
  <c r="S36" i="35"/>
  <c r="G104" i="43"/>
  <c r="AC19" i="33"/>
  <c r="U25" i="33"/>
  <c r="AC12" i="36"/>
  <c r="AC38" i="40"/>
  <c r="W45" i="21"/>
  <c r="S45" i="21"/>
  <c r="U25" i="36"/>
  <c r="U12" i="39"/>
  <c r="AC17" i="21"/>
  <c r="W17" i="21"/>
  <c r="AC11" i="36"/>
  <c r="AA26" i="33"/>
  <c r="S26" i="33"/>
  <c r="AA16" i="36"/>
  <c r="W30" i="34"/>
  <c r="AC30" i="34"/>
  <c r="E82" i="34"/>
  <c r="F82" i="34" s="1"/>
  <c r="G82" i="34" s="1"/>
  <c r="F19" i="34"/>
  <c r="S19" i="34" s="1"/>
  <c r="H19" i="34"/>
  <c r="U19" i="34" s="1"/>
  <c r="D22" i="59"/>
  <c r="S35" i="37"/>
  <c r="W30" i="35"/>
  <c r="W33" i="35"/>
  <c r="H81" i="43"/>
  <c r="E81" i="43"/>
  <c r="B79" i="43" s="1"/>
  <c r="K103" i="43"/>
  <c r="C104" i="43"/>
  <c r="U19" i="21"/>
  <c r="W42" i="33"/>
  <c r="W26" i="37"/>
  <c r="W12" i="39"/>
  <c r="AB45" i="21"/>
  <c r="W9" i="37"/>
  <c r="AB10" i="33"/>
  <c r="AB46" i="21"/>
  <c r="U14" i="33"/>
  <c r="U39" i="39"/>
  <c r="J12" i="34"/>
  <c r="F12" i="34"/>
  <c r="AC13" i="34"/>
  <c r="S9" i="37"/>
  <c r="AC16" i="35"/>
  <c r="D102" i="43"/>
  <c r="S28" i="36"/>
  <c r="W27" i="37"/>
  <c r="G103" i="43"/>
  <c r="E48" i="43"/>
  <c r="B46" i="43" s="1"/>
  <c r="AC34" i="37"/>
  <c r="AA29" i="34"/>
  <c r="D118" i="43"/>
  <c r="E118" i="43" s="1"/>
  <c r="F118" i="43" s="1"/>
  <c r="D105" i="43"/>
  <c r="S28" i="21"/>
  <c r="U27" i="21"/>
  <c r="W42" i="21"/>
  <c r="W9" i="33"/>
  <c r="AC27" i="33"/>
  <c r="N102" i="43"/>
  <c r="U16" i="36"/>
  <c r="W11" i="39"/>
  <c r="U11" i="35"/>
  <c r="AC37" i="33"/>
  <c r="H43" i="34"/>
  <c r="AB43" i="34" s="1"/>
  <c r="AA17" i="39"/>
  <c r="S17" i="39"/>
  <c r="AA33" i="36"/>
  <c r="S14" i="36"/>
  <c r="F37" i="47"/>
  <c r="B35" i="47" s="1"/>
  <c r="U9" i="21"/>
  <c r="W31" i="34"/>
  <c r="U14" i="40"/>
  <c r="AB23" i="39"/>
  <c r="S24" i="36"/>
  <c r="AB34" i="21"/>
  <c r="F31" i="21"/>
  <c r="U33" i="40"/>
  <c r="U40" i="33"/>
  <c r="D31" i="59"/>
  <c r="C32" i="59"/>
  <c r="B57" i="59"/>
  <c r="S57" i="59" s="1"/>
  <c r="X22" i="59"/>
  <c r="I107" i="57"/>
  <c r="S21" i="33"/>
  <c r="B33" i="59"/>
  <c r="S33" i="59" s="1"/>
  <c r="Y32" i="59"/>
  <c r="Z32" i="59" s="1"/>
  <c r="F35" i="59"/>
  <c r="F36" i="59" s="1"/>
  <c r="F37" i="59" s="1"/>
  <c r="V37" i="59" s="1"/>
  <c r="B45" i="59"/>
  <c r="S45" i="59" s="1"/>
  <c r="B65" i="59"/>
  <c r="S65" i="59" s="1"/>
  <c r="P69" i="59"/>
  <c r="Z10" i="43"/>
  <c r="AA27" i="59"/>
  <c r="F23" i="36"/>
  <c r="S23" i="36" s="1"/>
  <c r="D108" i="43"/>
  <c r="K108" i="43"/>
  <c r="U21" i="37"/>
  <c r="X30" i="59"/>
  <c r="E56" i="59"/>
  <c r="E57" i="59" s="1"/>
  <c r="U57" i="59" s="1"/>
  <c r="AI10" i="43"/>
  <c r="Y22" i="59"/>
  <c r="Z22" i="59" s="1"/>
  <c r="AA18" i="59"/>
  <c r="S42" i="39"/>
  <c r="S8" i="39"/>
  <c r="F15" i="34"/>
  <c r="AA15" i="34" s="1"/>
  <c r="J36" i="35"/>
  <c r="AB25" i="40"/>
  <c r="E72" i="59"/>
  <c r="E71" i="59" s="1"/>
  <c r="AB32" i="59"/>
  <c r="Y35" i="59"/>
  <c r="Z35" i="59" s="1"/>
  <c r="T77" i="59"/>
  <c r="AA12" i="59"/>
  <c r="D4" i="47"/>
  <c r="F4" i="47" s="1"/>
  <c r="B2" i="47" s="1"/>
  <c r="E108" i="43"/>
  <c r="E109" i="43" s="1"/>
  <c r="L108" i="43"/>
  <c r="L109" i="43" s="1"/>
  <c r="D60" i="59"/>
  <c r="X33" i="59"/>
  <c r="AA35" i="59"/>
  <c r="X38" i="59"/>
  <c r="AB17" i="59"/>
  <c r="C14" i="12"/>
  <c r="D88" i="59"/>
  <c r="E32" i="59"/>
  <c r="E33" i="59" s="1"/>
  <c r="U33" i="59" s="1"/>
  <c r="Y33" i="59"/>
  <c r="Z33" i="59" s="1"/>
  <c r="AB35" i="59"/>
  <c r="C40" i="59"/>
  <c r="E44" i="59"/>
  <c r="E45" i="59" s="1"/>
  <c r="U45" i="59" s="1"/>
  <c r="B52" i="59"/>
  <c r="B53" i="59" s="1"/>
  <c r="S53" i="59" s="1"/>
  <c r="F64" i="59"/>
  <c r="F65" i="59" s="1"/>
  <c r="V65" i="59" s="1"/>
  <c r="AC10" i="43"/>
  <c r="Y25" i="59"/>
  <c r="Z25" i="59" s="1"/>
  <c r="F37" i="39"/>
  <c r="U34" i="40"/>
  <c r="F108" i="43"/>
  <c r="C72" i="59"/>
  <c r="AA30" i="59"/>
  <c r="AA32" i="59"/>
  <c r="X35" i="59"/>
  <c r="AA11" i="59"/>
  <c r="P72" i="15"/>
  <c r="C83" i="59"/>
  <c r="D83" i="59" s="1"/>
  <c r="D73" i="59"/>
  <c r="AB3" i="59"/>
  <c r="E40" i="59"/>
  <c r="E41" i="59" s="1"/>
  <c r="F44" i="59"/>
  <c r="F45" i="59" s="1"/>
  <c r="V45" i="59" s="1"/>
  <c r="C52" i="59"/>
  <c r="B60" i="59"/>
  <c r="B61" i="59" s="1"/>
  <c r="S61" i="59" s="1"/>
  <c r="AB22" i="59"/>
  <c r="AA26" i="59"/>
  <c r="B29" i="59"/>
  <c r="X31" i="59"/>
  <c r="AA38" i="59"/>
  <c r="B68" i="59"/>
  <c r="N68" i="59" s="1"/>
  <c r="AA12" i="43"/>
  <c r="AA13" i="43" s="1"/>
  <c r="Y34" i="59"/>
  <c r="Z34" i="59" s="1"/>
  <c r="Y26" i="59"/>
  <c r="Z26" i="59" s="1"/>
  <c r="D25" i="59"/>
  <c r="X25" i="59"/>
  <c r="F12" i="35"/>
  <c r="C68" i="59"/>
  <c r="C67" i="59" s="1"/>
  <c r="D67" i="59" s="1"/>
  <c r="Y31" i="59"/>
  <c r="Z31" i="59" s="1"/>
  <c r="AB36" i="59"/>
  <c r="F40" i="59"/>
  <c r="F41" i="59" s="1"/>
  <c r="V41" i="59" s="1"/>
  <c r="E52" i="59"/>
  <c r="E53" i="59" s="1"/>
  <c r="U53" i="59" s="1"/>
  <c r="AH10" i="43"/>
  <c r="Y24" i="59"/>
  <c r="Z24" i="59" s="1"/>
  <c r="Y19" i="59"/>
  <c r="Z19" i="59" s="1"/>
  <c r="Y30" i="59"/>
  <c r="Z30" i="59" s="1"/>
  <c r="AA25" i="59"/>
  <c r="X18" i="59"/>
  <c r="Y29" i="59"/>
  <c r="Z29" i="59" s="1"/>
  <c r="AA34" i="59"/>
  <c r="Y18" i="59"/>
  <c r="Z18" i="59" s="1"/>
  <c r="H10" i="34"/>
  <c r="AB10" i="34" s="1"/>
  <c r="J10" i="34"/>
  <c r="W10" i="34" s="1"/>
  <c r="C29" i="11"/>
  <c r="D27" i="11" s="1"/>
  <c r="S51" i="31"/>
  <c r="S234" i="31"/>
  <c r="S202" i="31"/>
  <c r="S246" i="31"/>
  <c r="S372" i="31"/>
  <c r="S429" i="31"/>
  <c r="T261" i="31"/>
  <c r="S468" i="31"/>
  <c r="S208" i="31"/>
  <c r="S381" i="31"/>
  <c r="S333" i="31"/>
  <c r="S465" i="31"/>
  <c r="T321" i="31"/>
  <c r="S518" i="31"/>
  <c r="S243" i="31"/>
  <c r="T225" i="31"/>
  <c r="S480" i="31"/>
  <c r="T297" i="31"/>
  <c r="S233" i="31"/>
  <c r="S245" i="31"/>
  <c r="T348" i="31"/>
  <c r="S417" i="31"/>
  <c r="S369" i="31"/>
  <c r="S453" i="31"/>
  <c r="S86" i="31"/>
  <c r="T420" i="31"/>
  <c r="S501" i="31"/>
  <c r="T273" i="31"/>
  <c r="S324" i="31"/>
  <c r="S217" i="31"/>
  <c r="S168" i="31"/>
  <c r="S236" i="31"/>
  <c r="S405" i="31"/>
  <c r="S357" i="31"/>
  <c r="S477" i="31"/>
  <c r="S110" i="31"/>
  <c r="S38" i="31"/>
  <c r="S50" i="31"/>
  <c r="S441" i="31"/>
  <c r="T309" i="31"/>
  <c r="S146" i="31"/>
  <c r="S198" i="31"/>
  <c r="S252" i="31"/>
  <c r="S393" i="31"/>
  <c r="S345" i="31"/>
  <c r="T285" i="31"/>
  <c r="S521" i="31"/>
  <c r="S98" i="31"/>
  <c r="S178" i="31"/>
  <c r="W47" i="34"/>
  <c r="AB30" i="34"/>
  <c r="S28" i="34"/>
  <c r="W29" i="34"/>
  <c r="AA30" i="34"/>
  <c r="AC28" i="34"/>
  <c r="AB28" i="34"/>
  <c r="W44" i="34"/>
  <c r="AB25" i="34"/>
  <c r="AC25" i="34"/>
  <c r="AA25" i="34"/>
  <c r="S23" i="34"/>
  <c r="A18" i="54"/>
  <c r="B15" i="60" s="1"/>
  <c r="T517" i="31"/>
  <c r="S517" i="31"/>
  <c r="C13" i="12"/>
  <c r="S491" i="31"/>
  <c r="T255" i="31"/>
  <c r="T231" i="31"/>
  <c r="T207" i="31"/>
  <c r="T183" i="31"/>
  <c r="S384" i="31"/>
  <c r="S157" i="31"/>
  <c r="S97" i="31"/>
  <c r="S176" i="31"/>
  <c r="S200" i="31"/>
  <c r="S224" i="31"/>
  <c r="S247" i="31"/>
  <c r="S223" i="31"/>
  <c r="S175" i="31"/>
  <c r="T263" i="31"/>
  <c r="T287" i="31"/>
  <c r="S347" i="31"/>
  <c r="S395" i="31"/>
  <c r="S264" i="31"/>
  <c r="S49" i="31"/>
  <c r="T311" i="31"/>
  <c r="S74" i="31"/>
  <c r="S122" i="31"/>
  <c r="S432" i="31"/>
  <c r="S360" i="31"/>
  <c r="S492" i="31"/>
  <c r="S443" i="31"/>
  <c r="S215" i="31"/>
  <c r="S167" i="31"/>
  <c r="S85" i="31"/>
  <c r="S134" i="31"/>
  <c r="S158" i="31"/>
  <c r="S300" i="31"/>
  <c r="S359" i="31"/>
  <c r="S407" i="31"/>
  <c r="S479" i="31"/>
  <c r="S336" i="31"/>
  <c r="S396" i="31"/>
  <c r="S133" i="31"/>
  <c r="S431" i="31"/>
  <c r="S456" i="31"/>
  <c r="S444" i="31"/>
  <c r="S276" i="31"/>
  <c r="S455" i="31"/>
  <c r="S37" i="31"/>
  <c r="S199" i="31"/>
  <c r="S109" i="31"/>
  <c r="T275" i="31"/>
  <c r="T299" i="31"/>
  <c r="T323" i="31"/>
  <c r="S371" i="31"/>
  <c r="S419" i="31"/>
  <c r="S527" i="31"/>
  <c r="S312" i="31"/>
  <c r="S504" i="31"/>
  <c r="S62" i="31"/>
  <c r="S408" i="31"/>
  <c r="AC43" i="34"/>
  <c r="S43" i="34"/>
  <c r="S40" i="34"/>
  <c r="AB40" i="34"/>
  <c r="AC39" i="34"/>
  <c r="S39" i="34"/>
  <c r="AB38" i="34"/>
  <c r="S38" i="34"/>
  <c r="W38" i="34"/>
  <c r="AC36" i="34"/>
  <c r="U36" i="34"/>
  <c r="S36" i="34"/>
  <c r="AB35" i="34"/>
  <c r="S35" i="34"/>
  <c r="AC35" i="34"/>
  <c r="U34" i="34"/>
  <c r="S37" i="34"/>
  <c r="W37" i="34"/>
  <c r="AA33" i="34"/>
  <c r="U33" i="34"/>
  <c r="AC33" i="34"/>
  <c r="W27" i="34"/>
  <c r="AB27" i="34"/>
  <c r="AA27" i="34"/>
  <c r="AB11" i="34"/>
  <c r="S21" i="34"/>
  <c r="W19" i="34"/>
  <c r="U23" i="34"/>
  <c r="AB17" i="34"/>
  <c r="U15" i="34"/>
  <c r="W15" i="34"/>
  <c r="W8" i="34"/>
  <c r="AB8" i="34"/>
  <c r="AA8" i="34"/>
  <c r="AA10" i="34"/>
  <c r="C17" i="15"/>
  <c r="D3" i="33"/>
  <c r="D37" i="11"/>
  <c r="C37" i="11" s="1"/>
  <c r="E18" i="1"/>
  <c r="C34" i="11" s="1"/>
  <c r="C36" i="11" s="1"/>
  <c r="F43" i="15"/>
  <c r="F72" i="15" s="1"/>
  <c r="D3" i="21"/>
  <c r="D3" i="34"/>
  <c r="D3" i="35"/>
  <c r="D19" i="11"/>
  <c r="D10" i="11"/>
  <c r="C10" i="11" s="1"/>
  <c r="D3" i="36"/>
  <c r="D3" i="37"/>
  <c r="M29" i="15"/>
  <c r="F7" i="15"/>
  <c r="F31" i="15" s="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s="1"/>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H12" i="34"/>
  <c r="M19" i="43"/>
  <c r="U41" i="59"/>
  <c r="D52" i="59"/>
  <c r="C53" i="59"/>
  <c r="B74" i="43"/>
  <c r="O66" i="59"/>
  <c r="O67" i="59"/>
  <c r="F39" i="40"/>
  <c r="AA39" i="40" s="1"/>
  <c r="C36" i="59"/>
  <c r="D35" i="59"/>
  <c r="C48" i="59"/>
  <c r="D48" i="59" s="1"/>
  <c r="D47" i="59"/>
  <c r="J39" i="40"/>
  <c r="E67" i="59"/>
  <c r="P68" i="59"/>
  <c r="T61" i="59"/>
  <c r="D61" i="59"/>
  <c r="X25" i="3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B36" i="50" s="1"/>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F7" i="35"/>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5" i="61"/>
  <c r="D3" i="61"/>
  <c r="D6" i="61"/>
  <c r="D4" i="61"/>
  <c r="H7" i="35" l="1"/>
  <c r="S15" i="34"/>
  <c r="C57" i="59"/>
  <c r="D56" i="59"/>
  <c r="B67" i="59"/>
  <c r="B28" i="59"/>
  <c r="B27" i="59" s="1"/>
  <c r="S29" i="59"/>
  <c r="W13" i="21"/>
  <c r="AC13" i="21"/>
  <c r="S12" i="34"/>
  <c r="AA12" i="34"/>
  <c r="W31" i="21"/>
  <c r="AC31" i="21"/>
  <c r="AB19" i="34"/>
  <c r="AA31" i="21"/>
  <c r="S31" i="21"/>
  <c r="W12" i="34"/>
  <c r="AC12" i="34"/>
  <c r="O68" i="59"/>
  <c r="S12" i="35"/>
  <c r="AA12" i="35"/>
  <c r="D72" i="59"/>
  <c r="C71" i="59"/>
  <c r="D71" i="59" s="1"/>
  <c r="C33" i="59"/>
  <c r="D32" i="59"/>
  <c r="S37" i="39"/>
  <c r="AA37" i="39"/>
  <c r="D127" i="57"/>
  <c r="D6" i="52" s="1"/>
  <c r="D10" i="50"/>
  <c r="D31" i="50"/>
  <c r="D32" i="50" s="1"/>
  <c r="AA19" i="34"/>
  <c r="AC36" i="35"/>
  <c r="W36" i="35"/>
  <c r="U10" i="34"/>
  <c r="AC10" i="34"/>
  <c r="C37" i="57"/>
  <c r="F125" i="57" s="1"/>
  <c r="G125" i="57" s="1"/>
  <c r="D19" i="50"/>
  <c r="B32" i="60" s="1"/>
  <c r="C20" i="11"/>
  <c r="C28" i="11" s="1"/>
  <c r="C27" i="11" s="1"/>
  <c r="D126" i="57"/>
  <c r="E125" i="57"/>
  <c r="C112" i="9"/>
  <c r="H110" i="9" s="1"/>
  <c r="C114" i="9"/>
  <c r="H112" i="9" s="1"/>
  <c r="C116" i="9"/>
  <c r="H114" i="9" s="1"/>
  <c r="C106" i="9"/>
  <c r="H102" i="9" s="1"/>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C7" i="43"/>
  <c r="U9" i="59"/>
  <c r="E8" i="59"/>
  <c r="C18" i="15"/>
  <c r="C16" i="15"/>
  <c r="J7" i="35"/>
  <c r="AC7" i="35" s="1"/>
  <c r="V38" i="35" s="1"/>
  <c r="I38" i="35" s="1"/>
  <c r="C30" i="11"/>
  <c r="C48" i="11"/>
  <c r="C32" i="15"/>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F69" i="39" l="1"/>
  <c r="T33" i="59"/>
  <c r="D33" i="59"/>
  <c r="AA7" i="37"/>
  <c r="R42" i="37" s="1"/>
  <c r="R43" i="37" s="1"/>
  <c r="D11" i="50"/>
  <c r="B25" i="60" s="1"/>
  <c r="B23" i="60"/>
  <c r="J7" i="36"/>
  <c r="W7" i="36" s="1"/>
  <c r="T57" i="59"/>
  <c r="D57" i="59"/>
  <c r="F126" i="57"/>
  <c r="C19" i="15"/>
  <c r="C20" i="15" s="1"/>
  <c r="C26" i="15" s="1"/>
  <c r="W7" i="37"/>
  <c r="E27" i="1"/>
  <c r="F22" i="11" s="1"/>
  <c r="F41" i="11" s="1"/>
  <c r="G69" i="39"/>
  <c r="H67" i="39"/>
  <c r="C18" i="59"/>
  <c r="D19" i="59"/>
  <c r="D28" i="59"/>
  <c r="C27" i="59"/>
  <c r="D27" i="59" s="1"/>
  <c r="B12" i="59"/>
  <c r="B11" i="59" s="1"/>
  <c r="B10" i="59" s="1"/>
  <c r="B9" i="59" s="1"/>
  <c r="S13" i="59"/>
  <c r="W7" i="35"/>
  <c r="T65" i="59"/>
  <c r="D65" i="59"/>
  <c r="T37" i="59"/>
  <c r="D37" i="59"/>
  <c r="F16" i="59"/>
  <c r="F15" i="59" s="1"/>
  <c r="F14" i="59" s="1"/>
  <c r="F13" i="59" s="1"/>
  <c r="V17" i="59"/>
  <c r="Q66" i="59"/>
  <c r="Q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AC7" i="36" l="1"/>
  <c r="V36" i="36" s="1"/>
  <c r="I36" i="36" s="1"/>
  <c r="E42" i="37"/>
  <c r="E46" i="37" s="1"/>
  <c r="F46" i="37" s="1"/>
  <c r="I47" i="37"/>
  <c r="J47" i="37" s="1"/>
  <c r="F24" i="15"/>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s="1"/>
  <c r="V5" i="59" s="1"/>
  <c r="E5" i="59"/>
  <c r="U5" i="59" s="1"/>
  <c r="B5" i="59"/>
  <c r="S5" i="59" s="1"/>
  <c r="E33" i="43"/>
  <c r="G36" i="43"/>
  <c r="I36" i="43" s="1"/>
  <c r="E35" i="43"/>
  <c r="E34" i="43"/>
  <c r="G37" i="43"/>
  <c r="I37" i="43" s="1"/>
  <c r="G64" i="40"/>
  <c r="H62" i="40"/>
  <c r="J29" i="15"/>
  <c r="B3" i="35"/>
  <c r="B2" i="35"/>
  <c r="H59" i="34"/>
  <c r="R37" i="36"/>
  <c r="E36" i="36"/>
  <c r="I58" i="21"/>
  <c r="C41" i="11"/>
  <c r="C49" i="11" s="1"/>
  <c r="C51" i="11" s="1"/>
  <c r="C22" i="11"/>
  <c r="C31" i="11" s="1"/>
  <c r="D16" i="59" l="1"/>
  <c r="C15" i="59"/>
  <c r="J69" i="39"/>
  <c r="K67"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D14" i="59" l="1"/>
  <c r="C13" i="59"/>
  <c r="M67" i="39"/>
  <c r="L69"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3" i="59"/>
  <c r="T13" i="59"/>
  <c r="C12" i="59"/>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19" i="9"/>
  <c r="D19" i="57"/>
  <c r="D20" i="57"/>
  <c r="D104" i="57" l="1"/>
  <c r="D103" i="57"/>
  <c r="D102" i="9"/>
  <c r="D101" i="9"/>
  <c r="E53" i="34"/>
  <c r="F53" i="34" s="1"/>
  <c r="E54" i="34"/>
  <c r="F54" i="34" s="1"/>
  <c r="G52" i="39"/>
  <c r="H52" i="39" s="1"/>
  <c r="R50" i="34"/>
  <c r="C49" i="34" s="1"/>
  <c r="C8" i="59"/>
  <c r="T9" i="59"/>
  <c r="D9" i="59"/>
  <c r="R48" i="39"/>
  <c r="E47" i="39"/>
  <c r="I53" i="34"/>
  <c r="J53" i="34" s="1"/>
  <c r="I54" i="34"/>
  <c r="J54" i="34" s="1"/>
  <c r="H7" i="40"/>
  <c r="J7" i="40"/>
  <c r="F7" i="40"/>
  <c r="C50" i="34" l="1"/>
  <c r="B2"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C19" i="57"/>
  <c r="C19" i="9"/>
  <c r="C103" i="57" l="1"/>
  <c r="G19" i="57"/>
  <c r="D22" i="57"/>
  <c r="C101" i="9"/>
  <c r="D22" i="9"/>
  <c r="G19" i="9"/>
  <c r="B3" i="34"/>
  <c r="B56" i="39"/>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20" i="57"/>
  <c r="C20" i="9"/>
  <c r="C104" i="57" l="1"/>
  <c r="G20" i="57"/>
  <c r="R27" i="31" s="1"/>
  <c r="C102" i="9"/>
  <c r="G20" i="9"/>
  <c r="C32" i="9" s="1"/>
  <c r="C35" i="9" s="1"/>
  <c r="C34" i="9" s="1"/>
  <c r="C5" i="59"/>
  <c r="D6" i="59"/>
  <c r="I47" i="40"/>
  <c r="J47" i="40" s="1"/>
  <c r="E47" i="40"/>
  <c r="F47" i="40" s="1"/>
  <c r="E46" i="40"/>
  <c r="F46" i="40" s="1"/>
  <c r="C43" i="40"/>
  <c r="C42" i="40"/>
  <c r="R28" i="31" l="1"/>
  <c r="S28" i="31" s="1"/>
  <c r="H7" i="64" s="1"/>
  <c r="R30" i="31"/>
  <c r="R31" i="31"/>
  <c r="R32" i="31"/>
  <c r="R29" i="31"/>
  <c r="R33" i="31"/>
  <c r="C33" i="57"/>
  <c r="R512" i="31"/>
  <c r="T27" i="31"/>
  <c r="S27" i="31"/>
  <c r="H6" i="64" s="1"/>
  <c r="R516" i="31"/>
  <c r="R513" i="31"/>
  <c r="R514" i="31"/>
  <c r="R515" i="31"/>
  <c r="C105" i="57"/>
  <c r="C106" i="57"/>
  <c r="D5" i="59"/>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T28" i="31" l="1"/>
  <c r="T32" i="31"/>
  <c r="S32" i="31"/>
  <c r="H11" i="64" s="1"/>
  <c r="T31" i="31"/>
  <c r="S31" i="31"/>
  <c r="H10" i="64" s="1"/>
  <c r="T33" i="31"/>
  <c r="S33" i="31"/>
  <c r="T29" i="31"/>
  <c r="S29" i="31"/>
  <c r="H8" i="64" s="1"/>
  <c r="T30" i="31"/>
  <c r="S30" i="31"/>
  <c r="H9" i="64" s="1"/>
  <c r="H12" i="64" s="1"/>
  <c r="T515" i="31"/>
  <c r="S515" i="31"/>
  <c r="T514" i="31"/>
  <c r="S514" i="31"/>
  <c r="T513" i="31"/>
  <c r="S513" i="31"/>
  <c r="T516" i="31"/>
  <c r="S516" i="31"/>
  <c r="T512" i="31"/>
  <c r="S512" i="31"/>
  <c r="T25" i="31" l="1"/>
  <c r="B23" i="31" s="1"/>
  <c r="S25" i="31"/>
  <c r="G121" i="9"/>
  <c r="F121" i="9" s="1"/>
  <c r="F122" i="9" s="1"/>
  <c r="E121" i="9"/>
  <c r="D121" i="9" s="1"/>
  <c r="D122" i="9" s="1"/>
  <c r="I121" i="9"/>
  <c r="H121" i="9" s="1"/>
  <c r="D106" i="9" s="1"/>
  <c r="D112" i="9" s="1"/>
  <c r="R25" i="31" l="1"/>
  <c r="B24" i="31"/>
  <c r="B3" i="31" s="1"/>
  <c r="C35" i="57" s="1"/>
  <c r="I125" i="57" s="1"/>
  <c r="B2" i="31"/>
  <c r="C34" i="57" s="1"/>
  <c r="H125" i="57" s="1"/>
  <c r="D14" i="62" s="1"/>
  <c r="I102" i="9"/>
  <c r="H122" i="9"/>
  <c r="C103" i="9"/>
  <c r="I103" i="9"/>
  <c r="D107" i="9"/>
  <c r="D113" i="9" s="1"/>
  <c r="I111" i="9" s="1"/>
  <c r="D126" i="9" s="1"/>
  <c r="C104" i="9"/>
  <c r="D117" i="9"/>
  <c r="I115" i="9" s="1"/>
  <c r="H126" i="57" l="1"/>
  <c r="H5" i="52" s="1"/>
  <c r="C107" i="57"/>
  <c r="I104" i="57"/>
  <c r="D110" i="57"/>
  <c r="H4" i="52"/>
  <c r="D111" i="57"/>
  <c r="C108" i="57"/>
  <c r="I105" i="57"/>
  <c r="I4" i="52"/>
  <c r="F14" i="62"/>
  <c r="E14" i="62"/>
  <c r="B5" i="62"/>
  <c r="N48" i="9"/>
  <c r="D45" i="9"/>
  <c r="I110" i="9"/>
  <c r="D9" i="50" l="1"/>
  <c r="B21" i="60" s="1"/>
  <c r="D30" i="50"/>
  <c r="N50" i="57"/>
  <c r="I112" i="57"/>
  <c r="D47" i="57"/>
  <c r="D7" i="50"/>
  <c r="D28" i="50"/>
  <c r="D29" i="50" s="1"/>
  <c r="D116" i="57"/>
  <c r="D117" i="57" s="1"/>
  <c r="D121" i="57"/>
  <c r="N49" i="9"/>
  <c r="D125" i="9"/>
  <c r="D5" i="62"/>
  <c r="C5" i="62"/>
  <c r="C64" i="9"/>
  <c r="C63" i="9" s="1"/>
  <c r="C67" i="9" s="1"/>
  <c r="C68" i="9" s="1"/>
  <c r="D54" i="9" s="1"/>
  <c r="C72" i="9"/>
  <c r="D53" i="9"/>
  <c r="D48" i="9" s="1"/>
  <c r="N52" i="9" s="1"/>
  <c r="O57" i="9" s="1"/>
  <c r="C78" i="9"/>
  <c r="C73" i="9" s="1"/>
  <c r="C93" i="9"/>
  <c r="C86" i="9" s="1"/>
  <c r="C85" i="9"/>
  <c r="D52" i="9"/>
  <c r="I117" i="57" l="1"/>
  <c r="D23" i="50" s="1"/>
  <c r="B34" i="60" s="1"/>
  <c r="D44" i="50"/>
  <c r="B19" i="60"/>
  <c r="D8" i="50"/>
  <c r="B22" i="60" s="1"/>
  <c r="D129" i="57"/>
  <c r="D8" i="52" s="1"/>
  <c r="N51" i="57"/>
  <c r="D36" i="50"/>
  <c r="D37" i="50" s="1"/>
  <c r="D15" i="50"/>
  <c r="C95" i="57"/>
  <c r="C88" i="57" s="1"/>
  <c r="C74" i="57"/>
  <c r="C66" i="57"/>
  <c r="C65" i="57" s="1"/>
  <c r="C69" i="57" s="1"/>
  <c r="C70" i="57" s="1"/>
  <c r="D56" i="57" s="1"/>
  <c r="D54" i="57"/>
  <c r="C87" i="57"/>
  <c r="D61" i="57"/>
  <c r="N57" i="57" s="1"/>
  <c r="D57" i="57"/>
  <c r="N55" i="57" s="1"/>
  <c r="D55" i="57"/>
  <c r="D50" i="57" s="1"/>
  <c r="N54" i="57" s="1"/>
  <c r="C80" i="57"/>
  <c r="C75" i="57" s="1"/>
  <c r="I113" i="57"/>
  <c r="D38" i="50"/>
  <c r="B62" i="60" s="1"/>
  <c r="C95" i="9"/>
  <c r="C79" i="9"/>
  <c r="Q57" i="9"/>
  <c r="O58" i="9"/>
  <c r="M63" i="9"/>
  <c r="N63" i="9" s="1"/>
  <c r="M68" i="9"/>
  <c r="N68" i="9" s="1"/>
  <c r="M66" i="9"/>
  <c r="N66" i="9" s="1"/>
  <c r="M64" i="9"/>
  <c r="N64" i="9" s="1"/>
  <c r="M67" i="9"/>
  <c r="N67" i="9" s="1"/>
  <c r="O59" i="9"/>
  <c r="M65" i="9"/>
  <c r="N65" i="9" s="1"/>
  <c r="C81" i="57" l="1"/>
  <c r="C82" i="57" s="1"/>
  <c r="E82" i="57" s="1"/>
  <c r="E83" i="57" s="1"/>
  <c r="G14" i="62"/>
  <c r="B6" i="62" s="1"/>
  <c r="B29" i="60"/>
  <c r="D16" i="50"/>
  <c r="B30" i="60" s="1"/>
  <c r="M66" i="57"/>
  <c r="N66" i="57" s="1"/>
  <c r="M70" i="57"/>
  <c r="N70" i="57" s="1"/>
  <c r="M68" i="57"/>
  <c r="N68" i="57" s="1"/>
  <c r="M69" i="57"/>
  <c r="N69" i="57" s="1"/>
  <c r="M67" i="57"/>
  <c r="N67" i="57" s="1"/>
  <c r="M65" i="57"/>
  <c r="N65" i="57" s="1"/>
  <c r="D130" i="57"/>
  <c r="D17" i="50"/>
  <c r="C97" i="57"/>
  <c r="N69" i="9"/>
  <c r="O69" i="9" s="1"/>
  <c r="O61" i="9"/>
  <c r="O60" i="9"/>
  <c r="C80" i="9"/>
  <c r="E80" i="9" s="1"/>
  <c r="E81" i="9" s="1"/>
  <c r="C96" i="9"/>
  <c r="E96" i="9" s="1"/>
  <c r="E97" i="9" s="1"/>
  <c r="D6" i="62" l="1"/>
  <c r="C6" i="62"/>
  <c r="C83" i="57"/>
  <c r="N71" i="57"/>
  <c r="O71" i="57" s="1"/>
  <c r="D10" i="52"/>
  <c r="D9" i="52"/>
  <c r="C98" i="57"/>
  <c r="E98" i="57" s="1"/>
  <c r="E99" i="57" s="1"/>
  <c r="C97" i="9"/>
  <c r="D58" i="9" s="1"/>
  <c r="C81" i="9"/>
  <c r="C99" i="57" l="1"/>
  <c r="D60" i="57" s="1"/>
  <c r="D58" i="57" s="1"/>
  <c r="N56" i="57" s="1"/>
  <c r="O59" i="57" s="1"/>
  <c r="O60" i="57" s="1"/>
  <c r="O61" i="57" l="1"/>
  <c r="O63" i="57" s="1"/>
  <c r="Q59" i="57"/>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8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8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8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8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A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<sst xmlns="http://schemas.openxmlformats.org/spreadsheetml/2006/main" count="7028" uniqueCount="3093">
  <si>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</si>
  <si>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</si>
  <si>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</si>
  <si>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</si>
  <si>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</si>
  <si>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</si>
  <si>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</si>
  <si>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</si>
  <si>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</si>
  <si>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</si>
  <si>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</si>
  <si>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</si>
  <si>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</si>
  <si>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</si>
  <si>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</si>
  <si>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</si>
  <si>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</si>
  <si>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</si>
  <si>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</si>
  <si>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</si>
  <si>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</si>
  <si>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</si>
  <si>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</si>
  <si>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</si>
  <si>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</si>
  <si>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</si>
  <si>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</si>
  <si>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</si>
  <si>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</si>
  <si>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</si>
  <si>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</si>
  <si>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</si>
  <si>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</si>
  <si>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</si>
  <si>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</si>
  <si>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</si>
  <si>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</si>
  <si>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</si>
  <si>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</si>
  <si>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</si>
  <si>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</si>
  <si>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</si>
  <si>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</si>
  <si>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</si>
  <si>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</si>
  <si>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</si>
  <si>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</si>
  <si>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</si>
  <si>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</si>
  <si>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</si>
  <si>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</si>
  <si>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</si>
  <si>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</si>
  <si>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</si>
  <si>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</si>
  <si>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</si>
  <si>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</si>
  <si>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</si>
  <si>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</si>
  <si>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</si>
  <si>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</si>
  <si>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</si>
  <si>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</si>
  <si>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</si>
  <si>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</si>
  <si>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</si>
  <si>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</si>
  <si>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</si>
  <si>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</si>
  <si>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</si>
  <si>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</si>
  <si>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</si>
  <si>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</si>
  <si>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</si>
  <si>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</si>
  <si>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</si>
  <si>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</si>
  <si>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</si>
  <si>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</si>
  <si>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</si>
  <si>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</si>
  <si>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</si>
  <si>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</si>
  <si>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</si>
  <si>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</si>
  <si>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</si>
  <si>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</si>
  <si>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</si>
  <si>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</si>
  <si>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</si>
  <si>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</si>
  <si>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</si>
  <si>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</si>
  <si>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</si>
  <si>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</si>
  <si>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</si>
  <si>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</si>
  <si>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</si>
  <si>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</si>
  <si>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</si>
  <si>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</si>
  <si>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</si>
  <si>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</si>
  <si>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</si>
  <si>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</si>
  <si>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</si>
  <si>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</si>
  <si>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</si>
  <si>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</si>
  <si>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</si>
  <si>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</si>
  <si>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</si>
  <si>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</si>
  <si>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</si>
  <si>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</si>
  <si>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</si>
  <si>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</si>
  <si>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</si>
  <si>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</si>
  <si>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</si>
  <si>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</si>
  <si>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</si>
  <si>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</si>
  <si>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</si>
  <si>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</si>
  <si>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</si>
  <si>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</si>
  <si>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</si>
  <si>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</si>
  <si>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</si>
  <si>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</si>
  <si>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</si>
  <si>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</si>
  <si>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</si>
  <si>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</si>
  <si>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</si>
  <si>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</si>
  <si>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</si>
  <si>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</si>
  <si>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</si>
  <si>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</si>
  <si>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</si>
  <si>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</si>
  <si>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</si>
  <si>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</si>
  <si>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</si>
  <si>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</si>
  <si>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</si>
  <si>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</si>
  <si>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</si>
  <si>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</si>
  <si>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</si>
  <si>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</si>
  <si>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</si>
  <si>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</si>
  <si>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</si>
  <si>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</si>
  <si>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</si>
  <si>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</si>
  <si>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</si>
  <si>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</si>
  <si>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</si>
  <si>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</si>
  <si>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</si>
  <si>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</si>
  <si>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</si>
  <si>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</si>
  <si>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</si>
  <si>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</si>
  <si>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</si>
  <si>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</si>
  <si>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</si>
  <si>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</si>
  <si>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</si>
  <si>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</si>
  <si>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</si>
  <si>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</si>
  <si>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</si>
  <si>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</si>
  <si>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</si>
  <si>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</si>
  <si>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</si>
  <si>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</si>
  <si>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</si>
  <si>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</si>
  <si>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</si>
  <si>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</si>
  <si>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</si>
  <si>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</si>
  <si>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</si>
  <si>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</si>
  <si>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</si>
  <si>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</si>
  <si>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</si>
  <si>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</si>
  <si>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</si>
  <si>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</si>
  <si>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</si>
  <si>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</si>
  <si>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</si>
  <si>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</si>
  <si>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</si>
  <si>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</si>
  <si>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</si>
  <si>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</si>
  <si>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</si>
  <si>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</si>
  <si>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</si>
  <si>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</si>
  <si>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</si>
  <si>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</si>
  <si>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</si>
  <si>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</si>
  <si>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</si>
  <si>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</si>
  <si>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</si>
  <si>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</si>
  <si>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</si>
  <si>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</si>
  <si>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</si>
  <si>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</si>
  <si>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</si>
  <si>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</si>
  <si>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</si>
  <si>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</si>
  <si>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</si>
  <si>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</si>
  <si>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</si>
  <si>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</si>
  <si>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</si>
  <si>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</si>
  <si>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</si>
  <si>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</si>
  <si>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</si>
  <si>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</si>
  <si>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</si>
  <si>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</si>
  <si>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</si>
  <si>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</si>
  <si>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</si>
  <si>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</si>
  <si>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</si>
  <si>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</si>
  <si>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</si>
  <si>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</si>
  <si>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</si>
  <si>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</si>
  <si>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</si>
  <si>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</si>
  <si>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</si>
  <si>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</si>
  <si>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</si>
  <si>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</si>
  <si>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</si>
  <si>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</si>
  <si>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</si>
  <si>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</si>
  <si>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</si>
  <si>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</si>
  <si>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</si>
  <si>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</si>
  <si>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</si>
  <si>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</si>
  <si>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</si>
  <si>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</si>
  <si>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</si>
  <si>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</si>
  <si>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</si>
  <si>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</si>
  <si>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</si>
  <si>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</si>
  <si>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</si>
  <si>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</si>
  <si>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</si>
  <si>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</si>
  <si>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</si>
  <si>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</si>
  <si>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</si>
  <si>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</si>
  <si>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</si>
  <si>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</si>
  <si>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</si>
  <si>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</si>
  <si>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</si>
  <si>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</si>
  <si>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</si>
  <si>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</si>
  <si>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</si>
  <si>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</si>
  <si>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</si>
  <si>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</si>
  <si>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</si>
  <si>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</si>
  <si>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</si>
  <si>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</si>
  <si>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</si>
  <si>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</si>
  <si>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</si>
  <si>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</si>
  <si>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</si>
  <si>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</si>
  <si>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</si>
  <si>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</si>
  <si>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</si>
  <si>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</si>
  <si>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</si>
  <si>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</si>
  <si>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</si>
  <si>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</si>
  <si>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</si>
  <si>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</si>
  <si>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</si>
  <si>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</si>
  <si>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</si>
  <si>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</si>
  <si>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</si>
  <si>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</si>
  <si>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</si>
  <si>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</si>
  <si>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</si>
  <si>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</si>
  <si>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</si>
  <si>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</si>
  <si>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</si>
  <si>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</si>
  <si>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</si>
  <si>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</si>
  <si>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</si>
  <si>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</si>
  <si>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</si>
  <si>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</si>
  <si>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</si>
  <si>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</si>
  <si>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</si>
  <si>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</si>
  <si>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</si>
  <si>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</si>
  <si>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</si>
  <si>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</si>
  <si>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</si>
  <si>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</si>
  <si>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</si>
  <si>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</si>
  <si>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</si>
  <si>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</si>
  <si>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</si>
  <si>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</si>
  <si>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</si>
  <si>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</si>
  <si>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</si>
  <si>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</si>
  <si>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</si>
  <si>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</si>
  <si>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</si>
  <si>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</si>
  <si>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</si>
  <si>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</si>
  <si>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</si>
  <si>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</si>
  <si>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</si>
  <si>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</si>
  <si>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</si>
  <si>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</si>
  <si>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</si>
  <si>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</si>
  <si>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</si>
  <si>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</si>
  <si>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</si>
  <si>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</si>
  <si>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</si>
  <si>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</si>
  <si>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</si>
  <si>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</si>
  <si>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</si>
  <si>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</si>
  <si>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</si>
  <si>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</si>
  <si>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</si>
  <si>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</si>
  <si>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</si>
  <si>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</si>
  <si>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</si>
  <si>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</si>
  <si>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</si>
  <si>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</si>
  <si>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</si>
  <si>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</si>
  <si>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</si>
  <si>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</si>
  <si>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</si>
  <si>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</si>
  <si>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</si>
  <si>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</si>
  <si>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</si>
  <si>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</si>
  <si>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</si>
  <si>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</si>
  <si>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</si>
  <si>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</si>
  <si>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</si>
  <si>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</si>
  <si>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</si>
  <si>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</si>
  <si>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</si>
  <si>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</si>
  <si>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</si>
  <si>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</si>
  <si>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</si>
  <si>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</si>
  <si>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</si>
  <si>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</si>
  <si>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</si>
  <si>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</si>
  <si>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</si>
  <si>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</si>
  <si>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</si>
  <si>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</si>
  <si>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</si>
  <si>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</si>
  <si>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</si>
  <si>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</si>
  <si>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</si>
  <si>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</si>
  <si>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</si>
  <si>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</si>
  <si>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</si>
  <si>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</si>
  <si>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</si>
  <si>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</si>
  <si>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</si>
  <si>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</si>
  <si>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</si>
  <si>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</si>
  <si>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</si>
  <si>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</si>
  <si>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</si>
  <si>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</si>
  <si>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</si>
  <si>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</si>
  <si>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</si>
  <si>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</si>
  <si>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</si>
  <si>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</si>
  <si>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</si>
  <si>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</si>
  <si>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</si>
  <si>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</si>
  <si>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</si>
  <si>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</si>
  <si>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</si>
  <si>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</si>
  <si>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</si>
  <si>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</si>
  <si>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</si>
  <si>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</si>
  <si>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</si>
  <si>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</si>
  <si>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</si>
  <si>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</si>
  <si>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</si>
  <si>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</si>
  <si>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</si>
  <si>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</si>
  <si>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</si>
  <si>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</si>
  <si>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</si>
  <si>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</si>
  <si>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</si>
  <si>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</si>
  <si>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</si>
  <si>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</si>
  <si>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</si>
  <si>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</si>
  <si>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</si>
  <si>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</si>
  <si>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</si>
  <si>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</si>
  <si>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</si>
  <si>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</si>
  <si>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</si>
  <si>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</si>
  <si>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</si>
  <si>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</si>
  <si>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</si>
  <si>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</si>
  <si>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</si>
  <si>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</si>
  <si>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</si>
  <si>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</si>
  <si>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</si>
  <si>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</si>
  <si>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</si>
  <si>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</si>
  <si>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</si>
  <si>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</si>
  <si>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</si>
  <si>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</si>
  <si>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</si>
  <si>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</si>
  <si>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</si>
  <si>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</si>
  <si>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</si>
  <si>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</si>
  <si>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</si>
  <si>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</si>
  <si>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</si>
  <si>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</si>
  <si>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</si>
  <si>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</si>
  <si>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</si>
  <si>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</si>
  <si>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</si>
  <si>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</si>
  <si>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</si>
  <si>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</si>
  <si>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</si>
  <si>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</si>
  <si>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</si>
  <si>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</si>
  <si>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</si>
  <si>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</si>
  <si>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</si>
  <si>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</si>
  <si>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</si>
  <si>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</si>
  <si>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</si>
  <si>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</si>
  <si>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</si>
  <si>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</si>
  <si>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</si>
  <si>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</si>
  <si>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</si>
  <si>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</si>
  <si>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</si>
  <si>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</si>
  <si>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</si>
  <si>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</si>
  <si>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</si>
  <si>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</si>
  <si>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</si>
  <si>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</si>
  <si>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</si>
  <si>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</si>
  <si>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</si>
  <si>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</si>
  <si>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</si>
  <si>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</si>
  <si>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</si>
  <si>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</si>
  <si>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</si>
  <si>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</si>
  <si>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</si>
  <si>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</si>
  <si>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</si>
  <si>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</si>
  <si>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</si>
  <si>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</si>
  <si>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</si>
  <si>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</si>
  <si>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</si>
  <si>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</si>
  <si>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</si>
  <si>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</si>
  <si>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</si>
  <si>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</si>
  <si>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</si>
  <si>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</si>
  <si>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</si>
  <si>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</si>
  <si>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</si>
  <si>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</si>
  <si>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</si>
  <si>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</si>
  <si>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</si>
  <si>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</si>
  <si>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</si>
  <si>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</si>
  <si>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</si>
  <si>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</si>
  <si>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</si>
  <si>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</si>
  <si>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</si>
  <si>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</si>
  <si>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</si>
  <si>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</si>
  <si>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</si>
  <si>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</si>
  <si>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</si>
  <si>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</si>
  <si>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</si>
  <si>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</si>
  <si>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</si>
  <si>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</si>
  <si>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</si>
  <si>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</si>
  <si>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</si>
  <si>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</si>
  <si>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</si>
  <si>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</si>
  <si>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</si>
  <si>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</si>
  <si>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</si>
  <si>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</si>
  <si>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</si>
  <si>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</si>
  <si>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</si>
  <si>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</si>
  <si>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</si>
  <si>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</si>
  <si>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</si>
  <si>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</si>
  <si>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</si>
  <si>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</si>
  <si>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</si>
  <si>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</si>
  <si>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</si>
  <si>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</si>
  <si>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</si>
  <si>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</si>
  <si>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</si>
  <si>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</si>
  <si>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</si>
  <si>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</si>
  <si>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</si>
  <si>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</si>
  <si>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</si>
  <si>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</si>
  <si>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</si>
  <si>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</si>
  <si>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</si>
  <si>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</si>
  <si>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</si>
  <si>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</si>
  <si>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</si>
  <si>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</si>
  <si>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</si>
  <si>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</si>
  <si>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</si>
  <si>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</si>
  <si>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</si>
  <si>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</si>
  <si>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</si>
  <si>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</si>
  <si>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</si>
  <si>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</si>
  <si>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</si>
  <si>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</si>
  <si>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</si>
  <si>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</si>
  <si>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</si>
  <si>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</si>
  <si>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</si>
  <si>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</si>
  <si>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</si>
  <si>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</si>
  <si>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</si>
  <si>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</si>
  <si>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</si>
  <si>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</si>
  <si>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</si>
  <si>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</si>
  <si>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</si>
  <si>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</si>
  <si>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</si>
  <si>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</si>
  <si>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</si>
  <si>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</si>
  <si>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</si>
  <si>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</si>
  <si>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</si>
  <si>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</si>
  <si>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</si>
  <si>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</si>
  <si>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</si>
  <si>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</si>
  <si>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</si>
  <si>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</si>
  <si>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</si>
  <si>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</si>
  <si>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</si>
  <si>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</si>
  <si>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</si>
  <si>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</si>
  <si>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</si>
  <si>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</si>
  <si>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</si>
  <si>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</si>
  <si>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</si>
  <si>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</si>
  <si>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</si>
  <si>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</si>
  <si>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</si>
  <si>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</si>
  <si>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</si>
  <si>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</si>
  <si>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</si>
  <si>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</si>
  <si>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</si>
  <si>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</si>
  <si>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</si>
  <si>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</si>
  <si>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</si>
  <si>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</si>
  <si>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</si>
  <si>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</si>
  <si>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</si>
  <si>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</si>
  <si>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</si>
  <si>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</si>
  <si>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</si>
  <si>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</si>
  <si>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</si>
  <si>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</si>
  <si>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</si>
  <si>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</si>
  <si>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</si>
  <si>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</si>
  <si>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</si>
  <si>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</si>
  <si>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</si>
  <si>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</si>
  <si>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</si>
  <si>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</si>
  <si>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</si>
  <si>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</si>
  <si>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</si>
  <si>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</si>
  <si>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</si>
  <si>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</si>
  <si>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</si>
  <si>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</si>
  <si>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</si>
  <si>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</si>
  <si>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</si>
  <si>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</si>
  <si>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</si>
  <si>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</si>
  <si>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</si>
  <si>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</si>
  <si>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</si>
  <si>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</si>
  <si>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</si>
  <si>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</si>
  <si>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</si>
  <si>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</si>
  <si>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</si>
  <si>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</si>
  <si>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</si>
  <si>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</si>
  <si>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</si>
  <si>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</si>
  <si>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</si>
  <si>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</si>
  <si>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</si>
  <si>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</si>
  <si>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</si>
  <si>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</si>
  <si>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</si>
  <si>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</si>
  <si>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</si>
  <si>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</si>
  <si>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</si>
  <si>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</si>
  <si>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</si>
  <si>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</si>
  <si>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</si>
  <si>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</si>
  <si>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</si>
  <si>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</si>
  <si>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</si>
  <si>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</si>
  <si>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</si>
  <si>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</si>
  <si>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</si>
  <si>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</si>
  <si>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</si>
  <si>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</si>
  <si>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</si>
  <si>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</si>
  <si>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</si>
  <si>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</si>
  <si>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</si>
  <si>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</si>
  <si>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</si>
  <si>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</si>
  <si>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</si>
  <si>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</si>
  <si>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</si>
  <si>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</si>
  <si>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</si>
  <si>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</si>
  <si>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</si>
  <si>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</si>
  <si>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</si>
  <si>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</si>
  <si>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</si>
  <si>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</si>
  <si>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</si>
  <si>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</si>
  <si>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</si>
  <si>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</si>
  <si>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</si>
  <si>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</si>
  <si>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</si>
  <si>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</si>
  <si>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</si>
  <si>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</si>
  <si>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</si>
  <si>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</si>
  <si>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</si>
  <si>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</si>
  <si>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</si>
  <si>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</si>
  <si>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</si>
  <si>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</si>
  <si>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</si>
  <si>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</si>
  <si>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</si>
  <si>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</si>
  <si>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</si>
  <si>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</si>
  <si>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</si>
  <si>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</si>
  <si>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</si>
  <si>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</si>
  <si>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</si>
  <si>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</si>
  <si>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</si>
  <si>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</si>
  <si>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</si>
  <si>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</si>
  <si>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</si>
  <si>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</si>
  <si>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</si>
  <si>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</si>
  <si>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</si>
  <si>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</si>
  <si>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</si>
  <si>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</si>
  <si>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</si>
  <si>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</si>
  <si>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</si>
  <si>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</si>
  <si>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</si>
  <si>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</si>
  <si>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</si>
  <si>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</si>
  <si>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</si>
  <si>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</si>
  <si>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</si>
  <si>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</si>
  <si>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</si>
  <si>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</si>
  <si>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</si>
  <si>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</si>
  <si>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</si>
  <si>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</si>
  <si>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</si>
  <si>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</si>
  <si>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</si>
  <si>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</si>
  <si>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</si>
  <si>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</si>
  <si>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</si>
  <si>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</si>
  <si>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</si>
  <si>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</si>
  <si>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</si>
  <si>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</si>
  <si>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</si>
  <si>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</si>
  <si>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</si>
  <si>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</si>
  <si>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</si>
  <si>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</si>
  <si>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</si>
  <si>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</si>
  <si>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</si>
  <si>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</si>
  <si>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</si>
  <si>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</si>
  <si>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</si>
  <si>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</si>
  <si>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</si>
  <si>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</si>
  <si>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</si>
  <si>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</si>
  <si>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</si>
  <si>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</si>
  <si>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</si>
  <si>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</si>
  <si>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</si>
  <si>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</si>
  <si>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</si>
  <si>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</si>
  <si>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</si>
  <si>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</si>
  <si>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</si>
  <si>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</si>
  <si>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</si>
  <si>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</si>
  <si>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</si>
  <si>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</si>
  <si>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</si>
  <si>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</si>
  <si>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</si>
  <si>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</si>
  <si>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</si>
  <si>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</si>
  <si>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</si>
  <si>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</si>
  <si>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</si>
  <si>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</si>
  <si>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</si>
  <si>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</si>
  <si>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</si>
  <si>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</si>
  <si>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</si>
  <si>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</si>
  <si>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</si>
  <si>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</si>
  <si>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</si>
  <si>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</si>
  <si>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</si>
  <si>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</si>
  <si>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</si>
  <si>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</si>
  <si>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</si>
  <si>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</si>
  <si>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</si>
  <si>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</si>
  <si>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</si>
  <si>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</si>
  <si>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</si>
  <si>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</si>
  <si>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</si>
  <si>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</si>
  <si>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</si>
  <si>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</si>
  <si>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</si>
  <si>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</si>
  <si>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</si>
  <si>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</si>
  <si>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</si>
  <si>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</si>
  <si>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</si>
  <si>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</si>
  <si>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</si>
  <si>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</si>
  <si>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</si>
  <si>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</si>
  <si>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</si>
  <si>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</si>
  <si>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</si>
  <si>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</si>
  <si>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</si>
  <si>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</si>
  <si>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</si>
  <si>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</si>
  <si>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</si>
  <si>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</si>
  <si>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</si>
  <si>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</si>
  <si>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</si>
  <si>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</si>
  <si>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</si>
  <si>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</si>
  <si>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</si>
  <si>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</si>
  <si>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</si>
  <si>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</si>
  <si>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</si>
  <si>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</si>
  <si>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</si>
  <si>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</si>
  <si>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</si>
  <si>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</si>
  <si>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</si>
  <si>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</si>
  <si>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</si>
  <si>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</si>
  <si>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</si>
  <si>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</si>
  <si>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</si>
  <si>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</si>
  <si>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</si>
  <si>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</si>
  <si>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</si>
  <si>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</si>
  <si>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</si>
  <si>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</si>
  <si>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</si>
  <si>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</si>
  <si>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</si>
  <si>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</si>
  <si>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</si>
  <si>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</si>
  <si>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</si>
  <si>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</si>
  <si>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</si>
  <si>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</si>
  <si>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</si>
  <si>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</si>
  <si>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</si>
  <si>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</si>
  <si>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</si>
  <si>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</si>
  <si>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</si>
  <si>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</si>
  <si>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</si>
  <si>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</si>
  <si>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</si>
  <si>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</si>
  <si>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</si>
  <si>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</si>
  <si>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</si>
  <si>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</si>
  <si>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</si>
  <si>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</si>
  <si>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</si>
  <si>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</si>
  <si>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</si>
  <si>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</si>
  <si>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</si>
  <si>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</si>
  <si>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</si>
  <si>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</si>
  <si>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</si>
  <si>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</si>
  <si>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</si>
  <si>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</si>
  <si>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</si>
  <si>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</si>
  <si>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</si>
  <si>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</si>
  <si>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</si>
  <si>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</si>
  <si>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</si>
  <si>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</si>
  <si>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</si>
  <si>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</si>
  <si>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</si>
  <si>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</si>
  <si>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</si>
  <si>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</si>
  <si>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</si>
  <si>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</si>
  <si>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</si>
  <si>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</si>
  <si>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</si>
  <si>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</si>
  <si>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</si>
  <si>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</si>
  <si>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</si>
  <si>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</si>
  <si>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</si>
  <si>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</si>
  <si>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</si>
  <si>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</si>
  <si>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</si>
  <si>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</si>
  <si>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</si>
  <si>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</si>
  <si>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</si>
  <si>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</si>
  <si>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</si>
  <si>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</si>
  <si>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</si>
  <si>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</si>
  <si>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</si>
  <si>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</si>
  <si>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</si>
  <si>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</si>
  <si>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</si>
  <si>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</si>
  <si>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</si>
  <si>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</si>
  <si>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</si>
  <si>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</si>
  <si>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</si>
  <si>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</si>
  <si>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</si>
  <si>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</si>
  <si>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</si>
  <si>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</si>
  <si>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</si>
  <si>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</si>
  <si>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</si>
  <si>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</si>
  <si>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</si>
  <si>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</si>
  <si>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</si>
  <si>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</si>
  <si>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</si>
  <si>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</si>
  <si>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</si>
  <si>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</si>
  <si>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</si>
  <si>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</si>
  <si>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</si>
  <si>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</si>
  <si>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</si>
  <si>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</si>
  <si>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</si>
  <si>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</si>
  <si>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</si>
  <si>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</si>
  <si>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</si>
  <si>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</si>
  <si>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</si>
  <si>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</si>
  <si>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</si>
  <si>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</si>
  <si>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</si>
  <si>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</si>
  <si>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</si>
  <si>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</si>
  <si>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</si>
  <si>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</si>
  <si>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</si>
  <si>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</si>
  <si>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</si>
  <si>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</si>
  <si>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</si>
  <si>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</si>
  <si>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</si>
  <si>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</si>
  <si>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</si>
  <si>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</si>
  <si>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</si>
  <si>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</si>
  <si>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</si>
  <si>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</si>
  <si>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</si>
  <si>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</si>
  <si>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</si>
  <si>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</si>
  <si>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</si>
  <si>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</si>
  <si>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</si>
  <si>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</si>
  <si>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</si>
  <si>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</si>
  <si>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</si>
  <si>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</si>
  <si>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</si>
  <si>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</si>
  <si>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</si>
  <si>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</si>
  <si>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</si>
  <si>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</si>
  <si>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</si>
  <si>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</si>
  <si>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</si>
  <si>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</si>
  <si>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</si>
  <si>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</si>
  <si>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</si>
  <si>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</si>
  <si>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</si>
  <si>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</si>
  <si>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</si>
  <si>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</si>
  <si>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</si>
  <si>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</si>
  <si>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</si>
  <si>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</si>
  <si>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</si>
  <si>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</si>
  <si>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</si>
  <si>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</si>
  <si>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</si>
  <si>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</si>
  <si>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</si>
  <si>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</si>
  <si>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</si>
  <si>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</si>
  <si>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</si>
  <si>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</si>
  <si>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</si>
  <si>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</si>
  <si>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</si>
  <si>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</si>
  <si>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</si>
  <si>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</si>
  <si>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</si>
  <si>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</si>
  <si>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</si>
  <si>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</si>
  <si>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</si>
  <si>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</si>
  <si>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</si>
  <si>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</si>
  <si>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</si>
  <si>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</si>
  <si>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</si>
  <si>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</si>
  <si>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</si>
  <si>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</si>
  <si>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</si>
  <si>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</si>
  <si>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</si>
  <si>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</si>
  <si>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</si>
  <si>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</si>
  <si>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</si>
  <si>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</si>
  <si>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</si>
  <si>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</si>
  <si>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</si>
  <si>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</si>
  <si>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</si>
  <si>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</si>
  <si>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</si>
  <si>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</si>
  <si>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</si>
  <si>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</si>
  <si>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</si>
  <si>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</si>
  <si>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</si>
  <si>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</si>
  <si>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</si>
  <si>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</si>
  <si>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</si>
  <si>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</si>
  <si>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</si>
  <si>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</si>
  <si>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</si>
  <si>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</si>
  <si>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</si>
  <si>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</si>
  <si>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</si>
  <si>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</si>
  <si>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</si>
  <si>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</si>
  <si>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</si>
  <si>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</si>
  <si>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</si>
  <si>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</si>
  <si>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</si>
  <si>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</si>
  <si>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</si>
  <si>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</si>
  <si>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</si>
  <si>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</si>
  <si>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</si>
  <si>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</si>
  <si>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</si>
  <si>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</si>
  <si>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</si>
  <si>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</si>
  <si>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</si>
  <si>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</si>
  <si>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</si>
  <si>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</si>
  <si>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</si>
  <si>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</si>
  <si>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</si>
  <si>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</si>
  <si>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</si>
  <si>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</si>
  <si>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</si>
  <si>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</si>
  <si>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</si>
  <si>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</si>
  <si>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</si>
  <si>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</si>
  <si>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</si>
  <si>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</si>
  <si>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</si>
  <si>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</si>
  <si>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</si>
  <si>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</si>
  <si>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</si>
  <si>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</si>
  <si>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</si>
  <si>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</si>
  <si>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</si>
  <si>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</si>
  <si>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</si>
  <si>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</si>
  <si>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</si>
  <si>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</si>
  <si>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</si>
  <si>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</si>
  <si>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</si>
  <si>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</si>
  <si>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</si>
  <si>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</si>
  <si>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</si>
  <si>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</si>
  <si>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</si>
  <si>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</si>
  <si>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</si>
  <si>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</si>
  <si>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</si>
  <si>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</si>
  <si>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</si>
  <si>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</si>
  <si>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</si>
  <si>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</si>
  <si>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</si>
  <si>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</si>
  <si>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</si>
  <si>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</si>
  <si>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</si>
  <si>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</si>
  <si>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</si>
  <si>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</si>
  <si>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</si>
  <si>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</si>
  <si>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</si>
  <si>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</si>
  <si>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</si>
  <si>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</si>
  <si>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</si>
  <si>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</si>
  <si>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</si>
  <si>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</si>
  <si>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</si>
  <si>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</si>
  <si>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</si>
  <si>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</si>
  <si>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</si>
  <si>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</si>
  <si>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</si>
  <si>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</si>
  <si>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</si>
  <si>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</si>
  <si>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</si>
  <si>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</si>
  <si>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</si>
  <si>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</si>
  <si>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</si>
  <si>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</si>
  <si>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</si>
  <si>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</si>
  <si>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</si>
  <si>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</si>
  <si>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</si>
  <si>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</si>
  <si>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</si>
  <si>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</si>
  <si>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</si>
  <si>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</si>
  <si>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</si>
  <si>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</si>
  <si>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</si>
  <si>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</si>
  <si>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</si>
  <si>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</si>
  <si>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</si>
  <si>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</si>
  <si>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</si>
  <si>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</si>
  <si>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</si>
  <si>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</si>
  <si>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</si>
  <si>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</si>
  <si>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</si>
  <si>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</si>
  <si>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</si>
  <si>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</si>
  <si>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</si>
  <si>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</si>
  <si>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</si>
  <si>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</si>
  <si>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</si>
  <si>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</si>
  <si>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</si>
  <si>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</si>
  <si>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</si>
  <si>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</si>
  <si>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</si>
  <si>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</si>
  <si>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</si>
  <si>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</si>
  <si>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</si>
  <si>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</si>
  <si>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</si>
  <si>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</si>
  <si>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</si>
  <si>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</si>
  <si>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</si>
  <si>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</si>
  <si>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</si>
  <si>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</si>
  <si>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</si>
  <si>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</si>
  <si>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</si>
  <si>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</si>
  <si>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</si>
  <si>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</si>
  <si>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</si>
  <si>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</si>
  <si>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</si>
  <si>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</si>
  <si>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</si>
  <si>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</si>
  <si>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</si>
  <si>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</si>
  <si>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</si>
  <si>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</si>
  <si>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</si>
  <si>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</si>
  <si>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</si>
  <si>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</si>
  <si>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</si>
  <si>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</si>
  <si>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</si>
  <si>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</si>
  <si>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</si>
  <si>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</si>
  <si>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</si>
  <si>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</si>
  <si>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</si>
  <si>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</si>
  <si>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</si>
  <si>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</si>
  <si>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</si>
  <si>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</si>
  <si>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</si>
  <si>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</si>
  <si>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</si>
  <si>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</si>
  <si>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</si>
  <si>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</si>
  <si>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</si>
  <si>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</si>
  <si>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</si>
  <si>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</si>
  <si>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</si>
  <si>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</si>
  <si>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</si>
  <si>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</si>
  <si>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</si>
  <si>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</si>
  <si>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</si>
  <si>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</si>
  <si>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</si>
  <si>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</si>
  <si>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</si>
  <si>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</si>
  <si>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</si>
  <si>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</si>
  <si>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</si>
  <si>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</si>
  <si>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</si>
  <si>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</si>
  <si>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</si>
  <si>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</si>
  <si>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</si>
  <si>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</si>
  <si>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</si>
  <si>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</si>
  <si>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</si>
  <si>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</si>
  <si>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</si>
  <si>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</si>
  <si>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</si>
  <si>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</si>
  <si>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</si>
  <si>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</si>
  <si>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</si>
  <si>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</si>
  <si>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</si>
  <si>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</si>
  <si>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</si>
  <si>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</si>
  <si>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</si>
  <si>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</si>
  <si>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</si>
  <si>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</si>
  <si>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</si>
  <si>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</si>
  <si>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</si>
  <si>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</si>
  <si>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</si>
  <si>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</si>
  <si>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</si>
  <si>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</si>
  <si>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</si>
  <si>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</si>
  <si>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</si>
  <si>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</si>
  <si>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</si>
  <si>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</si>
  <si>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</si>
  <si>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</si>
  <si>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</si>
  <si>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</si>
  <si>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</si>
  <si>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</si>
  <si>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</si>
  <si>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</si>
  <si>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</si>
  <si>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</si>
  <si>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</si>
  <si>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</si>
  <si>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</si>
  <si>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</si>
  <si>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</si>
  <si>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</si>
  <si>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</si>
  <si>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</si>
  <si>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</si>
  <si>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</si>
  <si>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</si>
  <si>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</si>
  <si>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</si>
  <si>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</si>
  <si>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</si>
  <si>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</si>
  <si>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</si>
  <si>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</si>
  <si>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</si>
  <si>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</si>
  <si>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</si>
  <si>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</si>
  <si>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</si>
  <si>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</si>
  <si>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</si>
  <si>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</si>
  <si>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</si>
  <si>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</si>
  <si>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</si>
  <si>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</si>
  <si>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</si>
  <si>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</si>
  <si>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</si>
  <si>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</si>
  <si>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</si>
  <si>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</si>
  <si>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</si>
  <si>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</si>
  <si>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</si>
  <si>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</si>
  <si>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</si>
  <si>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</si>
  <si>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</si>
  <si>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</si>
  <si>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</si>
  <si>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</si>
  <si>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</si>
  <si>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</si>
  <si>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</si>
  <si>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</si>
  <si>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</si>
  <si>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</si>
  <si>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</si>
  <si>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</si>
  <si>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</si>
  <si>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</si>
  <si>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</si>
  <si>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</si>
  <si>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</si>
  <si>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</si>
  <si>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</si>
  <si>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</si>
  <si>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</si>
  <si>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</si>
  <si>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</si>
  <si>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</si>
  <si>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</si>
  <si>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</si>
  <si>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</si>
  <si>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</si>
  <si>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</si>
  <si>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</si>
  <si>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</si>
  <si>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</si>
  <si>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</si>
  <si>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</si>
  <si>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</si>
  <si>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</si>
  <si>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</si>
  <si>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</si>
  <si>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</si>
  <si>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</si>
  <si>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</si>
  <si>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</si>
  <si>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</si>
  <si>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</si>
  <si>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</si>
  <si>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</si>
  <si>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</si>
  <si>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</si>
  <si>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</si>
  <si>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</si>
  <si>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</si>
  <si>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</si>
  <si>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</si>
  <si>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</si>
  <si>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</si>
  <si>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</si>
  <si>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</si>
  <si>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</si>
  <si>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</si>
  <si>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</si>
  <si>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</si>
  <si>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</si>
  <si>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</si>
  <si>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</si>
  <si>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</si>
  <si>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</si>
  <si>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</si>
  <si>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</si>
  <si>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</si>
  <si>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</si>
  <si>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</si>
  <si>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</si>
  <si>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</si>
  <si>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</si>
  <si>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</si>
  <si>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</si>
  <si>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</si>
  <si>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</si>
  <si>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</si>
  <si>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</si>
  <si>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</si>
  <si>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</si>
  <si>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</si>
  <si>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</si>
  <si>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</si>
  <si>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</si>
  <si>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</si>
  <si>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</si>
  <si>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</si>
  <si>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</si>
  <si>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</si>
  <si>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</si>
  <si>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</si>
  <si>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</si>
  <si>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</si>
  <si>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</si>
  <si>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</si>
  <si>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</si>
  <si>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</si>
  <si>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</si>
  <si>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</si>
  <si>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</si>
  <si>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</si>
  <si>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</si>
  <si>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</si>
  <si>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</si>
  <si>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</si>
  <si>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</si>
  <si>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</si>
  <si>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</si>
  <si>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</si>
  <si>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</si>
  <si>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</si>
  <si>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</si>
  <si>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</si>
  <si>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</si>
  <si>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</si>
  <si>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</si>
  <si>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</si>
  <si>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</si>
  <si>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</si>
  <si>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</si>
  <si>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</si>
  <si>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</si>
  <si>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</si>
  <si>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</si>
  <si>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</si>
  <si>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</si>
  <si>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</si>
  <si>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</si>
  <si>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</si>
  <si>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</si>
  <si>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</si>
  <si>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</si>
  <si>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</si>
  <si>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</si>
  <si>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</si>
  <si>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</si>
  <si>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</si>
  <si>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</si>
  <si>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</si>
  <si>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</si>
  <si>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</si>
  <si>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</si>
  <si>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</si>
  <si>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</si>
  <si>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</si>
  <si>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</si>
  <si>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</si>
  <si>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</si>
  <si>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</si>
  <si>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</si>
  <si>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</si>
  <si>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</si>
  <si>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</si>
  <si>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</si>
  <si>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</si>
  <si>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</si>
  <si>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</si>
  <si>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</si>
  <si>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</si>
  <si>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</si>
  <si>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</si>
  <si>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</si>
  <si>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</si>
  <si>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</si>
  <si>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</si>
  <si>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</si>
  <si>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</si>
  <si>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</si>
  <si>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</si>
  <si>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</si>
  <si>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</si>
  <si>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</si>
  <si>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</si>
  <si>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</si>
  <si>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</si>
  <si>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</si>
  <si>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</si>
  <si>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</si>
  <si>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</si>
  <si>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</si>
  <si>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</si>
  <si>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</si>
  <si>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</si>
  <si>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</si>
  <si>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</si>
  <si>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</si>
  <si>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</si>
  <si>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</si>
  <si>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</si>
  <si>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</si>
  <si>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</si>
  <si>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</si>
  <si>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</si>
  <si>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</si>
  <si>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</si>
  <si>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</si>
  <si>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</si>
  <si>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</si>
  <si>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</si>
  <si>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</si>
  <si>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</si>
  <si>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</si>
  <si>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</si>
  <si>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</si>
  <si>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</si>
  <si>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</si>
  <si>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</si>
  <si>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</si>
  <si>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</si>
  <si>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</si>
  <si>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</si>
  <si>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</si>
  <si>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</si>
  <si>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</si>
  <si>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</si>
  <si>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</si>
  <si>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</si>
  <si>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</si>
  <si>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</si>
  <si>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</si>
  <si>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</si>
  <si>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</si>
  <si>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</si>
  <si>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</si>
  <si>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</si>
  <si>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</si>
  <si>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</si>
  <si>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</si>
  <si>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</si>
  <si>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</si>
  <si>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</si>
  <si>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</si>
  <si>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</si>
  <si>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</si>
  <si>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</si>
  <si>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</si>
  <si>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</si>
  <si>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</si>
  <si>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</si>
  <si>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</si>
  <si>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</si>
  <si>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</si>
  <si>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</si>
  <si>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</si>
  <si>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</si>
  <si>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</si>
  <si>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</si>
  <si>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</si>
  <si>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</si>
  <si>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</si>
  <si>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</si>
  <si>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</si>
  <si>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</si>
  <si>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</si>
  <si>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</si>
  <si>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</si>
  <si>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</si>
  <si>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</si>
  <si>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</si>
  <si>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</si>
  <si>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</si>
  <si>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</si>
  <si>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</si>
  <si>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</si>
  <si>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</si>
  <si>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</si>
  <si>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</si>
  <si>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</si>
  <si>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</si>
  <si>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</si>
  <si>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</si>
  <si>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</si>
  <si>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</si>
  <si>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</si>
  <si>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</si>
  <si>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</si>
  <si>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</si>
  <si>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</si>
  <si>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</si>
  <si>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</si>
  <si>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</si>
  <si>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</si>
  <si>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</si>
  <si>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</si>
  <si>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</si>
  <si>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</si>
  <si>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</si>
  <si>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</si>
  <si>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</si>
  <si>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</si>
  <si>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</si>
  <si>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</si>
  <si>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</si>
  <si>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</si>
  <si>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</si>
  <si>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</si>
  <si>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</si>
  <si>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</si>
  <si>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</si>
  <si>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</si>
  <si>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</si>
  <si>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</si>
  <si>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</si>
  <si>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</si>
  <si>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</si>
  <si>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</si>
  <si>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</si>
  <si>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</si>
  <si>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</si>
  <si>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</si>
  <si>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</si>
  <si>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</si>
  <si>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</si>
  <si>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</si>
  <si>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</si>
  <si>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</si>
  <si>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</si>
  <si>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</si>
  <si>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</si>
  <si>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</si>
  <si>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</si>
  <si>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</si>
  <si>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</si>
  <si>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</si>
  <si>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</si>
  <si>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</si>
  <si>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</si>
  <si>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</si>
  <si>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</si>
  <si>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</si>
  <si>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</si>
  <si>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</si>
  <si>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</si>
  <si>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</si>
  <si>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</si>
  <si>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</si>
  <si>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</si>
  <si>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</si>
  <si>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</si>
  <si>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</si>
  <si>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</si>
  <si>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</si>
  <si>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</si>
  <si>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</si>
  <si>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</si>
  <si>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</si>
  <si>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</si>
  <si>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</si>
  <si>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</si>
  <si>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</si>
  <si>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</si>
  <si>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</si>
  <si>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</si>
  <si>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</si>
  <si>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</si>
  <si>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</si>
  <si>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</si>
  <si>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</si>
  <si>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</si>
  <si>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</si>
  <si>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</si>
  <si>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</si>
  <si>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</si>
  <si>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</si>
  <si>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</si>
  <si>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</si>
  <si>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</si>
  <si>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</si>
  <si>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</si>
  <si>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</si>
  <si>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</si>
  <si>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</si>
  <si>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</si>
  <si>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</si>
  <si>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</si>
  <si>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</si>
  <si>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</si>
  <si>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</si>
  <si>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</si>
  <si>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</si>
  <si>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</si>
  <si>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</si>
  <si>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</si>
  <si>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</si>
  <si>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</si>
  <si>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</si>
  <si>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</si>
  <si>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</si>
  <si>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</si>
  <si>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</si>
  <si>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</si>
  <si>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</si>
  <si>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</si>
  <si>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</si>
  <si>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</si>
  <si>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</si>
  <si>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</si>
  <si>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</si>
  <si>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</si>
  <si>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</si>
  <si>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</si>
  <si>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</si>
  <si>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</si>
  <si>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</si>
  <si>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</si>
  <si>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</si>
  <si>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</si>
  <si>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</si>
  <si>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</si>
  <si>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</si>
  <si>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</si>
  <si>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</si>
  <si>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</si>
  <si>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</si>
  <si>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</si>
  <si>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</si>
  <si>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</si>
  <si>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</si>
  <si>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</si>
  <si>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</si>
  <si>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</si>
  <si>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</si>
  <si>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</si>
  <si>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</si>
  <si>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</si>
  <si>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</si>
  <si>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</si>
  <si>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</si>
  <si>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</si>
  <si>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</si>
  <si>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</si>
  <si>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</si>
  <si>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</si>
  <si>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</si>
  <si>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</si>
  <si>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</si>
  <si>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</si>
  <si>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</si>
  <si>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</si>
  <si>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</si>
  <si>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</si>
  <si>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</si>
  <si>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</si>
  <si>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</si>
  <si>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</si>
  <si>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</si>
  <si>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</si>
  <si>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</si>
  <si>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</si>
  <si>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</si>
  <si>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</si>
  <si>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</si>
  <si>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</si>
  <si>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</si>
  <si>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</si>
  <si>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</si>
  <si>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</si>
  <si>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</si>
  <si>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</si>
  <si>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</si>
  <si>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</si>
  <si>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</si>
  <si>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</si>
  <si>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</si>
  <si>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</si>
  <si>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</si>
  <si>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</si>
  <si>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</si>
  <si>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</si>
  <si>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</si>
  <si>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</si>
  <si>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</si>
  <si>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</si>
  <si>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</si>
  <si>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</si>
  <si>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</si>
  <si>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</si>
  <si>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</si>
  <si>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</si>
  <si>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</si>
  <si>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</si>
  <si>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</si>
  <si>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</si>
  <si>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</si>
  <si>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</si>
  <si>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</si>
  <si>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</si>
  <si>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</si>
  <si>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</si>
  <si>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</si>
  <si>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</si>
  <si>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</si>
  <si>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</si>
  <si>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</si>
  <si>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</si>
  <si>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</si>
  <si>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</si>
  <si>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</si>
  <si>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</si>
  <si>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</si>
  <si>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</si>
  <si>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</si>
  <si>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</si>
  <si>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</si>
  <si>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</si>
  <si>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</si>
  <si>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</si>
  <si>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</si>
  <si>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</si>
  <si>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</si>
  <si>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</si>
  <si>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</si>
  <si>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</si>
  <si>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</si>
  <si>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</si>
  <si>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</si>
  <si>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</si>
  <si>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</si>
  <si>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</si>
  <si>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</si>
  <si>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</si>
  <si>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</si>
  <si>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</si>
  <si>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</si>
  <si>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</si>
  <si>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</si>
  <si>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</si>
  <si>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</si>
  <si>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</si>
  <si>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</si>
  <si>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</si>
  <si>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</si>
  <si>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</si>
  <si>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</si>
  <si>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</si>
  <si>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</si>
  <si>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</si>
  <si>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</si>
  <si>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</si>
  <si>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</si>
  <si>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</si>
  <si>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</si>
  <si>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</si>
  <si>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</si>
  <si>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</si>
  <si>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</si>
  <si>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</si>
  <si>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</si>
  <si>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</si>
  <si>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</si>
  <si>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</si>
  <si>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</si>
  <si>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</si>
  <si>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</si>
  <si>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</si>
  <si>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</si>
  <si>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</si>
  <si>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</si>
  <si>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</si>
  <si>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</si>
  <si>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</si>
  <si>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</si>
  <si>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</si>
  <si>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</si>
  <si>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</si>
  <si>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</si>
  <si>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</si>
  <si>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</si>
  <si>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</si>
  <si>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</si>
  <si>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</si>
  <si>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</si>
  <si>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</si>
  <si>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</si>
  <si>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</si>
  <si>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</si>
  <si>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</si>
  <si>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</si>
  <si>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</si>
  <si>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</si>
  <si>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</si>
  <si>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</si>
  <si>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</si>
  <si>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</si>
  <si>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</si>
  <si>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</si>
  <si>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</si>
  <si>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</si>
  <si>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</si>
  <si>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</si>
  <si>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</si>
  <si>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</si>
  <si>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</si>
  <si>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</si>
  <si>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</si>
  <si>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</si>
  <si>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</si>
  <si>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</si>
  <si>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</si>
  <si>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</si>
  <si>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</si>
  <si>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</si>
  <si>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</si>
  <si>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</si>
  <si>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</si>
  <si>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</si>
  <si>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</si>
  <si>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</si>
  <si>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</si>
  <si>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</si>
  <si>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</si>
  <si>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</si>
  <si>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</si>
  <si>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</si>
  <si>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</si>
  <si>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</si>
  <si>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</si>
  <si>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</si>
  <si>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</si>
  <si>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</si>
  <si>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</si>
  <si>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</si>
  <si>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</si>
  <si>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</si>
  <si>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</si>
  <si>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</si>
  <si>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</si>
  <si>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</si>
  <si>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</si>
  <si>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</si>
  <si>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</si>
  <si>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</si>
  <si>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</si>
  <si>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</si>
  <si>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</si>
  <si>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</si>
  <si>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</si>
  <si>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</si>
  <si>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</si>
  <si>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</si>
  <si>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</si>
  <si>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</si>
  <si>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</si>
  <si>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</si>
  <si>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</si>
  <si>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</si>
  <si>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</si>
  <si>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</si>
  <si>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</si>
  <si>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</si>
  <si>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</si>
  <si>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</si>
  <si>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</si>
  <si>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</si>
  <si>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</si>
  <si>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</si>
  <si>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</si>
  <si>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</si>
  <si>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</si>
  <si>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</si>
  <si>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</si>
  <si>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</si>
  <si>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</si>
  <si>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</si>
  <si>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</si>
  <si>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</si>
  <si>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</si>
  <si>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</si>
  <si>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</si>
  <si>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</si>
  <si>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</si>
  <si>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</si>
  <si>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</si>
  <si>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</si>
  <si>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</si>
  <si>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</si>
  <si>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</si>
  <si>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</si>
  <si>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</si>
  <si>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</si>
  <si>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</si>
  <si>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</si>
  <si>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</si>
  <si>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</si>
  <si>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</si>
  <si>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</si>
  <si>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</si>
  <si>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</si>
  <si>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</si>
  <si>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</si>
  <si>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</si>
  <si>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</si>
  <si>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</si>
  <si>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</si>
  <si>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</si>
  <si>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</si>
  <si>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</si>
  <si>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</si>
  <si>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</si>
  <si>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</si>
  <si>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</si>
  <si>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</si>
  <si>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</si>
  <si>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</si>
  <si>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</si>
  <si>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</si>
  <si>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</si>
  <si>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</si>
  <si>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</si>
  <si>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</si>
  <si>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</si>
  <si>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</si>
  <si>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</si>
  <si>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</si>
  <si>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</si>
  <si>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</si>
  <si>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</si>
  <si>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</si>
  <si>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</si>
  <si>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</si>
  <si>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</si>
  <si>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</si>
  <si>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</si>
  <si>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</si>
  <si>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</si>
  <si>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</si>
  <si>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</si>
  <si>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</si>
  <si>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</si>
  <si>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</si>
  <si>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</si>
  <si>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</si>
  <si>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</si>
  <si>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</si>
  <si>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</si>
  <si>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</si>
  <si>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</si>
  <si>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</si>
  <si>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</si>
  <si>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</si>
  <si>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</si>
  <si>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</si>
  <si>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</si>
  <si>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</si>
  <si>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</si>
  <si>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</si>
  <si>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</si>
  <si>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</si>
  <si>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</si>
  <si>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</si>
  <si>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</si>
  <si>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</si>
  <si>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</si>
  <si>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</si>
  <si>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</si>
  <si>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</si>
  <si>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</si>
  <si>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</si>
  <si>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</si>
  <si>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</si>
  <si>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</si>
  <si>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</si>
  <si>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</si>
  <si>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</si>
  <si>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</si>
  <si>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</si>
  <si>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</si>
  <si>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</si>
  <si>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</si>
  <si>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</si>
  <si>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</si>
  <si>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</si>
  <si>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</si>
  <si>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</si>
  <si>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</si>
  <si>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</si>
  <si>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</si>
  <si>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</si>
  <si>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</si>
  <si>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</si>
  <si>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</si>
  <si>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</si>
  <si>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</si>
  <si>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</si>
  <si>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</si>
  <si>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</si>
  <si>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</si>
  <si>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</si>
  <si>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</si>
  <si>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</si>
  <si>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</si>
  <si>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</si>
  <si>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</si>
  <si>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</si>
  <si>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</si>
  <si>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</si>
  <si>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</si>
  <si>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</si>
  <si>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</si>
  <si>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</si>
  <si>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</si>
  <si>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</si>
  <si>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</si>
  <si>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</si>
  <si>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</si>
  <si>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</si>
  <si>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</si>
  <si>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</si>
  <si>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</si>
  <si>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</si>
  <si>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</si>
  <si>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</si>
  <si>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</si>
  <si>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</si>
  <si>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</si>
  <si>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</si>
  <si>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</si>
  <si>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</si>
  <si>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</si>
  <si>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</si>
  <si>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</si>
  <si>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</si>
  <si>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</si>
  <si>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</si>
  <si>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</si>
  <si>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</si>
  <si>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</si>
  <si>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</si>
  <si>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</si>
  <si>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</si>
  <si>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</si>
  <si>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</si>
  <si>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</si>
  <si>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</si>
  <si>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</si>
  <si>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</si>
  <si>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</si>
  <si>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</si>
  <si>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</si>
  <si>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</si>
  <si>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</si>
  <si>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</si>
  <si>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</si>
  <si>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</si>
  <si>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</si>
  <si>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</si>
  <si>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</si>
  <si>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</si>
  <si>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</si>
  <si>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</si>
  <si>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</si>
  <si>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</si>
  <si>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</si>
  <si>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</si>
  <si>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</si>
  <si>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</si>
  <si>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</si>
  <si>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</si>
  <si>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</si>
  <si>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</si>
  <si>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</si>
  <si>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</si>
  <si>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</si>
  <si>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</si>
  <si>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</si>
  <si>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</si>
  <si>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</si>
  <si>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</si>
  <si>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</si>
  <si>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</si>
  <si>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</si>
  <si>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</si>
  <si>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</si>
  <si>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</si>
  <si>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</si>
  <si>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</si>
  <si>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</si>
  <si>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</si>
  <si>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</si>
  <si>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</si>
  <si>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</si>
  <si>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</si>
  <si>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</si>
  <si>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</si>
  <si>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</si>
  <si>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</si>
  <si>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</si>
  <si>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</si>
  <si>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</si>
  <si>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</si>
  <si>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</si>
  <si>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</si>
  <si>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</si>
  <si>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</si>
  <si>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</si>
  <si>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</si>
  <si>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</si>
  <si>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</si>
  <si>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</si>
  <si>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</si>
  <si>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</si>
  <si>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</si>
  <si>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</si>
  <si>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</si>
  <si>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</si>
  <si>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</si>
  <si>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</si>
  <si>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</si>
  <si>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</si>
  <si>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</si>
  <si>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</si>
  <si>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</si>
  <si>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</si>
  <si>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</si>
  <si>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</si>
  <si>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</si>
  <si>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</si>
  <si>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</si>
  <si>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</si>
  <si>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</si>
  <si>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</si>
  <si>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</si>
  <si>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</si>
  <si>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</si>
  <si>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</si>
  <si>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</si>
  <si>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</si>
  <si>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</si>
  <si>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</si>
  <si>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</si>
  <si>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</si>
  <si>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</si>
  <si>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</si>
  <si>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</si>
  <si>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</si>
  <si>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</si>
  <si>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</si>
  <si>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</si>
  <si>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</si>
  <si>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</si>
  <si>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</si>
  <si>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</si>
  <si>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</si>
  <si>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</si>
  <si>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</si>
  <si>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</si>
  <si>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</si>
  <si>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</si>
  <si>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</si>
  <si>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</si>
  <si>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</si>
  <si>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</si>
  <si>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</si>
  <si>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</si>
  <si>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</si>
  <si>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</si>
  <si>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</si>
  <si>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</si>
  <si>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</si>
  <si>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</si>
  <si>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</si>
  <si>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</si>
  <si>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</si>
  <si>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</si>
  <si>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</si>
  <si>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</si>
  <si>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</si>
  <si>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</si>
  <si>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</si>
  <si>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</si>
  <si>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</si>
  <si>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</si>
  <si>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</si>
  <si>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</si>
  <si>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</si>
  <si>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</si>
  <si>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</si>
  <si>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</si>
  <si>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</si>
  <si>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</si>
  <si>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</si>
  <si>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</si>
  <si>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</si>
  <si>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</si>
  <si>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</si>
  <si>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</si>
  <si>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</si>
  <si>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</si>
  <si>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</si>
  <si>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</si>
  <si>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</si>
  <si>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</si>
  <si>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</si>
  <si>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</si>
  <si>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</si>
  <si>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</si>
  <si>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</si>
  <si>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</si>
  <si>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</si>
  <si>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</si>
  <si>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</si>
  <si>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</si>
  <si>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</si>
  <si>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</si>
  <si>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</si>
  <si>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</si>
  <si>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</si>
  <si>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</si>
  <si>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</si>
  <si>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</si>
  <si>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</si>
  <si>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</si>
  <si>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</si>
  <si>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</si>
  <si>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</si>
  <si>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</si>
  <si>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</si>
  <si>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</si>
  <si>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</si>
  <si>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</si>
  <si>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</si>
  <si>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</si>
  <si>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</si>
  <si>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</si>
  <si>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</si>
  <si>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</si>
  <si>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</si>
  <si>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</si>
  <si>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</si>
  <si>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</si>
  <si>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</si>
  <si>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</si>
  <si>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</si>
  <si>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</si>
  <si>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</si>
  <si>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</si>
  <si>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</si>
  <si>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</si>
  <si>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</si>
  <si>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</si>
  <si>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</si>
  <si>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</si>
  <si>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</si>
  <si>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</si>
  <si>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</si>
  <si>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</si>
  <si>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</si>
  <si>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</si>
  <si>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</si>
  <si>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</si>
  <si>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</si>
  <si>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</si>
  <si>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</si>
  <si>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</si>
  <si>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</si>
  <si>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</si>
  <si>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</si>
  <si>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</si>
  <si>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</si>
  <si>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</si>
  <si>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</si>
  <si>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</si>
  <si>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</si>
  <si>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</si>
  <si>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</si>
  <si>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</si>
  <si>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</si>
  <si>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</si>
  <si>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</si>
  <si>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</si>
  <si>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</si>
  <si>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</si>
  <si>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</si>
  <si>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</si>
  <si>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</si>
  <si>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</si>
  <si>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</si>
  <si>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</si>
  <si>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</si>
  <si>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</si>
  <si>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</si>
  <si>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</si>
  <si>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</si>
  <si>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</si>
  <si>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</si>
  <si>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</si>
  <si>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</si>
  <si>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</si>
  <si>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</si>
  <si>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</si>
  <si>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</si>
  <si>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</si>
  <si>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</si>
  <si>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</si>
  <si>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</si>
  <si>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</si>
  <si>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</si>
  <si>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</si>
  <si>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</si>
  <si>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</si>
  <si>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</si>
  <si>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</si>
  <si>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</si>
  <si>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</si>
  <si>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</si>
  <si>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</si>
  <si>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</si>
  <si>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</si>
  <si>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</si>
  <si>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</si>
  <si>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</si>
  <si>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</si>
  <si>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</si>
  <si>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</si>
  <si>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</si>
  <si>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</si>
  <si>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</si>
  <si>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</si>
  <si>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</si>
  <si>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</si>
  <si>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</si>
  <si>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</si>
  <si>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</si>
  <si>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</si>
  <si>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</si>
  <si>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</si>
  <si>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</si>
  <si>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</si>
  <si>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</si>
  <si>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</si>
  <si>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</si>
  <si>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</si>
  <si>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</si>
  <si>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</si>
  <si>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</si>
  <si>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</si>
  <si>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</si>
  <si>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</si>
  <si>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</si>
  <si>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</si>
  <si>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</si>
  <si>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</si>
  <si>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</si>
  <si>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</si>
  <si>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</si>
  <si>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</si>
  <si>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</si>
  <si>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</si>
  <si>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</si>
  <si>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</si>
  <si>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</si>
  <si>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</si>
  <si>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</si>
  <si>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</si>
  <si>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</si>
  <si>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</si>
  <si>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</si>
  <si>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</si>
  <si>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</si>
  <si>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</si>
  <si>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</si>
  <si>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</si>
  <si>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</si>
  <si>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</si>
  <si>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</si>
  <si>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</si>
  <si>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</si>
  <si>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</si>
  <si>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</si>
  <si>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</si>
  <si>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</si>
  <si>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</si>
  <si>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</si>
  <si>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</si>
  <si>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</si>
  <si>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</si>
  <si>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</si>
  <si>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</si>
  <si>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</si>
  <si>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</si>
  <si>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</si>
  <si>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</si>
  <si>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</si>
  <si>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</si>
  <si>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</si>
  <si>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</si>
  <si>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</si>
  <si>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</si>
  <si>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</si>
  <si>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</si>
  <si>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</si>
  <si>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</si>
  <si>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</si>
  <si>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</si>
  <si>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</si>
  <si>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</si>
  <si>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</si>
  <si>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</si>
  <si>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</si>
  <si>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</si>
  <si>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</si>
  <si>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</si>
  <si>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</si>
  <si>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</si>
  <si>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</si>
  <si>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</si>
  <si>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</si>
  <si>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</si>
  <si>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</si>
  <si>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</si>
  <si>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</si>
  <si>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</si>
  <si>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</si>
  <si>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</si>
  <si>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</si>
  <si>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</si>
  <si>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</si>
  <si>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</si>
  <si>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</si>
  <si>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</si>
  <si>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</si>
  <si>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</si>
  <si>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</si>
  <si>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</si>
  <si>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</si>
  <si>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</si>
  <si>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</si>
  <si>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</si>
  <si>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</si>
  <si>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</si>
  <si>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</si>
  <si>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</si>
  <si>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</si>
  <si>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</si>
  <si>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</si>
  <si>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</si>
  <si>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</si>
  <si>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</si>
  <si>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</si>
  <si>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</si>
  <si>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</si>
  <si>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</si>
  <si>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</si>
  <si>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</si>
  <si>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</si>
  <si>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</si>
  <si>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</si>
  <si>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</si>
  <si>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</si>
  <si>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</si>
  <si>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</si>
  <si>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</si>
  <si>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</si>
  <si>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</si>
  <si>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</si>
  <si>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</si>
  <si>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</si>
  <si>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</si>
  <si>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</si>
  <si>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</si>
  <si>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</si>
  <si>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</si>
  <si>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</si>
  <si>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</si>
  <si>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</si>
  <si>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</si>
  <si>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</si>
  <si>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</si>
  <si>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</si>
  <si>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</si>
  <si>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</si>
  <si>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</si>
  <si>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</si>
  <si>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</si>
  <si>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</si>
  <si>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</si>
  <si>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</si>
  <si>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</si>
  <si>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</si>
  <si>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</si>
  <si>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</si>
  <si>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</si>
  <si>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</si>
  <si>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</si>
  <si>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</si>
  <si>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</si>
  <si>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</si>
  <si>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</si>
  <si>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</si>
  <si>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</si>
  <si>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</si>
  <si>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</si>
  <si>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</si>
  <si>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</si>
  <si>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</si>
  <si>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</si>
  <si>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</si>
  <si>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</si>
  <si>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</si>
  <si>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</si>
  <si>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</si>
  <si>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</si>
  <si>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</si>
  <si>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</si>
  <si>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</si>
  <si>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</si>
  <si>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</si>
  <si>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</si>
  <si>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</si>
  <si>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</si>
  <si>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</si>
  <si>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</si>
  <si>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</si>
  <si>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</si>
  <si>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</si>
  <si>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</si>
  <si>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</si>
  <si>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</si>
  <si>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</si>
  <si>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</si>
  <si>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</si>
  <si>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</si>
  <si>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</si>
  <si>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</si>
  <si>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</si>
  <si>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</si>
  <si>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</si>
  <si>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</si>
  <si>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</si>
  <si>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</si>
  <si>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</si>
  <si>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</si>
  <si>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</si>
  <si>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</si>
  <si>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</si>
  <si>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</si>
  <si>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</si>
  <si>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</si>
  <si>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</si>
  <si>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</si>
  <si>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</si>
  <si>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</si>
  <si>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</si>
  <si>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</si>
  <si>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</si>
  <si>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</si>
  <si>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</si>
  <si>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</si>
  <si>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</si>
  <si>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</si>
  <si>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</si>
  <si>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</si>
  <si>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</si>
  <si>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</si>
  <si>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</si>
  <si>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</si>
  <si>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</si>
  <si>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</si>
  <si>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</si>
  <si>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</si>
  <si>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</si>
  <si>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</si>
  <si>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</si>
  <si>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</si>
  <si>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</si>
  <si>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</si>
  <si>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</si>
  <si>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</si>
  <si>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</si>
  <si>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</si>
  <si>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</si>
  <si>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</si>
  <si>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</si>
  <si>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</si>
  <si>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</si>
  <si>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</si>
  <si>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</si>
  <si>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</si>
  <si>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</si>
  <si>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</si>
  <si>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</si>
  <si>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</si>
  <si>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</si>
  <si>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</si>
  <si>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</si>
  <si>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</si>
  <si>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</si>
  <si>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</si>
  <si>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</si>
  <si>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</si>
  <si>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</si>
  <si>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</si>
  <si>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</si>
  <si>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</si>
  <si>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</si>
  <si>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</si>
  <si>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</si>
  <si>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</si>
  <si>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</si>
  <si>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</si>
  <si>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</si>
  <si>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</si>
  <si>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</si>
  <si>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</si>
  <si>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</si>
  <si>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</si>
  <si>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</si>
  <si>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</si>
  <si>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</si>
  <si>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</si>
  <si>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</si>
  <si>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</si>
  <si>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</si>
  <si>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</si>
  <si>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</si>
  <si>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</si>
  <si>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</si>
  <si>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</si>
  <si>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</si>
  <si>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</si>
  <si>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</si>
  <si>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</si>
  <si>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</si>
  <si>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</si>
  <si>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</si>
  <si>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</si>
  <si>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</si>
  <si>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</si>
  <si>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</si>
  <si>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</si>
  <si>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</si>
  <si>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</si>
  <si>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</si>
  <si>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</si>
  <si>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</si>
  <si>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</si>
  <si>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</si>
  <si>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</si>
  <si>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</si>
  <si>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</si>
  <si>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</si>
  <si>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</si>
  <si>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</si>
  <si>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</si>
  <si>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</si>
  <si>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</si>
  <si>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</si>
  <si>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</si>
  <si>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</si>
  <si>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</si>
  <si>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</si>
  <si>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</si>
  <si>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</si>
  <si>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</si>
  <si>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</si>
  <si>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</si>
  <si>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</si>
  <si>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</si>
  <si>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</si>
  <si>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</si>
  <si>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</si>
  <si>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</si>
  <si>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</si>
  <si>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</si>
  <si>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</si>
  <si>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</si>
  <si>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</si>
  <si>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</si>
  <si>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</si>
  <si>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</si>
  <si>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</si>
  <si>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</si>
  <si>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</si>
  <si>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</si>
  <si>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</si>
  <si>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</si>
  <si>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</si>
  <si>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</si>
  <si>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</si>
  <si>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</si>
  <si>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</si>
  <si>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</si>
  <si>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</si>
  <si>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</si>
  <si>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</si>
  <si>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</si>
  <si>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</si>
  <si>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</si>
  <si>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</si>
  <si>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</si>
  <si>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</si>
  <si>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楼面单价</t>
  </si>
  <si>
    <t>无租约</t>
  </si>
  <si>
    <t>利息：取LPR加浮动点数</t>
  </si>
  <si>
    <t>钢混</t>
  </si>
  <si>
    <t>非生产用房</t>
  </si>
  <si>
    <t>是</t>
  </si>
  <si>
    <t>未包含在土地购买价格中</t>
  </si>
  <si>
    <t>已包含在土地取得成本中</t>
  </si>
  <si>
    <t>收益法</t>
  </si>
  <si>
    <t>北京市海淀区中关村东路18号1号楼</t>
    <phoneticPr fontId="146" type="noConversion"/>
  </si>
  <si>
    <t>C-1007</t>
    <phoneticPr fontId="146" type="noConversion"/>
  </si>
  <si>
    <t>楼层9/20（-3）</t>
    <phoneticPr fontId="146" type="noConversion"/>
  </si>
  <si>
    <t>公寓</t>
    <phoneticPr fontId="146" type="noConversion"/>
  </si>
  <si>
    <t>C-1008</t>
  </si>
  <si>
    <t>C-1009</t>
  </si>
  <si>
    <t>C-1010</t>
  </si>
  <si>
    <t>C-1011</t>
  </si>
  <si>
    <t>C-1012</t>
  </si>
  <si>
    <t xml:space="preserve">财智国际大厦
</t>
    <phoneticPr fontId="146" type="noConversion"/>
  </si>
  <si>
    <t>建筑面积</t>
    <phoneticPr fontId="146" type="noConversion"/>
  </si>
  <si>
    <t>用途</t>
    <phoneticPr fontId="146" type="noConversion"/>
  </si>
  <si>
    <t>楼层</t>
    <phoneticPr fontId="146" type="noConversion"/>
  </si>
  <si>
    <t>房号</t>
    <phoneticPr fontId="146" type="noConversion"/>
  </si>
  <si>
    <t>地址</t>
    <phoneticPr fontId="146" type="noConversion"/>
  </si>
  <si>
    <t>项目名称</t>
    <phoneticPr fontId="146" type="noConversion"/>
  </si>
  <si>
    <t>办公</t>
  </si>
  <si>
    <t>与房产证证载不一致</t>
  </si>
  <si>
    <t>七通</t>
  </si>
  <si>
    <t>高区</t>
    <phoneticPr fontId="26" type="noConversion"/>
  </si>
  <si>
    <t>中区</t>
  </si>
  <si>
    <t>中区</t>
    <phoneticPr fontId="26" type="noConversion"/>
  </si>
  <si>
    <t>低区</t>
    <phoneticPr fontId="26" type="noConversion"/>
  </si>
  <si>
    <t>板塔结合</t>
  </si>
  <si>
    <t>板塔结合</t>
    <phoneticPr fontId="26" type="noConversion"/>
  </si>
  <si>
    <t>财智国际大厦</t>
    <phoneticPr fontId="4" type="noConversion"/>
  </si>
  <si>
    <t>比较法-办公</t>
  </si>
  <si>
    <t>银网中心</t>
    <phoneticPr fontId="4" type="noConversion"/>
  </si>
  <si>
    <t>钢混</t>
    <phoneticPr fontId="26" type="noConversion"/>
  </si>
  <si>
    <t>精装</t>
  </si>
  <si>
    <t>精装</t>
    <phoneticPr fontId="26" type="noConversion"/>
  </si>
  <si>
    <t>标准写字楼</t>
  </si>
  <si>
    <t>标准写字楼</t>
    <phoneticPr fontId="26" type="noConversion"/>
  </si>
  <si>
    <t>公寓</t>
  </si>
  <si>
    <t>专业</t>
  </si>
  <si>
    <t>专业</t>
    <phoneticPr fontId="26" type="noConversion"/>
  </si>
  <si>
    <t>五通</t>
  </si>
  <si>
    <t>五通</t>
    <phoneticPr fontId="26" type="noConversion"/>
  </si>
  <si>
    <t>普装</t>
    <phoneticPr fontId="26" type="noConversion"/>
  </si>
  <si>
    <t>简装</t>
    <phoneticPr fontId="26" type="noConversion"/>
  </si>
  <si>
    <t>毛坯</t>
  </si>
  <si>
    <t>毛坯</t>
    <phoneticPr fontId="26" type="noConversion"/>
  </si>
  <si>
    <t>公寓</t>
    <phoneticPr fontId="26" type="noConversion"/>
  </si>
  <si>
    <t>办公</t>
    <phoneticPr fontId="26" type="noConversion"/>
  </si>
  <si>
    <t>30-40（含）</t>
  </si>
  <si>
    <t>40-50（含）</t>
  </si>
  <si>
    <t>金码大厦</t>
    <phoneticPr fontId="4" type="noConversion"/>
  </si>
  <si>
    <t>低区</t>
  </si>
  <si>
    <t>估价对象1（结果表1修多）</t>
  </si>
  <si>
    <t>自然人</t>
  </si>
  <si>
    <t>元</t>
  </si>
  <si>
    <t>仅计算典型户型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</si>
</sst>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257"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4460</xdr:colOff>
      <xdr:row>0</xdr:row>
      <xdr:rowOff>0</xdr:rowOff>
    </xdr:from>
    <xdr:to>
      <xdr:col>18</xdr:col>
      <xdr:colOff>573928</xdr:colOff>
      <xdr:row>16</xdr:row>
      <xdr:rowOff>124780</xdr:rowOff>
    </xdr:to>
    <xdr:pic>
      <xdr:nvPicPr>
        <xdr:cNvPr id="2" name="图片 1">
          <a:extLst>
            <a:ext uri="{FF2B5EF4-FFF2-40B4-BE49-F238E27FC236}">
              <a16:creationId xmlns:a16="http://schemas.microsoft.com/office/drawing/2014/main" id="{29C03E31-EEE4-4FD9-BCDA-FC296C143155}"/>
            </a:ext>
          </a:extLst>
        </xdr:cNvPr>
        <xdr:cNvPicPr>
          <a:picLocks noChangeAspect="1"/>
        </xdr:cNvPicPr>
      </xdr:nvPicPr>
      <xdr:blipFill>
        <a:blip xmlns:r="http://schemas.openxmlformats.org/officeDocument/2006/relationships" r:embed="rId1"/>
        <a:stretch>
          <a:fillRect/>
        </a:stretch>
      </xdr:blipFill>
      <xdr:spPr>
        <a:xfrm>
          <a:off x="7540640" y="0"/>
          <a:ext cx="6055868" cy="4148140"/>
        </a:xfrm>
        <a:prstGeom prst="rect">
          <a:avLst/>
        </a:prstGeom>
      </xdr:spPr>
    </xdr:pic>
    <xdr:clientData/>
  </xdr:twoCellAnchor>
  <xdr:twoCellAnchor editAs="oneCell">
    <xdr:from>
      <xdr:col>0</xdr:col>
      <xdr:colOff>68580</xdr:colOff>
      <xdr:row>12</xdr:row>
      <xdr:rowOff>137160</xdr:rowOff>
    </xdr:from>
    <xdr:to>
      <xdr:col>7</xdr:col>
      <xdr:colOff>221490</xdr:colOff>
      <xdr:row>36</xdr:row>
      <xdr:rowOff>94309</xdr:rowOff>
    </xdr:to>
    <xdr:pic>
      <xdr:nvPicPr>
        <xdr:cNvPr id="7" name="图片 6">
          <a:extLst>
            <a:ext uri="{FF2B5EF4-FFF2-40B4-BE49-F238E27FC236}">
              <a16:creationId xmlns:a16="http://schemas.microsoft.com/office/drawing/2014/main" id="{B25C294B-F517-40C5-A1DA-344E1F28875B}"/>
            </a:ext>
          </a:extLst>
        </xdr:cNvPr>
        <xdr:cNvPicPr>
          <a:picLocks noChangeAspect="1"/>
        </xdr:cNvPicPr>
      </xdr:nvPicPr>
      <xdr:blipFill>
        <a:blip xmlns:r="http://schemas.openxmlformats.org/officeDocument/2006/relationships" r:embed="rId2"/>
        <a:stretch>
          <a:fillRect/>
        </a:stretch>
      </xdr:blipFill>
      <xdr:spPr>
        <a:xfrm>
          <a:off x="68580" y="3429000"/>
          <a:ext cx="6469890" cy="4346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5810;&#20215;/&#20043;&#26143;&#20140;&#35199;/&#38468;-&#22522;&#20934;&#22320;&#20215;&#20462;&#27491;&#27861;-&#20043;&#26143;&#20140;&#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20142</v>
          </cell>
          <cell r="U2">
            <v>1084.5</v>
          </cell>
        </row>
        <row r="3">
          <cell r="T3">
            <v>15876</v>
          </cell>
          <cell r="U3">
            <v>1478.42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估价对象为北京市房地产，为XX所有。根据《》[]，估价对象建筑面积为440.01平方米。根据《》[]，估价对象（分摊）出让国有建设用地使用权面积为平方米。估价对象用途为。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2022年11月18日</v>
      </c>
    </row>
    <row r="10" spans="1:2">
      <c r="A10" s="1083" t="s">
        <v>865</v>
      </c>
      <c r="B10" s="1070" t="str">
        <f>'预评函-1'!A13</f>
        <v>本次估价的“房地产价值”是指在正常市场情况下，在价值时点2022年11月18日，估价对象规划用途为，假定未设立法定优先受偿款下的房地产市场价值。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本次评估采用的主估价方法为比较法和收益法。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440.01</v>
      </c>
    </row>
    <row r="19" spans="1:2">
      <c r="A19" s="1083" t="s">
        <v>874</v>
      </c>
      <c r="B19" s="1070">
        <f ca="1">'预评函-2（1）'!D7</f>
        <v>17958128</v>
      </c>
    </row>
    <row r="20" spans="1:2">
      <c r="A20" s="1083" t="s">
        <v>912</v>
      </c>
      <c r="B20" s="1070" t="str">
        <f>'预评函-2（1）'!C7</f>
        <v>总价（元）</v>
      </c>
    </row>
    <row r="21" spans="1:2">
      <c r="A21" s="1083" t="s">
        <v>875</v>
      </c>
      <c r="B21" s="1070">
        <f ca="1">'预评函-2（1）'!D9</f>
        <v>408129997</v>
      </c>
    </row>
    <row r="22" spans="1:2">
      <c r="A22" s="1083" t="s">
        <v>876</v>
      </c>
      <c r="B22" s="1070" t="str">
        <f ca="1">'预评函-2（1）'!D8</f>
        <v>壹仟柒佰玖拾伍万捌仟壹佰贰拾捌元整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17958128</v>
      </c>
    </row>
    <row r="30" spans="1:2">
      <c r="A30" s="1083" t="s">
        <v>882</v>
      </c>
      <c r="B30" s="1070" t="str">
        <f ca="1">'预评函-2（1）'!D16</f>
        <v>壹仟柒佰玖拾伍万捌仟壹佰贰拾捌元整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'预评函-2（2）'!D4</f>
        <v>0</v>
      </c>
    </row>
    <row r="38" spans="1:2">
      <c r="A38" s="1083" t="s">
        <v>890</v>
      </c>
      <c r="B38" s="1070">
        <f>'预评函-2（2）'!E4</f>
        <v>0</v>
      </c>
    </row>
    <row r="39" spans="1:2">
      <c r="A39" s="1083" t="s">
        <v>891</v>
      </c>
      <c r="B39" s="1070" t="str">
        <f>'预评函-2（2）'!D5</f>
        <v>零元整</v>
      </c>
    </row>
    <row r="40" spans="1:2">
      <c r="A40" s="1083" t="s">
        <v>892</v>
      </c>
      <c r="B40" s="1070">
        <f>'预评函-2（2）'!F4</f>
        <v>0</v>
      </c>
    </row>
    <row r="41" spans="1:2">
      <c r="A41" s="1083" t="s">
        <v>893</v>
      </c>
      <c r="B41" s="1070">
        <f>'预评函-2（2）'!G4</f>
        <v>0</v>
      </c>
    </row>
    <row r="42" spans="1:2" s="1080" customFormat="1" ht="16.2" thickBot="1">
      <c r="A42" s="1084" t="s">
        <v>894</v>
      </c>
      <c r="B42" s="1072" t="str">
        <f>'预评函-2（2）'!F5</f>
        <v>零元整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408129997</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39" t="s">
        <v>0</v>
      </c>
      <c r="B1" s="3139" t="s">
        <v>2</v>
      </c>
      <c r="C1" s="3139" t="s">
        <v>3</v>
      </c>
      <c r="D1" s="3140" t="s">
        <v>67</v>
      </c>
      <c r="E1" s="3140" t="s">
        <v>68</v>
      </c>
      <c r="F1" s="3140"/>
      <c r="G1" s="3140"/>
      <c r="H1" s="3140"/>
      <c r="I1" s="3140"/>
      <c r="J1" s="3140"/>
      <c r="K1" s="3140"/>
      <c r="L1" s="3140"/>
      <c r="M1" s="3140"/>
    </row>
    <row r="2" spans="1:13" ht="27" customHeight="1">
      <c r="A2" s="3139"/>
      <c r="B2" s="3139"/>
      <c r="C2" s="3139"/>
      <c r="D2" s="3140"/>
      <c r="E2" s="3140" t="s">
        <v>51</v>
      </c>
      <c r="F2" s="3140" t="s">
        <v>52</v>
      </c>
      <c r="G2" s="3140"/>
      <c r="H2" s="3140"/>
      <c r="I2" s="3140"/>
      <c r="J2" s="3140" t="s">
        <v>53</v>
      </c>
      <c r="K2" s="3140"/>
      <c r="L2" s="3140"/>
      <c r="M2" s="3140"/>
    </row>
    <row r="3" spans="1:13" ht="46.8">
      <c r="A3" s="3139"/>
      <c r="B3" s="3139"/>
      <c r="C3" s="3139"/>
      <c r="D3" s="3140"/>
      <c r="E3" s="31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0" t="s">
        <v>69</v>
      </c>
      <c r="B9" s="3140"/>
      <c r="C9" s="31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46" t="s">
        <v>1124</v>
      </c>
      <c r="B15" s="3141" t="s">
        <v>1125</v>
      </c>
      <c r="C15" s="3142"/>
    </row>
    <row r="16" spans="1:7" ht="14.4">
      <c r="A16" s="3147"/>
      <c r="B16" s="3141" t="s">
        <v>1126</v>
      </c>
      <c r="C16" s="3142"/>
    </row>
    <row r="17" spans="1:3" ht="14.4">
      <c r="A17" s="3147"/>
      <c r="B17" s="3141" t="s">
        <v>1127</v>
      </c>
      <c r="C17" s="3142"/>
    </row>
    <row r="18" spans="1:3" ht="14.4">
      <c r="A18" s="3148"/>
      <c r="B18" s="3143" t="s">
        <v>1128</v>
      </c>
      <c r="C18" s="3142"/>
    </row>
    <row r="19" spans="1:3" ht="14.4">
      <c r="A19" s="1269" t="s">
        <v>1129</v>
      </c>
      <c r="B19" s="1270"/>
      <c r="C19" s="1271"/>
    </row>
    <row r="20" spans="1:3" ht="14.4">
      <c r="A20" s="3144" t="s">
        <v>1130</v>
      </c>
      <c r="B20" s="3143" t="s">
        <v>1131</v>
      </c>
      <c r="C20" s="3142"/>
    </row>
    <row r="21" spans="1:3" ht="14.4">
      <c r="A21" s="3144"/>
      <c r="B21" s="3143" t="s">
        <v>1132</v>
      </c>
      <c r="C21" s="3142"/>
    </row>
    <row r="22" spans="1:3" ht="14.4">
      <c r="A22" s="3144"/>
      <c r="B22" s="3143" t="s">
        <v>1133</v>
      </c>
      <c r="C22" s="3142"/>
    </row>
    <row r="23" spans="1:3" ht="14.4">
      <c r="A23" s="3144"/>
      <c r="B23" s="3145" t="s">
        <v>1134</v>
      </c>
      <c r="C23" s="1272" t="s">
        <v>1135</v>
      </c>
    </row>
    <row r="24" spans="1:3" ht="14.4">
      <c r="A24" s="3144"/>
      <c r="B24" s="3145"/>
      <c r="C24" s="1272" t="s">
        <v>1136</v>
      </c>
    </row>
    <row r="25" spans="1:3" ht="14.4">
      <c r="A25" s="3144"/>
      <c r="B25" s="3145"/>
      <c r="C25" s="1272" t="s">
        <v>1137</v>
      </c>
    </row>
    <row r="26" spans="1:3" ht="14.4">
      <c r="A26" s="3144"/>
      <c r="B26" s="3145"/>
      <c r="C26" s="1272" t="s">
        <v>1138</v>
      </c>
    </row>
    <row r="27" spans="1:3" ht="14.4">
      <c r="A27" s="3144"/>
      <c r="B27" s="3145"/>
      <c r="C27" s="1272" t="s">
        <v>1139</v>
      </c>
    </row>
    <row r="28" spans="1:3" ht="14.4">
      <c r="A28" s="3144"/>
      <c r="B28" s="3145"/>
      <c r="C28" s="1272" t="s">
        <v>1140</v>
      </c>
    </row>
    <row r="29" spans="1:3" ht="14.4">
      <c r="A29" s="3144"/>
      <c r="B29" s="3145"/>
      <c r="C29" s="1272" t="s">
        <v>1141</v>
      </c>
    </row>
    <row r="30" spans="1:3" ht="14.4">
      <c r="A30" s="3144"/>
      <c r="B30" s="3145"/>
      <c r="C30" s="1272" t="s">
        <v>1142</v>
      </c>
    </row>
    <row r="31" spans="1:3" ht="14.4">
      <c r="A31" s="3144"/>
      <c r="B31" s="3145"/>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A00-000000000000}">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44883</v>
      </c>
      <c r="D2" s="3149" t="s">
        <v>1381</v>
      </c>
      <c r="E2" s="2369"/>
      <c r="F2" s="2370"/>
      <c r="G2" s="2671"/>
      <c r="H2" s="2671"/>
    </row>
    <row r="3" spans="1:41" s="1519" customFormat="1" ht="15" customHeight="1" thickBot="1">
      <c r="A3" s="2373" t="s">
        <v>1382</v>
      </c>
      <c r="B3" s="2371" t="s">
        <v>3091</v>
      </c>
      <c r="D3" s="3150"/>
      <c r="E3" s="2372" t="s">
        <v>3037</v>
      </c>
      <c r="F3" s="2370"/>
      <c r="G3" s="2671"/>
      <c r="H3" s="2671"/>
    </row>
    <row r="4" spans="1:41" s="1519" customFormat="1" ht="15" thickBot="1">
      <c r="A4" s="2375" t="s">
        <v>1383</v>
      </c>
      <c r="B4" s="2371" t="s">
        <v>3032</v>
      </c>
      <c r="D4" s="3150"/>
      <c r="E4" s="2372"/>
      <c r="F4" s="2370"/>
      <c r="G4" s="2671"/>
      <c r="H4" s="2671"/>
    </row>
    <row r="5" spans="1:41" s="1519" customFormat="1" ht="15" thickBot="1">
      <c r="A5" s="2373" t="s">
        <v>1384</v>
      </c>
      <c r="B5" s="2374">
        <f>项目基本情况!C12</f>
        <v>440.01</v>
      </c>
      <c r="D5" s="2628" t="s">
        <v>1385</v>
      </c>
      <c r="E5" s="1276">
        <f>Sheet1!G6</f>
        <v>83.02</v>
      </c>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2642</v>
      </c>
      <c r="D10" s="2626" t="s">
        <v>1389</v>
      </c>
      <c r="E10" s="2630" t="s">
        <v>1390</v>
      </c>
      <c r="F10" s="2771" t="s">
        <v>2595</v>
      </c>
    </row>
    <row r="11" spans="1:41" s="1864" customFormat="1" ht="14.4">
      <c r="A11" s="2631" t="s">
        <v>1391</v>
      </c>
      <c r="B11" s="2380">
        <v>70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v>63095</v>
      </c>
      <c r="D12" s="2633" t="s">
        <v>1395</v>
      </c>
      <c r="E12" s="2383">
        <v>200</v>
      </c>
      <c r="F12" s="1179"/>
    </row>
    <row r="13" spans="1:41" s="1519" customFormat="1" ht="15" thickBot="1">
      <c r="A13" s="2634" t="s">
        <v>1396</v>
      </c>
      <c r="B13" s="2635">
        <f>IF(B12="",B11-(YEAR($B$2)-B27+B24),ROUNDDOWN(MIN((B12-$B$2)/365,B11),2))</f>
        <v>49.89</v>
      </c>
      <c r="C13" s="2670"/>
      <c r="D13" s="2636" t="s">
        <v>1397</v>
      </c>
      <c r="E13" s="2384">
        <f>ROUND(E12*B5/10000,0)</f>
        <v>9</v>
      </c>
      <c r="F13" s="1178" t="s">
        <v>1398</v>
      </c>
    </row>
    <row r="14" spans="1:41" s="1519" customFormat="1" ht="14.4">
      <c r="A14" s="2633" t="s">
        <v>1399</v>
      </c>
      <c r="B14" s="2637">
        <f>IF(ISERROR(ROUND(POWER(1+B15,B11-B13)*(POWER(1+B15,B13)-1)/(POWER(1+B15,B11)-1),3)),0,ROUND(POWER(1+B15,B11-B13)*(POWER(1+B15,B13)-1)/(POWER(1+B15,B11)-1),3))</f>
        <v>0.93200000000000005</v>
      </c>
      <c r="D14" s="2638" t="s">
        <v>1400</v>
      </c>
      <c r="E14" s="2385">
        <v>200</v>
      </c>
      <c r="F14" s="1179"/>
    </row>
    <row r="15" spans="1:41" s="1519" customFormat="1" ht="14.4">
      <c r="A15" s="2633" t="s">
        <v>1401</v>
      </c>
      <c r="B15" s="2386">
        <v>4.4999999999999998E-2</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4000</v>
      </c>
      <c r="F17" s="861"/>
    </row>
    <row r="18" spans="1:14" s="1519" customFormat="1" ht="15" thickBot="1">
      <c r="A18" s="2641" t="s">
        <v>1405</v>
      </c>
      <c r="B18" s="2773"/>
      <c r="D18" s="2642" t="str">
        <f>IF(B26=0,"建安总额","在建建安")</f>
        <v>建安总额</v>
      </c>
      <c r="E18" s="2643">
        <f>ROUND(B5*E17*IF(B26=0,1,E20),0)</f>
        <v>1760040</v>
      </c>
      <c r="F18" s="2389">
        <f>ROUND(E5*E17*IF(B26=0,1,E20),0)</f>
        <v>332080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ROUND((G20+G21)/2,2)</f>
        <v>0.77</v>
      </c>
      <c r="F20" s="861"/>
      <c r="G20" s="1519">
        <f>ROUND(1-(2022-B27)/60,2)</f>
        <v>0.68</v>
      </c>
    </row>
    <row r="21" spans="1:14" s="1519" customFormat="1" ht="14.4">
      <c r="A21" s="2645" t="s">
        <v>1408</v>
      </c>
      <c r="B21" s="2390">
        <v>0</v>
      </c>
      <c r="D21" s="2633" t="s">
        <v>1410</v>
      </c>
      <c r="E21" s="2393">
        <v>0.03</v>
      </c>
      <c r="F21" s="2404" t="s">
        <v>2604</v>
      </c>
      <c r="G21" s="1519">
        <v>0.85</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0.02</v>
      </c>
      <c r="F25" s="2404" t="s">
        <v>2603</v>
      </c>
      <c r="I25" s="2418"/>
    </row>
    <row r="26" spans="1:14" ht="15" thickBot="1">
      <c r="A26" s="2649" t="s">
        <v>1417</v>
      </c>
      <c r="B26" s="2653">
        <f>B22-B23</f>
        <v>0</v>
      </c>
      <c r="D26" s="2633" t="s">
        <v>1420</v>
      </c>
      <c r="E26" s="2396">
        <v>0.02</v>
      </c>
      <c r="F26" s="2404" t="s">
        <v>2603</v>
      </c>
      <c r="G26" s="2671"/>
      <c r="H26" s="2671"/>
      <c r="I26" s="1519"/>
      <c r="J26" s="1519"/>
      <c r="K26" s="1519"/>
      <c r="L26" s="1519"/>
      <c r="M26" s="1519"/>
      <c r="N26" s="1519"/>
    </row>
    <row r="27" spans="1:14" ht="15" thickBot="1">
      <c r="A27" s="2654" t="s">
        <v>1419</v>
      </c>
      <c r="B27" s="2398">
        <v>2003</v>
      </c>
      <c r="C27" s="1519"/>
      <c r="D27" s="2819" t="s">
        <v>3034</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3033</v>
      </c>
      <c r="D29" s="2638" t="s">
        <v>1423</v>
      </c>
      <c r="E29" s="2657">
        <f>E30+E31</f>
        <v>5.6000000000000001E-2</v>
      </c>
      <c r="F29" s="1178"/>
      <c r="G29" s="2671"/>
      <c r="H29" s="2671"/>
      <c r="K29" s="1519"/>
      <c r="N29" s="1519"/>
    </row>
    <row r="30" spans="1:14" ht="14.4">
      <c r="A30" s="2633" t="str">
        <f>IF(B29="租赁期内按合同租金","合同租金","市场租金")</f>
        <v>市场租金</v>
      </c>
      <c r="B30" s="2401">
        <v>5.5</v>
      </c>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v>2.5000000000000001E-2</v>
      </c>
      <c r="D32" s="2640" t="s">
        <v>1429</v>
      </c>
      <c r="E32" s="2403">
        <v>7.0000000000000007E-2</v>
      </c>
      <c r="F32" s="2404" t="s">
        <v>2490</v>
      </c>
      <c r="G32" s="2671"/>
      <c r="H32" s="2671"/>
      <c r="K32" s="1519"/>
      <c r="L32" s="1519"/>
      <c r="M32" s="1519"/>
      <c r="N32" s="1519"/>
    </row>
    <row r="33" spans="1:14" ht="14.4">
      <c r="A33" s="2633" t="s">
        <v>1428</v>
      </c>
      <c r="B33" s="2386">
        <v>0.1</v>
      </c>
      <c r="D33" s="2640" t="s">
        <v>1431</v>
      </c>
      <c r="E33" s="2402">
        <v>0.03</v>
      </c>
      <c r="F33" s="1177" t="s">
        <v>1432</v>
      </c>
      <c r="G33" s="2671"/>
      <c r="H33" s="2671"/>
      <c r="K33" s="1519"/>
      <c r="L33" s="1519"/>
      <c r="M33" s="1519"/>
      <c r="N33" s="1519"/>
    </row>
    <row r="34" spans="1:14" ht="14.4">
      <c r="A34" s="2633" t="s">
        <v>1430</v>
      </c>
      <c r="B34" s="2661">
        <f>收益法!J54</f>
        <v>49.89</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v>365</v>
      </c>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v>0.02</v>
      </c>
      <c r="C45" s="1329" t="s">
        <v>2601</v>
      </c>
      <c r="D45" s="1535" t="s">
        <v>1456</v>
      </c>
      <c r="E45" s="2401"/>
      <c r="F45" s="1179">
        <v>12</v>
      </c>
      <c r="G45" s="2368"/>
      <c r="H45" s="2368"/>
      <c r="M45" s="1519"/>
      <c r="N45" s="1519"/>
    </row>
    <row r="46" spans="1:14" ht="14.4">
      <c r="A46" s="2633" t="s">
        <v>1455</v>
      </c>
      <c r="B46" s="2414">
        <v>2E-3</v>
      </c>
      <c r="C46" s="1329" t="s">
        <v>2599</v>
      </c>
      <c r="D46" s="1535" t="s">
        <v>1218</v>
      </c>
      <c r="E46" s="2401"/>
      <c r="F46" s="1179">
        <v>3</v>
      </c>
      <c r="G46" s="2368"/>
      <c r="H46" s="2368"/>
      <c r="M46" s="1519"/>
      <c r="N46" s="1519"/>
    </row>
    <row r="47" spans="1:14" ht="15" thickBot="1">
      <c r="A47" s="2636" t="s">
        <v>1457</v>
      </c>
      <c r="B47" s="2415">
        <v>0.02</v>
      </c>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51" t="s">
        <v>1463</v>
      </c>
      <c r="B1" s="3152"/>
      <c r="C1" s="3152"/>
      <c r="D1" s="3152"/>
      <c r="E1" s="3152"/>
      <c r="F1" s="3152"/>
      <c r="G1" s="3152"/>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D18" sqref="D18"/>
    </sheetView>
  </sheetViews>
  <sheetFormatPr defaultColWidth="14.6640625" defaultRowHeight="14.4"/>
  <cols>
    <col min="1" max="1" width="24.33203125" style="2321" customWidth="1"/>
    <col min="2" max="16384" width="14.6640625" style="2321"/>
  </cols>
  <sheetData>
    <row r="1" spans="1:9" ht="15.6">
      <c r="A1" s="2319" t="s">
        <v>973</v>
      </c>
      <c r="B1" s="2319">
        <f>SUM(B14:B23)</f>
        <v>440.01</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44883</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1795.8127999999999</v>
      </c>
      <c r="C5" s="2319">
        <f ca="1">ROUND(B5*10000/$B$1,0)</f>
        <v>40813</v>
      </c>
      <c r="D5" s="2319" t="e">
        <f ca="1">ROUND(B5*10000/$B$2,0)</f>
        <v>#DIV/0!</v>
      </c>
      <c r="E5" s="1470"/>
      <c r="F5" s="2320"/>
      <c r="G5" s="2320"/>
    </row>
    <row r="6" spans="1:9" ht="15.6">
      <c r="A6" s="2319" t="s">
        <v>981</v>
      </c>
      <c r="B6" s="2319">
        <f ca="1">SUM(G14:G23)</f>
        <v>1795.8127999999999</v>
      </c>
      <c r="C6" s="2319">
        <f t="shared" ref="C6:C8" ca="1" si="0">ROUND(B6*10000/$B$1,0)</f>
        <v>40813</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3089</v>
      </c>
      <c r="B14" s="2623">
        <f>项目基本情况!C12</f>
        <v>440.01</v>
      </c>
      <c r="C14" s="2623">
        <f>项目基本情况!C13</f>
        <v>0</v>
      </c>
      <c r="D14" s="2623">
        <f ca="1">IF('数据-取费表'!B3="万元",IF(A14="估价对象1（结果表）",结果表!H121,'结果表 (1修多)'!H125),IF(A14="估价对象1（结果表）",结果表!H121,'结果表 (1修多)'!H125)/10000)</f>
        <v>1795.8127999999999</v>
      </c>
      <c r="E14" s="2623">
        <f ca="1">ROUND(D14*10000/B14,0)</f>
        <v>40813</v>
      </c>
      <c r="F14" s="2623" t="e">
        <f ca="1">ROUND(D14*10000/C14,0)</f>
        <v>#DIV/0!</v>
      </c>
      <c r="G14" s="2623">
        <f ca="1">IF('数据-取费表'!B3="万元",IF(A14="估价对象1（结果表）",结果表!D125,'结果表 (1修多)'!D129),IF(A14="估价对象1（结果表）",结果表!D125,'结果表 (1修多)'!D129)/10000)</f>
        <v>1795.8127999999999</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F17" sqref="F17"/>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24" t="str">
        <f>项目基本情况!B1</f>
        <v>北京市房地产抵押价值预评估</v>
      </c>
      <c r="B2" s="3224"/>
      <c r="C2" s="3224"/>
      <c r="D2" s="3224"/>
      <c r="E2" s="3224"/>
      <c r="F2" s="3224"/>
      <c r="G2" s="3224"/>
      <c r="H2" s="3224"/>
      <c r="I2" s="3224"/>
      <c r="J2" s="2558"/>
    </row>
    <row r="3" spans="1:15" ht="13.2">
      <c r="A3" s="3229" t="s">
        <v>1471</v>
      </c>
      <c r="B3" s="3230"/>
      <c r="C3" s="3230"/>
      <c r="D3" s="3230"/>
      <c r="E3" s="3230"/>
      <c r="F3" s="3230"/>
      <c r="G3" s="3230"/>
      <c r="H3" s="3230"/>
      <c r="I3" s="3230"/>
      <c r="J3" s="2559"/>
    </row>
    <row r="4" spans="1:15" ht="14.4">
      <c r="A4" s="2432" t="s">
        <v>1472</v>
      </c>
      <c r="B4" s="2432" t="s">
        <v>1473</v>
      </c>
      <c r="C4" s="2433" t="s">
        <v>3067</v>
      </c>
      <c r="D4" s="2433" t="s">
        <v>3040</v>
      </c>
      <c r="E4" s="3226" t="s">
        <v>1474</v>
      </c>
      <c r="F4" s="3214"/>
      <c r="G4" s="3214"/>
      <c r="H4" s="3214"/>
      <c r="I4" s="3215"/>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SUMIF(INDIRECT("'"&amp;C4&amp;"'"&amp;"!A:A"),结果表!B19,INDIRECT("'"&amp;C4&amp;"'"&amp;"!B:B"))</f>
        <v>3386884</v>
      </c>
      <c r="D19" s="2441">
        <f ca="1">SUMIF(INDIRECT("'"&amp;D4&amp;"'"&amp;"!A:A"),结果表!B19,INDIRECT("'"&amp;D4&amp;"'"&amp;"!B:B"))</f>
        <v>3389625</v>
      </c>
      <c r="E19" s="1855" t="s">
        <v>1496</v>
      </c>
      <c r="F19" s="2439" t="s">
        <v>1495</v>
      </c>
      <c r="G19" s="2442">
        <f ca="1">ROUND(C19*$C$18+D19*$D$18,0)</f>
        <v>3388255</v>
      </c>
      <c r="H19" s="2443" t="str">
        <f>'数据-取费表'!B3</f>
        <v>元</v>
      </c>
      <c r="I19" s="2488"/>
      <c r="J19" s="2562"/>
    </row>
    <row r="20" spans="1:36" ht="14.4">
      <c r="A20" s="2444"/>
      <c r="B20" s="1518" t="s">
        <v>1497</v>
      </c>
      <c r="C20" s="1736">
        <f ca="1">SUMIF(INDIRECT("'"&amp;C4&amp;"'"&amp;"!A:A"),结果表!B20,INDIRECT("'"&amp;C4&amp;"'"&amp;"!B:B"))</f>
        <v>40796</v>
      </c>
      <c r="D20" s="1739">
        <f ca="1">SUMIF(INDIRECT("'"&amp;D4&amp;"'"&amp;"!A:A"),结果表!B20,INDIRECT("'"&amp;D4&amp;"'"&amp;"!B:B"))</f>
        <v>40829</v>
      </c>
      <c r="E20" s="2444"/>
      <c r="F20" s="1518" t="s">
        <v>1497</v>
      </c>
      <c r="G20" s="1883">
        <f ca="1">ROUND(C20*$C$18+D20*$D$18,0)</f>
        <v>40813</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8.0929845840604919E-4</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40813</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f ca="1">IF(D33="自定义",F34,C32-C35)</f>
        <v>36364</v>
      </c>
      <c r="D34" s="2467">
        <f ca="1">IF(D33="自定义",ROUND(C34/C32,3),1-D35)</f>
        <v>0.89100000000000001</v>
      </c>
      <c r="E34" s="1286" t="s">
        <v>1510</v>
      </c>
      <c r="F34" s="2468">
        <v>2000</v>
      </c>
      <c r="G34" s="861"/>
      <c r="H34" s="861"/>
      <c r="I34" s="861"/>
      <c r="J34" s="2561"/>
    </row>
    <row r="35" spans="1:17" ht="15" thickBot="1">
      <c r="A35" s="1316"/>
      <c r="B35" s="2469" t="s">
        <v>1511</v>
      </c>
      <c r="C35" s="2470">
        <f ca="1">IF(D33="自定义",F35,ROUND(C32*D35,0))</f>
        <v>4449</v>
      </c>
      <c r="D35" s="2471">
        <f ca="1">IF(D33="自定义",ROUND(C35/C32,3),IF(D33="成本法成本比率",成本法!C56,IF(D33="收益法收益比率",收益法!J38,收益法!J41)))</f>
        <v>0.109</v>
      </c>
      <c r="E35" s="2472" t="s">
        <v>1512</v>
      </c>
      <c r="F35" s="2473">
        <v>4460</v>
      </c>
      <c r="G35" s="861"/>
      <c r="H35" s="861"/>
      <c r="I35" s="861"/>
      <c r="J35" s="2561"/>
    </row>
    <row r="36" spans="1:17" ht="15" thickBot="1">
      <c r="A36" s="3234" t="s">
        <v>1513</v>
      </c>
      <c r="B36" s="1317" t="s">
        <v>1514</v>
      </c>
      <c r="C36" s="2474">
        <v>0</v>
      </c>
      <c r="D36" s="2475"/>
      <c r="E36" s="1179"/>
      <c r="F36" s="1179"/>
      <c r="G36" s="861"/>
      <c r="H36" s="861"/>
      <c r="I36" s="861"/>
      <c r="J36" s="2561"/>
    </row>
    <row r="37" spans="1:17" ht="15" thickBot="1">
      <c r="A37" s="3239"/>
      <c r="B37" s="1884" t="s">
        <v>1515</v>
      </c>
      <c r="C37" s="2476">
        <v>0</v>
      </c>
      <c r="D37" s="1179"/>
      <c r="E37" s="1179"/>
      <c r="F37" s="1179"/>
      <c r="G37" s="1179"/>
      <c r="H37" s="1179"/>
      <c r="I37" s="1179"/>
      <c r="J37" s="2565"/>
    </row>
    <row r="38" spans="1:17" ht="15" thickBot="1">
      <c r="A38" s="3240"/>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159" t="s">
        <v>1524</v>
      </c>
      <c r="B45" s="3160"/>
      <c r="C45" s="3170"/>
      <c r="D45" s="242">
        <f ca="1">ROUND(I102*F45,0)</f>
        <v>17958128</v>
      </c>
      <c r="E45" s="1385" t="s">
        <v>1525</v>
      </c>
      <c r="F45" s="2300">
        <v>1</v>
      </c>
      <c r="G45" s="2301" t="s">
        <v>1526</v>
      </c>
      <c r="H45" s="861"/>
      <c r="I45" s="861"/>
      <c r="J45" s="2561"/>
      <c r="K45" s="3165" t="s">
        <v>2504</v>
      </c>
      <c r="L45" s="3165"/>
      <c r="M45" s="3165"/>
      <c r="N45" s="3165"/>
      <c r="O45" s="3165"/>
      <c r="P45" s="3165"/>
      <c r="Q45" s="1176"/>
    </row>
    <row r="46" spans="1:17" ht="14.25" customHeight="1">
      <c r="A46" s="3236" t="s">
        <v>1528</v>
      </c>
      <c r="B46" s="3237"/>
      <c r="C46" s="3237"/>
      <c r="D46" s="3237"/>
      <c r="E46" s="3237"/>
      <c r="F46" s="3237"/>
      <c r="G46" s="3238"/>
      <c r="H46" s="2677"/>
      <c r="I46" s="861"/>
      <c r="J46" s="2561"/>
      <c r="K46" s="2275">
        <v>1</v>
      </c>
      <c r="L46" s="3166" t="s">
        <v>2505</v>
      </c>
      <c r="M46" s="3166"/>
      <c r="N46" s="3167" t="str">
        <f>项目基本情况!B1</f>
        <v>北京市房地产抵押价值预评估</v>
      </c>
      <c r="O46" s="3167"/>
      <c r="P46" s="3167"/>
      <c r="Q46" s="1176"/>
    </row>
    <row r="47" spans="1:17" ht="12" customHeight="1">
      <c r="A47" s="34" t="s">
        <v>1530</v>
      </c>
      <c r="B47" s="35"/>
      <c r="C47" s="36"/>
      <c r="D47" s="978" t="s">
        <v>1531</v>
      </c>
      <c r="E47" s="231" t="s">
        <v>1532</v>
      </c>
      <c r="F47" s="37" t="s">
        <v>1533</v>
      </c>
      <c r="G47" s="2302" t="s">
        <v>1534</v>
      </c>
      <c r="H47" s="2677"/>
      <c r="I47" s="861"/>
      <c r="J47" s="2561"/>
      <c r="K47" s="2275">
        <v>2</v>
      </c>
      <c r="L47" s="3166" t="s">
        <v>2506</v>
      </c>
      <c r="M47" s="3166"/>
      <c r="N47" s="3168">
        <f>'数据-取费表'!B2</f>
        <v>44883</v>
      </c>
      <c r="O47" s="3168"/>
      <c r="P47" s="3168"/>
      <c r="Q47" s="1176"/>
    </row>
    <row r="48" spans="1:17" ht="26.4">
      <c r="A48" s="3241" t="s">
        <v>1536</v>
      </c>
      <c r="B48" s="3175"/>
      <c r="C48" s="3175"/>
      <c r="D48" s="11">
        <f ca="1">IF(H48="情况1",0,IF(H48="情况2",D52,IF(H48="情况3",D53,IF(H48="情况4",D54))))</f>
        <v>957767</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166" t="s">
        <v>2507</v>
      </c>
      <c r="M48" s="3166"/>
      <c r="N48" s="3167">
        <f ca="1">I102</f>
        <v>17958128</v>
      </c>
      <c r="O48" s="3167"/>
      <c r="P48" s="3167"/>
      <c r="Q48" s="1176"/>
    </row>
    <row r="49" spans="1:17" ht="25.5" customHeight="1">
      <c r="A49" s="1882" t="s">
        <v>1540</v>
      </c>
      <c r="B49" s="3214" t="s">
        <v>1541</v>
      </c>
      <c r="C49" s="3214"/>
      <c r="D49" s="2306">
        <v>0</v>
      </c>
      <c r="E49" s="257" t="s">
        <v>1542</v>
      </c>
      <c r="F49" s="2307" t="s">
        <v>48</v>
      </c>
      <c r="G49" s="3156"/>
      <c r="H49" s="2308" t="s">
        <v>2581</v>
      </c>
      <c r="I49" s="2309"/>
      <c r="J49" s="2569"/>
      <c r="K49" s="2275">
        <v>4</v>
      </c>
      <c r="L49" s="3166" t="str">
        <f>IF(项目基本情况!F5="房地产抵押价值","房地产抵押价值","抵押担保权已注销时的房地产抵押价值")</f>
        <v>房地产抵押价值</v>
      </c>
      <c r="M49" s="3166"/>
      <c r="N49" s="3167">
        <f ca="1">IF(项目基本情况!F5="房地产抵押价值",I110,I112)</f>
        <v>17958128</v>
      </c>
      <c r="O49" s="3167"/>
      <c r="P49" s="3167"/>
      <c r="Q49" s="1176"/>
    </row>
    <row r="50" spans="1:17" ht="25.5" customHeight="1">
      <c r="A50" s="1874"/>
      <c r="B50" s="3214" t="s">
        <v>1543</v>
      </c>
      <c r="C50" s="3214"/>
      <c r="D50" s="2310"/>
      <c r="E50" s="265"/>
      <c r="F50" s="2307"/>
      <c r="G50" s="3157"/>
      <c r="H50" s="2311" t="s">
        <v>2500</v>
      </c>
      <c r="I50" s="2309"/>
      <c r="J50" s="2569"/>
      <c r="K50" s="3166" t="s">
        <v>2508</v>
      </c>
      <c r="L50" s="3166"/>
      <c r="M50" s="3166"/>
      <c r="N50" s="3166"/>
      <c r="O50" s="3166"/>
      <c r="P50" s="3166"/>
      <c r="Q50" s="1176"/>
    </row>
    <row r="51" spans="1:17" ht="20.399999999999999" customHeight="1">
      <c r="A51" s="2312"/>
      <c r="B51" s="3214" t="s">
        <v>1545</v>
      </c>
      <c r="C51" s="3214"/>
      <c r="D51" s="978"/>
      <c r="E51" s="260"/>
      <c r="F51" s="2307"/>
      <c r="G51" s="3158"/>
      <c r="H51" s="2311" t="s">
        <v>2501</v>
      </c>
      <c r="I51" s="2309"/>
      <c r="J51" s="2569"/>
      <c r="K51" s="2276" t="s">
        <v>2509</v>
      </c>
      <c r="L51" s="3166" t="s">
        <v>2510</v>
      </c>
      <c r="M51" s="3166"/>
      <c r="N51" s="2276" t="s">
        <v>2511</v>
      </c>
      <c r="O51" s="2276" t="s">
        <v>2512</v>
      </c>
      <c r="P51" s="2276" t="s">
        <v>2513</v>
      </c>
      <c r="Q51" s="1176"/>
    </row>
    <row r="52" spans="1:17" ht="24" customHeight="1">
      <c r="A52" s="1875" t="s">
        <v>1551</v>
      </c>
      <c r="B52" s="3214" t="s">
        <v>1552</v>
      </c>
      <c r="C52" s="3214"/>
      <c r="D52" s="978">
        <f ca="1">ROUND(D45*'数据-取费表'!E29/(1+'数据-取费表'!F30),0)</f>
        <v>957767</v>
      </c>
      <c r="E52" s="1198" t="s">
        <v>1553</v>
      </c>
      <c r="F52" s="2313">
        <f>'数据-取费表'!E29</f>
        <v>5.6000000000000001E-2</v>
      </c>
      <c r="G52" s="2314"/>
      <c r="H52" s="861"/>
      <c r="I52" s="2678"/>
      <c r="J52" s="2569"/>
      <c r="K52" s="2275">
        <v>1</v>
      </c>
      <c r="L52" s="3155" t="s">
        <v>2514</v>
      </c>
      <c r="M52" s="3155"/>
      <c r="N52" s="2277">
        <f ca="1">D48</f>
        <v>957767</v>
      </c>
      <c r="O52" s="2275" t="str">
        <f>E48</f>
        <v>销售额×税（费）率</v>
      </c>
      <c r="P52" s="2278">
        <f>F48</f>
        <v>5.6000000000000001E-2</v>
      </c>
      <c r="Q52" s="1176"/>
    </row>
    <row r="53" spans="1:17" ht="12" customHeight="1">
      <c r="A53" s="1875" t="s">
        <v>1555</v>
      </c>
      <c r="B53" s="3226" t="s">
        <v>2592</v>
      </c>
      <c r="C53" s="3215"/>
      <c r="D53" s="978">
        <f ca="1">ROUND(D45*'数据-取费表'!E29/(1+'数据-取费表'!F30),0)</f>
        <v>957767</v>
      </c>
      <c r="E53" s="1198" t="s">
        <v>1553</v>
      </c>
      <c r="F53" s="2313">
        <f>'数据-取费表'!E29</f>
        <v>5.6000000000000001E-2</v>
      </c>
      <c r="G53" s="2314"/>
      <c r="H53" s="861"/>
      <c r="I53" s="2678"/>
      <c r="J53" s="2569"/>
      <c r="K53" s="2275">
        <v>2</v>
      </c>
      <c r="L53" s="3155" t="s">
        <v>2515</v>
      </c>
      <c r="M53" s="3155"/>
      <c r="N53" s="2277">
        <f t="shared" ref="N53:P54" si="1">D55</f>
        <v>0</v>
      </c>
      <c r="O53" s="2275" t="str">
        <f t="shared" si="1"/>
        <v>销售额×税（费）率</v>
      </c>
      <c r="P53" s="2278" t="str">
        <f t="shared" si="1"/>
        <v>免征</v>
      </c>
      <c r="Q53" s="1176"/>
    </row>
    <row r="54" spans="1:17" ht="12" customHeight="1">
      <c r="A54" s="1875" t="s">
        <v>1557</v>
      </c>
      <c r="B54" s="3226" t="s">
        <v>2593</v>
      </c>
      <c r="C54" s="3215"/>
      <c r="D54" s="978">
        <f ca="1">C68</f>
        <v>957767</v>
      </c>
      <c r="E54" s="260" t="s">
        <v>1558</v>
      </c>
      <c r="F54" s="2313">
        <f>'数据-取费表'!E29</f>
        <v>5.6000000000000001E-2</v>
      </c>
      <c r="G54" s="2314"/>
      <c r="H54" s="2679"/>
      <c r="I54" s="2678"/>
      <c r="J54" s="2569"/>
      <c r="K54" s="2275">
        <v>3</v>
      </c>
      <c r="L54" s="3155" t="s">
        <v>2516</v>
      </c>
      <c r="M54" s="3155"/>
      <c r="N54" s="2277">
        <f t="shared" si="1"/>
        <v>0</v>
      </c>
      <c r="O54" s="2275" t="str">
        <f t="shared" si="1"/>
        <v>增值额×税（费）率</v>
      </c>
      <c r="P54" s="2279" t="str">
        <f t="shared" si="1"/>
        <v>免征</v>
      </c>
      <c r="Q54" s="1176"/>
    </row>
    <row r="55" spans="1:17" ht="24" customHeight="1">
      <c r="A55" s="3179" t="s">
        <v>1560</v>
      </c>
      <c r="B55" s="3175"/>
      <c r="C55" s="3175"/>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155" t="str">
        <f>IF(H59="非个人房产","——","个人所得税")</f>
        <v>——</v>
      </c>
      <c r="M55" s="3155"/>
      <c r="N55" s="2280" t="str">
        <f>D59</f>
        <v>——</v>
      </c>
      <c r="O55" s="2281" t="str">
        <f>E59</f>
        <v>——</v>
      </c>
      <c r="P55" s="2282" t="str">
        <f>F59</f>
        <v>——</v>
      </c>
      <c r="Q55" s="1176"/>
    </row>
    <row r="56" spans="1:17" ht="25.2">
      <c r="A56" s="3179" t="s">
        <v>1563</v>
      </c>
      <c r="B56" s="3175"/>
      <c r="C56" s="3175"/>
      <c r="D56" s="11">
        <f>IF(H56="个人住宅",D57,D58)</f>
        <v>0</v>
      </c>
      <c r="E56" s="1198" t="s">
        <v>1564</v>
      </c>
      <c r="F56" s="2313" t="str">
        <f>IF(H56="正常",F58,"免征")</f>
        <v>免征</v>
      </c>
      <c r="G56" s="2315" t="s">
        <v>1565</v>
      </c>
      <c r="H56" s="2316" t="s">
        <v>2497</v>
      </c>
      <c r="I56" s="2680"/>
      <c r="J56" s="2569"/>
      <c r="K56" s="2275" t="str">
        <f>IF(项目基本情况!I6="上海银行",IF(K55="",4,K55+1),"")</f>
        <v/>
      </c>
      <c r="L56" s="3153" t="str">
        <f>IF(项目基本情况!I6="上海银行","其他处置费用","")</f>
        <v/>
      </c>
      <c r="M56" s="3173"/>
      <c r="N56" s="2277" t="str">
        <f>IF(项目基本情况!I6="上海银行",N69,"")</f>
        <v/>
      </c>
      <c r="O56" s="3153" t="str">
        <f>IF(项目基本情况!I6="上海银行","包含处置中涉及的律师、诉讼、拍卖、评估等费用","")</f>
        <v/>
      </c>
      <c r="P56" s="3154"/>
      <c r="Q56" s="1176"/>
    </row>
    <row r="57" spans="1:17" ht="13.2">
      <c r="A57" s="1875" t="s">
        <v>1540</v>
      </c>
      <c r="B57" s="3226" t="s">
        <v>1566</v>
      </c>
      <c r="C57" s="3215"/>
      <c r="D57" s="2306">
        <v>0</v>
      </c>
      <c r="E57" s="257" t="s">
        <v>1542</v>
      </c>
      <c r="F57" s="231"/>
      <c r="G57" s="2314"/>
      <c r="H57" s="2680"/>
      <c r="I57" s="2680"/>
      <c r="J57" s="2569"/>
      <c r="K57" s="3155">
        <f>IF(AND(K55="",K56=""),4,IF(项目基本情况!I6="上海银行",K56+1,K55+1))</f>
        <v>4</v>
      </c>
      <c r="L57" s="3155" t="s">
        <v>2517</v>
      </c>
      <c r="M57" s="2283" t="s">
        <v>2518</v>
      </c>
      <c r="N57" s="2284"/>
      <c r="O57" s="2285">
        <f ca="1">SUMIF(N52:N56,"&lt;9e307")</f>
        <v>957767</v>
      </c>
      <c r="P57" s="2286"/>
      <c r="Q57" s="1174">
        <f ca="1">O57/N49</f>
        <v>5.3333342985415852E-2</v>
      </c>
    </row>
    <row r="58" spans="1:17" ht="25.2">
      <c r="A58" s="1875" t="s">
        <v>1551</v>
      </c>
      <c r="B58" s="3226" t="s">
        <v>1569</v>
      </c>
      <c r="C58" s="3214"/>
      <c r="D58" s="11">
        <f ca="1">IF(H58="转让取得",C81,C97)</f>
        <v>10164300</v>
      </c>
      <c r="E58" s="1198" t="s">
        <v>1564</v>
      </c>
      <c r="F58" s="231" t="s">
        <v>48</v>
      </c>
      <c r="G58" s="2314"/>
      <c r="H58" s="2316" t="s">
        <v>1570</v>
      </c>
      <c r="I58" s="2680"/>
      <c r="J58" s="2569"/>
      <c r="K58" s="3155"/>
      <c r="L58" s="3155"/>
      <c r="M58" s="2283" t="s">
        <v>2519</v>
      </c>
      <c r="N58" s="2287"/>
      <c r="O58" s="2288" t="str">
        <f ca="1">IF(H19="元",NUMBERSTRING(INT(O57),2)&amp;"元整",NUMBERSTRING(INT(O57*10000),2)&amp;"元整")</f>
        <v>玖拾伍万柒仟柒佰陆拾柒元整</v>
      </c>
      <c r="P58" s="2289"/>
      <c r="Q58" s="1176"/>
    </row>
    <row r="59" spans="1:17" ht="24.6" thickBot="1">
      <c r="A59" s="3242" t="s">
        <v>1572</v>
      </c>
      <c r="B59" s="3243"/>
      <c r="C59" s="3243"/>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08">
        <f>K57+1</f>
        <v>5</v>
      </c>
      <c r="L59" s="3155" t="s">
        <v>2520</v>
      </c>
      <c r="M59" s="2275" t="s">
        <v>2518</v>
      </c>
      <c r="N59" s="2290"/>
      <c r="O59" s="2291">
        <f ca="1">N49-O57</f>
        <v>17000361</v>
      </c>
      <c r="P59" s="2292"/>
      <c r="Q59" s="1176"/>
    </row>
    <row r="60" spans="1:17" ht="12" customHeight="1">
      <c r="A60" s="1308"/>
      <c r="B60" s="1312"/>
      <c r="C60" s="1312"/>
      <c r="D60" s="1312"/>
      <c r="E60" s="734"/>
      <c r="F60" s="2681"/>
      <c r="G60" s="2681"/>
      <c r="H60" s="2682"/>
      <c r="I60" s="27"/>
      <c r="K60" s="3209"/>
      <c r="L60" s="3155"/>
      <c r="M60" s="2283" t="s">
        <v>2519</v>
      </c>
      <c r="N60" s="2287"/>
      <c r="O60" s="2288" t="str">
        <f ca="1">IF(H19="元",NUMBERSTRING(INT(O59),2)&amp;"元整",NUMBERSTRING(INT(O59*10000),2)&amp;"元整")</f>
        <v>壹仟柒佰万零叁佰陆拾壹元整</v>
      </c>
      <c r="P60" s="2289"/>
      <c r="Q60" s="1176"/>
    </row>
    <row r="61" spans="1:17" ht="13.8" thickBot="1">
      <c r="A61" s="3244" t="s">
        <v>1574</v>
      </c>
      <c r="B61" s="3244"/>
      <c r="C61" s="3244"/>
      <c r="D61" s="3244"/>
      <c r="E61" s="3244"/>
      <c r="F61" s="2681"/>
      <c r="G61" s="2681"/>
      <c r="H61" s="33"/>
      <c r="I61" s="27"/>
      <c r="K61" s="2275">
        <f>K59+1</f>
        <v>6</v>
      </c>
      <c r="L61" s="3155" t="s">
        <v>2521</v>
      </c>
      <c r="M61" s="3155"/>
      <c r="N61" s="2293"/>
      <c r="O61" s="2294">
        <f ca="1">IF(H19="元",ROUND(O59/项目基本情况!C12,0),ROUND(O59*10000/项目基本情况!C12,0))</f>
        <v>38636</v>
      </c>
      <c r="P61" s="2295"/>
      <c r="Q61" s="1176"/>
    </row>
    <row r="62" spans="1:17" ht="13.2">
      <c r="A62" s="3193" t="s">
        <v>1576</v>
      </c>
      <c r="B62" s="3194"/>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17102979</v>
      </c>
      <c r="D63" s="43"/>
      <c r="E63" s="44"/>
      <c r="F63" s="2681"/>
      <c r="G63" s="2681"/>
      <c r="H63" s="33"/>
      <c r="I63" s="27"/>
      <c r="K63" s="3174" t="s">
        <v>2522</v>
      </c>
      <c r="L63" s="2297" t="s">
        <v>2523</v>
      </c>
      <c r="M63" s="2297">
        <f ca="1">IF(N49&gt;10000,N49*0.5%,IF(AND(N49&gt;1000,N49&lt;=10000),N49*1%,IF(AND(N49&gt;100,N49&lt;=1000),N49*3%,IF(AND(N49&gt;10,N49&lt;=100),N49*5%,N49*8%))))</f>
        <v>89790.64</v>
      </c>
      <c r="N63" s="2298">
        <f ca="1">ROUND(M63,1)</f>
        <v>89790.6</v>
      </c>
      <c r="O63" s="2296"/>
      <c r="P63" s="2296"/>
      <c r="Q63" s="1176"/>
    </row>
    <row r="64" spans="1:17" ht="13.2">
      <c r="A64" s="45" t="s">
        <v>71</v>
      </c>
      <c r="B64" s="46" t="s">
        <v>1582</v>
      </c>
      <c r="C64" s="2501">
        <f ca="1">D45</f>
        <v>17958128</v>
      </c>
      <c r="D64" s="46" t="s">
        <v>41</v>
      </c>
      <c r="E64" s="48"/>
      <c r="F64" s="2681"/>
      <c r="G64" s="2681"/>
      <c r="H64" s="33"/>
      <c r="I64" s="27"/>
      <c r="K64" s="3174"/>
      <c r="L64" s="2297" t="s">
        <v>2524</v>
      </c>
      <c r="M64" s="2297">
        <f ca="1">IF(N49&gt;2000,N49*0.5%,IF(AND(N49&gt;1000,N49&lt;=2000),N49*0.6%,IF(AND(N49&gt;500,N49&lt;=1000),N49*0.7%,IF(AND(N49&gt;200,N49&lt;=500),N49*0.8%,IF(AND(N49&gt;100,N49&lt;=200),N49*0.9%,IF(AND(N49&gt;50,N49&lt;=100),N49*1%,IF(AND(N49&gt;20,N49&lt;=50),N49*1.5%,IF(AND(N49&gt;10,N49&lt;=20),N49*2%,IF(AND(N49&gt;1,N49&lt;=10),N49*2.5%)))))))))</f>
        <v>89790.64</v>
      </c>
      <c r="N64" s="2298">
        <f t="shared" ref="N64:N65" ca="1" si="2">ROUND(M64,1)</f>
        <v>89790.6</v>
      </c>
      <c r="O64" s="2296" t="s">
        <v>2525</v>
      </c>
      <c r="P64" s="2296"/>
      <c r="Q64" s="1176"/>
    </row>
    <row r="65" spans="1:36" ht="13.2">
      <c r="A65" s="45" t="s">
        <v>72</v>
      </c>
      <c r="B65" s="46" t="s">
        <v>1585</v>
      </c>
      <c r="C65" s="2502"/>
      <c r="D65" s="46"/>
      <c r="E65" s="48"/>
      <c r="F65" s="2681"/>
      <c r="G65" s="2681"/>
      <c r="H65" s="33"/>
      <c r="I65" s="27"/>
      <c r="K65" s="3174"/>
      <c r="L65" s="2297" t="s">
        <v>2526</v>
      </c>
      <c r="M65" s="2297">
        <f ca="1">IF(N49&gt;1000,N49*0.1%,IF(AND(N49&gt;500,N49&lt;=1000),N49*0.5%,IF(AND(N49&gt;50,N49&lt;=500),N49*1%,IF(AND(N49&gt;1,N49&lt;=50),N49*1.5%))))</f>
        <v>17958.128000000001</v>
      </c>
      <c r="N65" s="2298">
        <f t="shared" ca="1" si="2"/>
        <v>17958.099999999999</v>
      </c>
      <c r="O65" s="2296" t="s">
        <v>2525</v>
      </c>
      <c r="P65" s="2296"/>
      <c r="Q65" s="1176"/>
    </row>
    <row r="66" spans="1:36" ht="25.2">
      <c r="A66" s="49" t="s">
        <v>47</v>
      </c>
      <c r="B66" s="50" t="s">
        <v>1587</v>
      </c>
      <c r="C66" s="2503"/>
      <c r="D66" s="50" t="s">
        <v>41</v>
      </c>
      <c r="E66" s="1184" t="s">
        <v>1588</v>
      </c>
      <c r="F66" s="2681"/>
      <c r="G66" s="2681"/>
      <c r="H66" s="33"/>
      <c r="I66" s="27"/>
      <c r="K66" s="3174"/>
      <c r="L66" s="2297" t="s">
        <v>2527</v>
      </c>
      <c r="M66" s="2297">
        <f ca="1">N49*0.5%</f>
        <v>89790.64</v>
      </c>
      <c r="N66" s="2298">
        <f ca="1">IF(M66&gt;0.5,0.5,ROUND(M66,0))</f>
        <v>0.5</v>
      </c>
      <c r="O66" s="2296" t="s">
        <v>2528</v>
      </c>
      <c r="P66" s="2296"/>
      <c r="Q66" s="1176"/>
    </row>
    <row r="67" spans="1:36" ht="13.2">
      <c r="A67" s="49" t="s">
        <v>42</v>
      </c>
      <c r="B67" s="50" t="s">
        <v>1591</v>
      </c>
      <c r="C67" s="2504">
        <f ca="1">C63-C66</f>
        <v>17102979</v>
      </c>
      <c r="D67" s="46" t="s">
        <v>41</v>
      </c>
      <c r="E67" s="48"/>
      <c r="F67" s="2681"/>
      <c r="G67" s="2681"/>
      <c r="H67" s="33"/>
      <c r="I67" s="27"/>
      <c r="K67" s="3174"/>
      <c r="L67" s="2297" t="s">
        <v>2529</v>
      </c>
      <c r="M67" s="2297">
        <f ca="1">IF(N49&gt;=10000,(8.25+(N49-10000)*0.01%),IF(AND(N49&gt;=8000,N49&lt;10000),(7.85+(N49-8000)*0.02%),IF(AND(N49&gt;=5000,N49&lt;8000),(6.65+(N49-5000)*0.04%),IF(AND(N49&gt;=2000,N49&lt;5000),(4.25+(PN49-2000)*0.08%),IF(AND(N49&gt;=1000,N49&lt;2000),(2.75+(N49-1000)*0.15%),IF(AND(N49&gt;=100,N49&lt;1000),(0.5+(N49-100)*0.25%),IF(AND(N49&gt;0,N49&lt;100),N49*0.5%)))))))</f>
        <v>1803.0628000000002</v>
      </c>
      <c r="N67" s="2298">
        <f ca="1">ROUND(M67*0.9,1)</f>
        <v>1622.8</v>
      </c>
      <c r="O67" s="2296"/>
      <c r="P67" s="2296"/>
      <c r="Q67" s="1176"/>
    </row>
    <row r="68" spans="1:36" ht="13.8" thickBot="1">
      <c r="A68" s="51" t="s">
        <v>46</v>
      </c>
      <c r="B68" s="52" t="s">
        <v>1593</v>
      </c>
      <c r="C68" s="2505">
        <f ca="1">IF(C67&lt;=0,0,ROUND(C67*D68,0))</f>
        <v>957767</v>
      </c>
      <c r="D68" s="2022">
        <f>'数据-取费表'!E29</f>
        <v>5.6000000000000001E-2</v>
      </c>
      <c r="E68" s="53"/>
      <c r="F68" s="2681"/>
      <c r="G68" s="2681"/>
      <c r="H68" s="33"/>
      <c r="I68" s="27"/>
      <c r="K68" s="3174"/>
      <c r="L68" s="2297" t="s">
        <v>2530</v>
      </c>
      <c r="M68" s="2297">
        <f ca="1">IF(N49&gt;10000,N49*0.5%,IF(AND(N49&gt;5000,N49&lt;=10000),N49*1%,IF(AND(N49&gt;1000,N49&lt;=5000),N49*2%,IF(AND(N49&gt;200,N49&lt;=1000),N49*3%,N49*5%))))</f>
        <v>89790.64</v>
      </c>
      <c r="N68" s="2298">
        <f ca="1">ROUND(M68,1)</f>
        <v>89790.6</v>
      </c>
      <c r="O68" s="2296"/>
      <c r="P68" s="2296"/>
      <c r="Q68" s="1176"/>
    </row>
    <row r="69" spans="1:36" ht="7.5" customHeight="1">
      <c r="A69" s="1325"/>
      <c r="B69" s="1326"/>
      <c r="C69" s="1327"/>
      <c r="D69" s="1328"/>
      <c r="E69" s="1329"/>
      <c r="F69" s="734"/>
      <c r="G69" s="734"/>
      <c r="H69" s="785"/>
      <c r="I69" s="1312"/>
      <c r="K69" s="3174"/>
      <c r="L69" s="2297" t="s">
        <v>54</v>
      </c>
      <c r="M69" s="2297"/>
      <c r="N69" s="2298">
        <f ca="1">ROUND(SUM(N63:N68),0)</f>
        <v>288953</v>
      </c>
      <c r="O69" s="2299">
        <f ca="1">N69/N49</f>
        <v>1.6090374230543405E-2</v>
      </c>
      <c r="P69" s="2296"/>
      <c r="Q69" s="1176"/>
    </row>
    <row r="70" spans="1:36" s="581" customFormat="1" ht="14.4" thickBot="1">
      <c r="A70" s="3195" t="s">
        <v>1596</v>
      </c>
      <c r="B70" s="3196"/>
      <c r="C70" s="3196"/>
      <c r="D70" s="3196"/>
      <c r="E70" s="3196"/>
      <c r="F70" s="3196"/>
      <c r="G70" s="3196"/>
      <c r="H70" s="3196"/>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193" t="s">
        <v>1576</v>
      </c>
      <c r="B71" s="3194"/>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17102979</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102618</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226" t="s">
        <v>1606</v>
      </c>
      <c r="F76" s="3214"/>
      <c r="G76" s="3214"/>
      <c r="H76" s="3227"/>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102618</v>
      </c>
      <c r="D78" s="2513">
        <f>'数据-取费表'!E31</f>
        <v>6.000000000000001E-3</v>
      </c>
      <c r="E78" s="3162" t="s">
        <v>1611</v>
      </c>
      <c r="F78" s="3163"/>
      <c r="G78" s="3163"/>
      <c r="H78" s="3183"/>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17000361</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165.66646202420628</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10164300</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195" t="s">
        <v>1615</v>
      </c>
      <c r="B83" s="3196"/>
      <c r="C83" s="3196"/>
      <c r="D83" s="3196"/>
      <c r="E83" s="3196"/>
      <c r="F83" s="3196"/>
      <c r="G83" s="3196"/>
      <c r="H83" s="3196"/>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193" t="s">
        <v>1576</v>
      </c>
      <c r="B84" s="3194"/>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17102979</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102618</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202" t="s">
        <v>2492</v>
      </c>
      <c r="H90" s="3202"/>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62" t="s">
        <v>1623</v>
      </c>
      <c r="F91" s="3163"/>
      <c r="G91" s="3163"/>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62" t="s">
        <v>1626</v>
      </c>
      <c r="F92" s="3163"/>
      <c r="G92" s="3163"/>
      <c r="H92" s="3183"/>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102618</v>
      </c>
      <c r="D93" s="2513">
        <f>'数据-取费表'!E31</f>
        <v>6.000000000000001E-3</v>
      </c>
      <c r="E93" s="3162" t="s">
        <v>1611</v>
      </c>
      <c r="F93" s="3163"/>
      <c r="G93" s="3163"/>
      <c r="H93" s="3183"/>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62" t="s">
        <v>1628</v>
      </c>
      <c r="F94" s="3163"/>
      <c r="G94" s="3163"/>
      <c r="H94" s="3183"/>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17000361</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165.66646202420628</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10164300</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180" t="s">
        <v>1630</v>
      </c>
      <c r="B99" s="3181"/>
      <c r="C99" s="3181"/>
      <c r="D99" s="3182"/>
      <c r="E99" s="1312"/>
      <c r="F99" s="3190" t="s">
        <v>1631</v>
      </c>
      <c r="G99" s="3191"/>
      <c r="H99" s="3191"/>
      <c r="I99" s="3192"/>
      <c r="J99" s="2575"/>
    </row>
    <row r="100" spans="1:36" ht="15">
      <c r="A100" s="3197" t="s">
        <v>1632</v>
      </c>
      <c r="B100" s="3198"/>
      <c r="C100" s="1175" t="str">
        <f>C4</f>
        <v>比较法-办公</v>
      </c>
      <c r="D100" s="2523" t="str">
        <f>D4</f>
        <v>收益法</v>
      </c>
      <c r="E100" s="1312"/>
      <c r="F100" s="3199" t="s">
        <v>2536</v>
      </c>
      <c r="G100" s="3201"/>
      <c r="H100" s="3199" t="s">
        <v>2537</v>
      </c>
      <c r="I100" s="3200"/>
      <c r="J100" s="2576"/>
    </row>
    <row r="101" spans="1:36" ht="13.2">
      <c r="A101" s="3216" t="s">
        <v>2569</v>
      </c>
      <c r="B101" s="1839" t="str">
        <f>IF(H19="元","总价（元）","总价（万元）")</f>
        <v>总价（元）</v>
      </c>
      <c r="C101" s="1175">
        <f ca="1">C19</f>
        <v>3386884</v>
      </c>
      <c r="D101" s="2523">
        <f ca="1">D19</f>
        <v>3389625</v>
      </c>
      <c r="E101" s="1312"/>
      <c r="F101" s="3199" t="str">
        <f>项目基本情况!I1</f>
        <v>北京市房地产</v>
      </c>
      <c r="G101" s="3201"/>
      <c r="H101" s="3203">
        <f>项目基本情况!C12</f>
        <v>440.01</v>
      </c>
      <c r="I101" s="3200"/>
      <c r="J101" s="2576"/>
    </row>
    <row r="102" spans="1:36" ht="13.2">
      <c r="A102" s="3216"/>
      <c r="B102" s="1839" t="s">
        <v>2570</v>
      </c>
      <c r="C102" s="2524">
        <f ca="1">C20</f>
        <v>40796</v>
      </c>
      <c r="D102" s="2525">
        <f ca="1">D20</f>
        <v>40829</v>
      </c>
      <c r="E102" s="1312"/>
      <c r="F102" s="3186" t="s">
        <v>2566</v>
      </c>
      <c r="G102" s="3187"/>
      <c r="H102" s="2533" t="str">
        <f>C106</f>
        <v>总价（元）</v>
      </c>
      <c r="I102" s="2534">
        <f ca="1">H121</f>
        <v>17958128</v>
      </c>
      <c r="J102" s="2576"/>
    </row>
    <row r="103" spans="1:36" ht="13.2">
      <c r="A103" s="3216" t="s">
        <v>2571</v>
      </c>
      <c r="B103" s="2025" t="str">
        <f>B101</f>
        <v>总价（元）</v>
      </c>
      <c r="C103" s="2528">
        <f ca="1">H121</f>
        <v>17958128</v>
      </c>
      <c r="D103" s="2526"/>
      <c r="E103" s="1312"/>
      <c r="F103" s="3186"/>
      <c r="G103" s="3187"/>
      <c r="H103" s="2533" t="s">
        <v>2539</v>
      </c>
      <c r="I103" s="48">
        <f ca="1">I121</f>
        <v>40813</v>
      </c>
      <c r="J103" s="2560"/>
    </row>
    <row r="104" spans="1:36" ht="13.8" thickBot="1">
      <c r="A104" s="3217"/>
      <c r="B104" s="2530" t="s">
        <v>2570</v>
      </c>
      <c r="C104" s="2531">
        <f ca="1">I121</f>
        <v>40813</v>
      </c>
      <c r="D104" s="2532"/>
      <c r="E104" s="1312"/>
      <c r="F104" s="3186"/>
      <c r="G104" s="3187"/>
      <c r="H104" s="3218"/>
      <c r="I104" s="3219"/>
      <c r="J104" s="2577"/>
    </row>
    <row r="105" spans="1:36" ht="13.8">
      <c r="A105" s="3180" t="s">
        <v>1633</v>
      </c>
      <c r="B105" s="3181"/>
      <c r="C105" s="3181"/>
      <c r="D105" s="3182"/>
      <c r="E105" s="1312"/>
      <c r="F105" s="3222" t="s">
        <v>2540</v>
      </c>
      <c r="G105" s="3223"/>
      <c r="H105" s="2535" t="str">
        <f>C108</f>
        <v>总额（元）</v>
      </c>
      <c r="I105" s="2534">
        <f>SUMIF(I106:I108,"&lt;9E307")</f>
        <v>0</v>
      </c>
      <c r="J105" s="2576"/>
    </row>
    <row r="106" spans="1:36" ht="13.8">
      <c r="A106" s="3186" t="s">
        <v>2563</v>
      </c>
      <c r="B106" s="3187"/>
      <c r="C106" s="2533" t="str">
        <f>B101</f>
        <v>总价（元）</v>
      </c>
      <c r="D106" s="2534">
        <f ca="1">H121</f>
        <v>17958128</v>
      </c>
      <c r="E106" s="1312"/>
      <c r="F106" s="3188" t="s">
        <v>2541</v>
      </c>
      <c r="G106" s="3189"/>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86"/>
      <c r="B107" s="3187"/>
      <c r="C107" s="2533" t="s">
        <v>2564</v>
      </c>
      <c r="D107" s="48">
        <f ca="1">I121</f>
        <v>40813</v>
      </c>
      <c r="E107" s="1312"/>
      <c r="F107" s="3188" t="s">
        <v>2542</v>
      </c>
      <c r="G107" s="3189"/>
      <c r="H107" s="2535" t="str">
        <f>C110</f>
        <v>总额（元）</v>
      </c>
      <c r="I107" s="48">
        <f>C37</f>
        <v>0</v>
      </c>
      <c r="J107" s="2560"/>
    </row>
    <row r="108" spans="1:36" ht="13.2">
      <c r="A108" s="3257" t="s">
        <v>2540</v>
      </c>
      <c r="B108" s="3258"/>
      <c r="C108" s="2535" t="str">
        <f>IF(H19="元","总额（元）","总额（万元）")</f>
        <v>总额（元）</v>
      </c>
      <c r="D108" s="2534">
        <f>IF(D36="正常操作",I106+I107+I108,I107+I108)</f>
        <v>0</v>
      </c>
      <c r="E108" s="1312"/>
      <c r="F108" s="3188" t="s">
        <v>2567</v>
      </c>
      <c r="G108" s="3189"/>
      <c r="H108" s="2535" t="str">
        <f>C111</f>
        <v>总额（元）</v>
      </c>
      <c r="I108" s="48">
        <f>C38</f>
        <v>0</v>
      </c>
      <c r="J108" s="2560"/>
    </row>
    <row r="109" spans="1:36" ht="13.2">
      <c r="A109" s="3188" t="s">
        <v>2541</v>
      </c>
      <c r="B109" s="3189"/>
      <c r="C109" s="2535" t="str">
        <f>C108</f>
        <v>总额（元）</v>
      </c>
      <c r="D109" s="48">
        <f>IF(D36="同一抵押权人同一抵押物续贷",C36&amp;"（未扣减，详见特别提示）",C36)</f>
        <v>0</v>
      </c>
      <c r="E109" s="1312"/>
      <c r="F109" s="3186"/>
      <c r="G109" s="3187"/>
      <c r="H109" s="3220"/>
      <c r="I109" s="3221"/>
      <c r="J109" s="2578"/>
    </row>
    <row r="110" spans="1:36" ht="28.5" customHeight="1">
      <c r="A110" s="3188" t="s">
        <v>2565</v>
      </c>
      <c r="B110" s="3189"/>
      <c r="C110" s="2535" t="str">
        <f>C108</f>
        <v>总额（元）</v>
      </c>
      <c r="D110" s="48">
        <f>C37</f>
        <v>0</v>
      </c>
      <c r="E110" s="1312"/>
      <c r="F110" s="3169" t="str">
        <f>IF(项目基本情况!F5="已注销","——","3.房地产抵押价值")</f>
        <v>3.房地产抵押价值</v>
      </c>
      <c r="G110" s="3170"/>
      <c r="H110" s="2521" t="str">
        <f>C112</f>
        <v>总价（元）</v>
      </c>
      <c r="I110" s="2534">
        <f ca="1">IF(F110="——","——",I102-I105)</f>
        <v>17958128</v>
      </c>
      <c r="J110" s="2576"/>
    </row>
    <row r="111" spans="1:36" ht="13.2">
      <c r="A111" s="3188" t="s">
        <v>2544</v>
      </c>
      <c r="B111" s="3189"/>
      <c r="C111" s="2535" t="str">
        <f>C108</f>
        <v>总额（元）</v>
      </c>
      <c r="D111" s="48">
        <f>C38</f>
        <v>0</v>
      </c>
      <c r="E111" s="1312"/>
      <c r="F111" s="3171"/>
      <c r="G111" s="3172"/>
      <c r="H111" s="2533" t="s">
        <v>2539</v>
      </c>
      <c r="I111" s="2537">
        <f ca="1">D113</f>
        <v>40813</v>
      </c>
      <c r="J111" s="2579"/>
    </row>
    <row r="112" spans="1:36" ht="26.25" customHeight="1">
      <c r="A112" s="3186" t="str">
        <f>IF(项目基本情况!F5="已注销","——","3.房地产抵押价值")</f>
        <v>3.房地产抵押价值</v>
      </c>
      <c r="B112" s="3187"/>
      <c r="C112" s="2533" t="str">
        <f>B101</f>
        <v>总价（元）</v>
      </c>
      <c r="D112" s="2534">
        <f ca="1">IF(A112="——","——",D106-D108)</f>
        <v>17958128</v>
      </c>
      <c r="E112" s="1312"/>
      <c r="F112" s="3169" t="str">
        <f>IF(项目基本情况!F5="已注销及未注销","4.抵押担保权已注销时的房地产抵押价值",IF(项目基本情况!F5="已注销","3.抵押担保权已注销时的房地产抵押价值","——"))</f>
        <v>——</v>
      </c>
      <c r="G112" s="3170"/>
      <c r="H112" s="2521" t="str">
        <f>C114</f>
        <v>总价（元）</v>
      </c>
      <c r="I112" s="2534" t="str">
        <f>IF(F112="——","——",I102-I107-I108)</f>
        <v>——</v>
      </c>
      <c r="J112" s="2576"/>
    </row>
    <row r="113" spans="1:16" ht="13.2">
      <c r="A113" s="3186"/>
      <c r="B113" s="3187"/>
      <c r="C113" s="2533" t="s">
        <v>2532</v>
      </c>
      <c r="D113" s="48">
        <f ca="1">ROUND(IF(D112=D106,D107,IF(H19="元",D112/项目基本情况!C12,D112*10000/项目基本情况!C12)),0)</f>
        <v>40813</v>
      </c>
      <c r="E113" s="1312"/>
      <c r="F113" s="3171"/>
      <c r="G113" s="3172"/>
      <c r="H113" s="2533" t="s">
        <v>2568</v>
      </c>
      <c r="I113" s="48" t="str">
        <f>D115</f>
        <v>——</v>
      </c>
      <c r="J113" s="2560"/>
    </row>
    <row r="114" spans="1:16" ht="13.2">
      <c r="A114" s="3186" t="str">
        <f>IF(项目基本情况!F5="已注销及未注销","4.抵押担保权已注销时的房地产抵押价值",IF(项目基本情况!F5="已注销","3.抵押担保权已注销时的房地产抵押价值","——"))</f>
        <v>——</v>
      </c>
      <c r="B114" s="3187"/>
      <c r="C114" s="2533" t="str">
        <f>B101</f>
        <v>总价（元）</v>
      </c>
      <c r="D114" s="2534" t="str">
        <f>IF(A114="——","——",D106-D110-D111)</f>
        <v>——</v>
      </c>
      <c r="E114" s="1312"/>
      <c r="F114" s="3169" t="str">
        <f>IF(项目基本情况!G5="抵押净值",IF(OR(项目基本情况!F5="已注销",项目基本情况!F5="房地产抵押价值"),"4.抵押净值","5.抵押净值"),"——")</f>
        <v>——</v>
      </c>
      <c r="G114" s="3170"/>
      <c r="H114" s="2533" t="str">
        <f>C116</f>
        <v>总价（元）</v>
      </c>
      <c r="I114" s="2534" t="str">
        <f>IF(F114="——","——",O59)</f>
        <v>——</v>
      </c>
      <c r="J114" s="2576"/>
    </row>
    <row r="115" spans="1:16" ht="13.8" thickBot="1">
      <c r="A115" s="3186"/>
      <c r="B115" s="3187"/>
      <c r="C115" s="2533" t="s">
        <v>2532</v>
      </c>
      <c r="D115" s="48" t="str">
        <f>IF(A114="——","——",ROUND(IF(D114=D106,D107,IF(H19="元",D114/项目基本情况!C12,D114*10000/项目基本情况!C12)),0))</f>
        <v>——</v>
      </c>
      <c r="E115" s="1312"/>
      <c r="F115" s="3249"/>
      <c r="G115" s="3250"/>
      <c r="H115" s="2538" t="s">
        <v>2532</v>
      </c>
      <c r="I115" s="2522" t="str">
        <f ca="1">D117</f>
        <v>——</v>
      </c>
      <c r="J115" s="2560"/>
    </row>
    <row r="116" spans="1:16" ht="15.6">
      <c r="A116" s="3186" t="str">
        <f>IF(项目基本情况!G5="抵押净值",IF(OR(项目基本情况!F5="已注销",项目基本情况!F5="房地产抵押价值"),"4.抵押净值","5.抵押净值"),"——")</f>
        <v>——</v>
      </c>
      <c r="B116" s="3187"/>
      <c r="C116" s="2533" t="str">
        <f>B101</f>
        <v>总价（元）</v>
      </c>
      <c r="D116" s="2534" t="str">
        <f>IF(A116="——","——",O59)</f>
        <v>——</v>
      </c>
      <c r="E116" s="1312"/>
      <c r="F116" s="3164"/>
      <c r="G116" s="3164"/>
      <c r="H116" s="3205"/>
      <c r="I116" s="3205"/>
      <c r="J116" s="2580"/>
      <c r="O116" s="28"/>
      <c r="P116" s="28"/>
    </row>
    <row r="117" spans="1:16" ht="13.8" thickBot="1">
      <c r="A117" s="3255"/>
      <c r="B117" s="3256"/>
      <c r="C117" s="2538" t="s">
        <v>2532</v>
      </c>
      <c r="D117" s="2522" t="str">
        <f ca="1">IF(D116=D112,D113,IF(A116="——","——",O61))</f>
        <v>——</v>
      </c>
      <c r="E117" s="1312"/>
      <c r="F117" s="3248" t="str">
        <f>IF(B32="总价","（以上估价结果中单价为总价除以建筑面积得出）","（以上估价结果中总价为楼面单价乘以建筑面积得出）")</f>
        <v>（以上估价结果中总价为楼面单价乘以建筑面积得出）</v>
      </c>
      <c r="G117" s="3248"/>
      <c r="H117" s="3248"/>
      <c r="I117" s="3248"/>
      <c r="J117" s="2581"/>
      <c r="O117" s="28"/>
      <c r="P117" s="28"/>
    </row>
    <row r="118" spans="1:16" ht="14.4">
      <c r="A118" s="3206" t="s">
        <v>1634</v>
      </c>
      <c r="B118" s="3207"/>
      <c r="C118" s="3207"/>
      <c r="D118" s="3207"/>
      <c r="E118" s="3207"/>
      <c r="F118" s="3207"/>
      <c r="G118" s="3207"/>
      <c r="H118" s="3207"/>
      <c r="I118" s="3207"/>
      <c r="J118" s="2582"/>
    </row>
    <row r="119" spans="1:16" ht="13.2">
      <c r="A119" s="3179" t="s">
        <v>2550</v>
      </c>
      <c r="B119" s="3177" t="s">
        <v>2560</v>
      </c>
      <c r="C119" s="3177" t="s">
        <v>2561</v>
      </c>
      <c r="D119" s="3184" t="s">
        <v>2552</v>
      </c>
      <c r="E119" s="3185"/>
      <c r="F119" s="3175" t="s">
        <v>2562</v>
      </c>
      <c r="G119" s="3175"/>
      <c r="H119" s="3175" t="s">
        <v>2553</v>
      </c>
      <c r="I119" s="3176"/>
      <c r="J119" s="2560"/>
    </row>
    <row r="120" spans="1:16" ht="13.2">
      <c r="A120" s="3179"/>
      <c r="B120" s="3178"/>
      <c r="C120" s="3178"/>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440.01</v>
      </c>
      <c r="C121" s="1198">
        <f>项目基本情况!C13</f>
        <v>0</v>
      </c>
      <c r="D121" s="1198">
        <f ca="1">ROUND(IF(B32="总价",C34,IF('数据-取费表'!B3="万元",E121*B121/10000,E121*B121)),0)</f>
        <v>16000524</v>
      </c>
      <c r="E121" s="1198">
        <f ca="1">ROUND(IF(B32="楼面单价",C34,IF(H19="元",D121/B121,D121*10000/B121)),0)</f>
        <v>36364</v>
      </c>
      <c r="F121" s="1198">
        <f ca="1">ROUND(IF(B32="总价",C35,IF('数据-取费表'!B3="万元",G121*B121/10000,G121*B121)),0)</f>
        <v>1957604</v>
      </c>
      <c r="G121" s="1198">
        <f ca="1">ROUND(IF(B32="楼面单价",C35,IF(H19="元",F121/B121,F121*10000/B121)),0)</f>
        <v>4449</v>
      </c>
      <c r="H121" s="1198">
        <f ca="1">ROUND(IF(B32="总价",C32,IF('数据-取费表'!B3="万元",I121*B121/10000,I121*B121)),0)</f>
        <v>17958128</v>
      </c>
      <c r="I121" s="48">
        <f ca="1">ROUND(IF(B32="楼面单价",C32,IF(H19="元",H121/B121,H121*10000/B121)),0)</f>
        <v>40813</v>
      </c>
      <c r="J121" s="2560"/>
    </row>
    <row r="122" spans="1:16" ht="13.2">
      <c r="A122" s="3179" t="s">
        <v>2556</v>
      </c>
      <c r="B122" s="3175"/>
      <c r="C122" s="3175"/>
      <c r="D122" s="3210" t="str">
        <f ca="1">IF(H19="元",NUMBERSTRING(INT(D121),2)&amp;"元整",NUMBERSTRING(INT(D121*10000),2)&amp;"元整")</f>
        <v>壹仟陆佰万零伍佰贰拾肆元整</v>
      </c>
      <c r="E122" s="3211"/>
      <c r="F122" s="3210" t="str">
        <f ca="1">IF(H19="元",NUMBERSTRING(INT(F121),2)&amp;"元整",NUMBERSTRING(INT(F121*10000),2)&amp;"元整")</f>
        <v>壹佰玖拾伍万柒仟陆佰零肆元整</v>
      </c>
      <c r="G122" s="3211"/>
      <c r="H122" s="3210" t="str">
        <f ca="1">IF(H19="元",NUMBERSTRING(INT(H121),2)&amp;"元整",NUMBERSTRING(INT(H121*10000),2)&amp;"元整")</f>
        <v>壹仟柒佰玖拾伍万捌仟壹佰贰拾捌元整</v>
      </c>
      <c r="I122" s="3259"/>
      <c r="J122" s="2583"/>
    </row>
    <row r="123" spans="1:16" ht="13.2">
      <c r="A123" s="3199" t="str">
        <f>IF(项目基本情况!D5="房地产市场价值","——",MID(A108,3,LEN(A108)-2))</f>
        <v>估价师所知悉的法定优先受偿款</v>
      </c>
      <c r="B123" s="3212"/>
      <c r="C123" s="3201"/>
      <c r="D123" s="3203">
        <f>I105</f>
        <v>0</v>
      </c>
      <c r="E123" s="3212"/>
      <c r="F123" s="3212"/>
      <c r="G123" s="3212"/>
      <c r="H123" s="3212"/>
      <c r="I123" s="3200"/>
      <c r="J123" s="2576"/>
    </row>
    <row r="124" spans="1:16" ht="13.2">
      <c r="A124" s="3213" t="s">
        <v>2556</v>
      </c>
      <c r="B124" s="3214"/>
      <c r="C124" s="3215"/>
      <c r="D124" s="3251">
        <f>H109</f>
        <v>0</v>
      </c>
      <c r="E124" s="3252"/>
      <c r="F124" s="3252"/>
      <c r="G124" s="3252"/>
      <c r="H124" s="3252"/>
      <c r="I124" s="3253"/>
      <c r="J124" s="2584"/>
    </row>
    <row r="125" spans="1:16" ht="13.2">
      <c r="A125" s="3186" t="str">
        <f>IF(项目基本情况!D5="房地产市场价值","——",MID(A112,3,LEN(A112)-2))</f>
        <v>房地产抵押价值</v>
      </c>
      <c r="B125" s="3187"/>
      <c r="C125" s="3187"/>
      <c r="D125" s="3203">
        <f ca="1">I110</f>
        <v>17958128</v>
      </c>
      <c r="E125" s="3212"/>
      <c r="F125" s="3212"/>
      <c r="G125" s="3212"/>
      <c r="H125" s="3212"/>
      <c r="I125" s="3200"/>
      <c r="J125" s="2576"/>
    </row>
    <row r="126" spans="1:16" ht="13.2">
      <c r="A126" s="3179" t="s">
        <v>2556</v>
      </c>
      <c r="B126" s="3175"/>
      <c r="C126" s="3175"/>
      <c r="D126" s="3251">
        <f ca="1">I111</f>
        <v>40813</v>
      </c>
      <c r="E126" s="3252"/>
      <c r="F126" s="3252"/>
      <c r="G126" s="3252"/>
      <c r="H126" s="3252"/>
      <c r="I126" s="3253"/>
      <c r="J126" s="2584"/>
    </row>
    <row r="127" spans="1:16" ht="13.8" thickBot="1">
      <c r="A127" s="3186" t="str">
        <f>IF(项目基本情况!D5="房地产市场价值","——",MID(A114,3,LEN(A114)-2))</f>
        <v/>
      </c>
      <c r="B127" s="3187"/>
      <c r="C127" s="3187"/>
      <c r="D127" s="3159" t="str">
        <f>I112</f>
        <v>——</v>
      </c>
      <c r="E127" s="3160"/>
      <c r="F127" s="3160"/>
      <c r="G127" s="3160"/>
      <c r="H127" s="3160"/>
      <c r="I127" s="3161"/>
      <c r="J127" s="2576"/>
    </row>
    <row r="128" spans="1:16" ht="14.4" thickTop="1" thickBot="1">
      <c r="A128" s="3179" t="s">
        <v>2556</v>
      </c>
      <c r="B128" s="3175"/>
      <c r="C128" s="3226"/>
      <c r="D128" s="3204" t="str">
        <f>I113</f>
        <v>——</v>
      </c>
      <c r="E128" s="3204"/>
      <c r="F128" s="3204"/>
      <c r="G128" s="3204"/>
      <c r="H128" s="3204"/>
      <c r="I128" s="3204"/>
      <c r="J128" s="2584"/>
    </row>
    <row r="129" spans="1:10" ht="14.4" thickTop="1" thickBot="1">
      <c r="A129" s="3186" t="str">
        <f>IF(项目基本情况!D5="房地产市场价值","——",MID(F114,3,LEN(F114)-2))</f>
        <v/>
      </c>
      <c r="B129" s="3187"/>
      <c r="C129" s="3203"/>
      <c r="D129" s="3254" t="str">
        <f>I114</f>
        <v>——</v>
      </c>
      <c r="E129" s="3254"/>
      <c r="F129" s="3254"/>
      <c r="G129" s="3254"/>
      <c r="H129" s="3254"/>
      <c r="I129" s="3254"/>
      <c r="J129" s="2576"/>
    </row>
    <row r="130" spans="1:10" ht="14.4" thickTop="1" thickBot="1">
      <c r="A130" s="3242" t="s">
        <v>2556</v>
      </c>
      <c r="B130" s="3243"/>
      <c r="C130" s="3243"/>
      <c r="D130" s="3260">
        <f>H116</f>
        <v>0</v>
      </c>
      <c r="E130" s="3261"/>
      <c r="F130" s="3261"/>
      <c r="G130" s="3261"/>
      <c r="H130" s="3261"/>
      <c r="I130" s="3262"/>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247" t="str">
        <f>IF(B32="总价","（以上估价结果中楼面单价为总价除以建筑面积得出）","（以上估价结果中总价为楼面单价乘以建筑面积得出）")</f>
        <v>（以上估价结果中总价为楼面单价乘以建筑面积得出）</v>
      </c>
      <c r="B132" s="3247"/>
      <c r="C132" s="3247"/>
      <c r="D132" s="3247"/>
      <c r="E132" s="3247"/>
      <c r="F132" s="3247"/>
      <c r="G132" s="3247"/>
      <c r="H132" s="3247"/>
      <c r="I132" s="3247"/>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tabSelected="1" view="pageBreakPreview" topLeftCell="A97" zoomScale="70" zoomScaleNormal="100" zoomScaleSheetLayoutView="70" zoomScalePageLayoutView="80" workbookViewId="0">
      <selection activeCell="F24" sqref="F24"/>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69" t="s">
        <v>1643</v>
      </c>
      <c r="B2" s="3269"/>
      <c r="C2" s="3269"/>
      <c r="D2" s="3269"/>
      <c r="E2" s="3269"/>
      <c r="F2" s="3269"/>
      <c r="G2" s="3269"/>
      <c r="H2" s="3269"/>
      <c r="I2" s="3269"/>
      <c r="J2" s="2587"/>
    </row>
    <row r="3" spans="1:15" ht="13.2">
      <c r="A3" s="3229" t="s">
        <v>1471</v>
      </c>
      <c r="B3" s="3230"/>
      <c r="C3" s="3230"/>
      <c r="D3" s="3230"/>
      <c r="E3" s="3230"/>
      <c r="F3" s="3230"/>
      <c r="G3" s="3230"/>
      <c r="H3" s="3230"/>
      <c r="I3" s="3230"/>
      <c r="J3" s="2559"/>
    </row>
    <row r="4" spans="1:15" ht="14.4">
      <c r="A4" s="2432" t="s">
        <v>1472</v>
      </c>
      <c r="B4" s="2432" t="s">
        <v>1473</v>
      </c>
      <c r="C4" s="2433" t="s">
        <v>3067</v>
      </c>
      <c r="D4" s="2433" t="s">
        <v>3040</v>
      </c>
      <c r="E4" s="3226" t="s">
        <v>1644</v>
      </c>
      <c r="F4" s="3214"/>
      <c r="G4" s="3214"/>
      <c r="H4" s="3214"/>
      <c r="I4" s="3215"/>
      <c r="J4" s="2560"/>
      <c r="L4" s="1312" t="str">
        <f>IF(ISNUMBER(FIND("比较法",'结果表 (1修多)'!C4)),"比较法",IF(ISNUMBER(FIND("成本法",'结果表 (1修多)'!C4)),"成本法",IF(ISNUMBER(FIND("假设开发法",'结果表 (1修多)'!C4)),"假设开发法",IF(ISNUMBER(FIND("收益法",'结果表 (1修多)'!C4)),"收益法","基准地价系数修正法"))))</f>
        <v>比较法</v>
      </c>
      <c r="M4" s="1312" t="str">
        <f>IF(ISNUMBER(FIND("比较法",'结果表 (1修多)'!D4)),"比较法",IF(ISNUMBER(FIND("成本法",'结果表 (1修多)'!D4)),"成本法",IF(ISNUMBER(FIND("假设开发法",'结果表 (1修多)'!D4)),"假设开发法",IF(ISNUMBER(FIND("收益法",'结果表 (1修多)'!D4)),"收益法","基准地价系数修正法"))))</f>
        <v>收益法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2.4"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 (1修多)'!B19,INDIRECT("'"&amp;C4&amp;"'"&amp;"!B:B"))</f>
        <v>3386884</v>
      </c>
      <c r="D19" s="2441">
        <f ca="1">SUMIF(INDIRECT("'"&amp;D4&amp;"'"&amp;"!A:A"),'结果表 (1修多)'!B19,INDIRECT("'"&amp;D4&amp;"'"&amp;"!B:B"))</f>
        <v>3389625</v>
      </c>
      <c r="E19" s="1855" t="s">
        <v>1496</v>
      </c>
      <c r="F19" s="2439" t="s">
        <v>1495</v>
      </c>
      <c r="G19" s="2442">
        <f ca="1">ROUND(C19*$C$18+D19*$D$18,0)</f>
        <v>3388255</v>
      </c>
      <c r="H19" s="2443" t="str">
        <f>'数据-取费表'!B3</f>
        <v>元</v>
      </c>
      <c r="I19" s="1329"/>
      <c r="J19" s="2561"/>
    </row>
    <row r="20" spans="1:36" ht="14.4">
      <c r="A20" s="2444"/>
      <c r="B20" s="1518" t="s">
        <v>1497</v>
      </c>
      <c r="C20" s="1736">
        <f ca="1">SUMIF(INDIRECT("'"&amp;C4&amp;"'"&amp;"!A:A"),'结果表 (1修多)'!B20,INDIRECT("'"&amp;C4&amp;"'"&amp;"!B:B"))</f>
        <v>40796</v>
      </c>
      <c r="D20" s="1739">
        <f ca="1">SUMIF(INDIRECT("'"&amp;D4&amp;"'"&amp;"!A:A"),'结果表 (1修多)'!B20,INDIRECT("'"&amp;D4&amp;"'"&amp;"!B:B"))</f>
        <v>40829</v>
      </c>
      <c r="E20" s="2444"/>
      <c r="F20" s="1518" t="s">
        <v>1497</v>
      </c>
      <c r="G20" s="1883">
        <f ca="1">ROUND(C20*$C$18+D20*$D$18,0)</f>
        <v>40813</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8.0929845840604919E-4</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91" t="s">
        <v>1647</v>
      </c>
      <c r="B32" s="3291"/>
      <c r="C32" s="3291"/>
      <c r="D32" s="3291"/>
      <c r="E32" s="3291"/>
      <c r="F32" s="3291"/>
      <c r="G32" s="3291"/>
      <c r="H32" s="3291"/>
      <c r="I32" s="3291"/>
      <c r="J32" s="2588"/>
    </row>
    <row r="33" spans="1:16" ht="14.4">
      <c r="A33" s="1355"/>
      <c r="B33" s="2491" t="s">
        <v>1648</v>
      </c>
      <c r="C33" s="2492">
        <f ca="1">典型户型修正!R27</f>
        <v>40813</v>
      </c>
      <c r="D33" s="1329" t="s">
        <v>1649</v>
      </c>
      <c r="E33" s="861"/>
      <c r="F33" s="861"/>
      <c r="G33" s="861"/>
      <c r="H33" s="861"/>
      <c r="I33" s="861"/>
      <c r="J33" s="2561"/>
    </row>
    <row r="34" spans="1:16" ht="14.4">
      <c r="A34" s="1356" t="s">
        <v>1650</v>
      </c>
      <c r="B34" s="2493" t="s">
        <v>1651</v>
      </c>
      <c r="C34" s="2494">
        <f ca="1">典型户型修正!B2</f>
        <v>17958128</v>
      </c>
      <c r="D34" s="1329" t="str">
        <f>IF('数据-取费表'!B3="万元","万元","元")</f>
        <v>元</v>
      </c>
      <c r="E34" s="861"/>
      <c r="F34" s="861"/>
      <c r="G34" s="861"/>
      <c r="H34" s="861"/>
      <c r="I34" s="861"/>
      <c r="J34" s="2561"/>
    </row>
    <row r="35" spans="1:16" ht="15" thickBot="1">
      <c r="A35" s="1357"/>
      <c r="B35" s="2495" t="s">
        <v>1652</v>
      </c>
      <c r="C35" s="2447">
        <f ca="1">典型户型修正!B3</f>
        <v>408129997</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234" t="s">
        <v>1656</v>
      </c>
      <c r="B38" s="1317" t="s">
        <v>1657</v>
      </c>
      <c r="C38" s="2474"/>
      <c r="D38" s="2475"/>
      <c r="E38" s="1179"/>
      <c r="F38" s="1179"/>
      <c r="G38" s="861"/>
      <c r="H38" s="861"/>
      <c r="I38" s="861"/>
      <c r="J38" s="2561"/>
    </row>
    <row r="39" spans="1:16" ht="15" thickBot="1">
      <c r="A39" s="3239"/>
      <c r="B39" s="1884" t="s">
        <v>1658</v>
      </c>
      <c r="C39" s="2476"/>
      <c r="D39" s="1179"/>
      <c r="E39" s="1179"/>
      <c r="F39" s="1179"/>
      <c r="G39" s="1179"/>
      <c r="H39" s="1179"/>
      <c r="I39" s="1179"/>
      <c r="J39" s="2565"/>
    </row>
    <row r="40" spans="1:16" ht="15" thickBot="1">
      <c r="A40" s="3240"/>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159" t="s">
        <v>1669</v>
      </c>
      <c r="B47" s="3160"/>
      <c r="C47" s="3170"/>
      <c r="D47" s="242">
        <f ca="1">ROUND(I104*F47,0)</f>
        <v>17958128</v>
      </c>
      <c r="E47" s="1385" t="s">
        <v>1670</v>
      </c>
      <c r="F47" s="2300">
        <v>1</v>
      </c>
      <c r="G47" s="2301" t="s">
        <v>1671</v>
      </c>
      <c r="H47" s="861"/>
      <c r="I47" s="861"/>
      <c r="J47" s="2561"/>
      <c r="K47" s="3264" t="s">
        <v>1527</v>
      </c>
      <c r="L47" s="3264"/>
      <c r="M47" s="3264"/>
      <c r="N47" s="3264"/>
      <c r="O47" s="3264"/>
      <c r="P47" s="3264"/>
    </row>
    <row r="48" spans="1:16" ht="14.25" customHeight="1">
      <c r="A48" s="3236" t="s">
        <v>1528</v>
      </c>
      <c r="B48" s="3237"/>
      <c r="C48" s="3237"/>
      <c r="D48" s="3237"/>
      <c r="E48" s="3237"/>
      <c r="F48" s="3237"/>
      <c r="G48" s="3238"/>
      <c r="H48" s="2677"/>
      <c r="I48" s="861"/>
      <c r="J48" s="2561"/>
      <c r="K48" s="2252">
        <v>1</v>
      </c>
      <c r="L48" s="3265" t="s">
        <v>1529</v>
      </c>
      <c r="M48" s="3265"/>
      <c r="N48" s="3266"/>
      <c r="O48" s="3266"/>
      <c r="P48" s="3266"/>
    </row>
    <row r="49" spans="1:17" ht="12" customHeight="1">
      <c r="A49" s="34" t="s">
        <v>1530</v>
      </c>
      <c r="B49" s="35"/>
      <c r="C49" s="36"/>
      <c r="D49" s="978" t="s">
        <v>1531</v>
      </c>
      <c r="E49" s="231" t="s">
        <v>1532</v>
      </c>
      <c r="F49" s="37" t="s">
        <v>1533</v>
      </c>
      <c r="G49" s="2302" t="s">
        <v>1534</v>
      </c>
      <c r="H49" s="2677"/>
      <c r="I49" s="861"/>
      <c r="J49" s="2561"/>
      <c r="K49" s="2252">
        <v>2</v>
      </c>
      <c r="L49" s="3265" t="s">
        <v>1535</v>
      </c>
      <c r="M49" s="3265"/>
      <c r="N49" s="3268">
        <f>'数据-取费表'!B2</f>
        <v>44883</v>
      </c>
      <c r="O49" s="3268"/>
      <c r="P49" s="3268"/>
    </row>
    <row r="50" spans="1:17" ht="26.4">
      <c r="A50" s="3241" t="s">
        <v>1536</v>
      </c>
      <c r="B50" s="3175"/>
      <c r="C50" s="3175"/>
      <c r="D50" s="11">
        <f ca="1">IF(H50="情况1",0,IF(H50="情况2",D54,IF(H50="情况3",D55,IF(H50="情况4",D56))))</f>
        <v>957767</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65" t="s">
        <v>1539</v>
      </c>
      <c r="M50" s="3265"/>
      <c r="N50" s="3270">
        <f ca="1">I104</f>
        <v>17958128</v>
      </c>
      <c r="O50" s="3270"/>
      <c r="P50" s="3270"/>
    </row>
    <row r="51" spans="1:17" ht="25.5" customHeight="1">
      <c r="A51" s="1882" t="s">
        <v>1540</v>
      </c>
      <c r="B51" s="3214" t="s">
        <v>1541</v>
      </c>
      <c r="C51" s="3214"/>
      <c r="D51" s="2306">
        <v>0</v>
      </c>
      <c r="E51" s="257" t="s">
        <v>1542</v>
      </c>
      <c r="F51" s="2307" t="s">
        <v>48</v>
      </c>
      <c r="G51" s="3156"/>
      <c r="H51" s="2308" t="s">
        <v>2499</v>
      </c>
      <c r="I51" s="2309"/>
      <c r="J51" s="2569"/>
      <c r="K51" s="2252">
        <v>4</v>
      </c>
      <c r="L51" s="3265" t="str">
        <f>IF(项目基本情况!F5="房地产抵押价值","房地产抵押价值","抵押担保权已注销时的房地产抵押价值")</f>
        <v>房地产抵押价值</v>
      </c>
      <c r="M51" s="3265"/>
      <c r="N51" s="3270">
        <f ca="1">IF(项目基本情况!F5="房地产抵押价值",I112,I114)</f>
        <v>17958128</v>
      </c>
      <c r="O51" s="3270"/>
      <c r="P51" s="3270"/>
    </row>
    <row r="52" spans="1:17" ht="25.5" customHeight="1">
      <c r="A52" s="1874"/>
      <c r="B52" s="3214" t="s">
        <v>1543</v>
      </c>
      <c r="C52" s="3214"/>
      <c r="D52" s="2310"/>
      <c r="E52" s="265"/>
      <c r="F52" s="2307"/>
      <c r="G52" s="3157"/>
      <c r="H52" s="2311" t="s">
        <v>2500</v>
      </c>
      <c r="I52" s="2309"/>
      <c r="J52" s="2569"/>
      <c r="K52" s="3265" t="s">
        <v>1544</v>
      </c>
      <c r="L52" s="3265"/>
      <c r="M52" s="3265"/>
      <c r="N52" s="3265"/>
      <c r="O52" s="3265"/>
      <c r="P52" s="3265"/>
    </row>
    <row r="53" spans="1:17" ht="20.399999999999999" customHeight="1">
      <c r="A53" s="2312"/>
      <c r="B53" s="3214" t="s">
        <v>1545</v>
      </c>
      <c r="C53" s="3214"/>
      <c r="D53" s="978"/>
      <c r="E53" s="260"/>
      <c r="F53" s="2307"/>
      <c r="G53" s="3158"/>
      <c r="H53" s="2311" t="s">
        <v>2501</v>
      </c>
      <c r="I53" s="2309"/>
      <c r="J53" s="2569"/>
      <c r="K53" s="2253" t="s">
        <v>1546</v>
      </c>
      <c r="L53" s="3265" t="s">
        <v>1547</v>
      </c>
      <c r="M53" s="3265"/>
      <c r="N53" s="2253" t="s">
        <v>1548</v>
      </c>
      <c r="O53" s="2253" t="s">
        <v>1549</v>
      </c>
      <c r="P53" s="2253" t="s">
        <v>1550</v>
      </c>
    </row>
    <row r="54" spans="1:17" ht="24" customHeight="1">
      <c r="A54" s="1875" t="s">
        <v>1551</v>
      </c>
      <c r="B54" s="3214" t="s">
        <v>1552</v>
      </c>
      <c r="C54" s="3214"/>
      <c r="D54" s="978">
        <f ca="1">ROUND(D47*'数据-取费表'!E29/(1+'数据-取费表'!F30),0)</f>
        <v>957767</v>
      </c>
      <c r="E54" s="1198" t="s">
        <v>1553</v>
      </c>
      <c r="F54" s="2313">
        <f>'数据-取费表'!E29</f>
        <v>5.6000000000000001E-2</v>
      </c>
      <c r="G54" s="2314"/>
      <c r="H54" s="861"/>
      <c r="I54" s="2678"/>
      <c r="J54" s="2569"/>
      <c r="K54" s="2252">
        <v>1</v>
      </c>
      <c r="L54" s="3267" t="s">
        <v>1554</v>
      </c>
      <c r="M54" s="3267"/>
      <c r="N54" s="2254">
        <f ca="1">D50</f>
        <v>957767</v>
      </c>
      <c r="O54" s="2252" t="str">
        <f>E50</f>
        <v>销售额×税（费）率</v>
      </c>
      <c r="P54" s="2255">
        <f>F50</f>
        <v>5.6000000000000001E-2</v>
      </c>
    </row>
    <row r="55" spans="1:17" ht="12" customHeight="1">
      <c r="A55" s="1875" t="s">
        <v>1555</v>
      </c>
      <c r="B55" s="3226" t="s">
        <v>2592</v>
      </c>
      <c r="C55" s="3215"/>
      <c r="D55" s="978">
        <f ca="1">ROUND(D47*'数据-取费表'!E29/(1+'数据-取费表'!F30),0)</f>
        <v>957767</v>
      </c>
      <c r="E55" s="1198" t="s">
        <v>1553</v>
      </c>
      <c r="F55" s="2313">
        <f>'数据-取费表'!E29</f>
        <v>5.6000000000000001E-2</v>
      </c>
      <c r="G55" s="2314"/>
      <c r="H55" s="861"/>
      <c r="I55" s="2678"/>
      <c r="J55" s="2569"/>
      <c r="K55" s="2252">
        <v>2</v>
      </c>
      <c r="L55" s="3267" t="s">
        <v>1556</v>
      </c>
      <c r="M55" s="3267"/>
      <c r="N55" s="2254">
        <f t="shared" ref="N55:P56" ca="1" si="1">D57</f>
        <v>8979</v>
      </c>
      <c r="O55" s="2252" t="str">
        <f t="shared" si="1"/>
        <v>销售额×税（费）率</v>
      </c>
      <c r="P55" s="2255">
        <f t="shared" si="1"/>
        <v>5.0000000000000001E-4</v>
      </c>
    </row>
    <row r="56" spans="1:17" ht="12" customHeight="1">
      <c r="A56" s="1875" t="s">
        <v>1557</v>
      </c>
      <c r="B56" s="3226" t="s">
        <v>2593</v>
      </c>
      <c r="C56" s="3215"/>
      <c r="D56" s="978">
        <f ca="1">C70</f>
        <v>957767</v>
      </c>
      <c r="E56" s="260" t="s">
        <v>1558</v>
      </c>
      <c r="F56" s="2313">
        <f>'数据-取费表'!E29</f>
        <v>5.6000000000000001E-2</v>
      </c>
      <c r="G56" s="2314"/>
      <c r="H56" s="2679"/>
      <c r="I56" s="2678"/>
      <c r="J56" s="2569"/>
      <c r="K56" s="2252">
        <v>3</v>
      </c>
      <c r="L56" s="3267" t="s">
        <v>1559</v>
      </c>
      <c r="M56" s="3267"/>
      <c r="N56" s="2254">
        <f t="shared" ca="1" si="1"/>
        <v>10164300</v>
      </c>
      <c r="O56" s="2252" t="str">
        <f t="shared" si="1"/>
        <v>增值额×税（费）率</v>
      </c>
      <c r="P56" s="2256" t="str">
        <f t="shared" si="1"/>
        <v>——</v>
      </c>
    </row>
    <row r="57" spans="1:17" ht="24" customHeight="1">
      <c r="A57" s="3179" t="s">
        <v>1560</v>
      </c>
      <c r="B57" s="3175"/>
      <c r="C57" s="3175"/>
      <c r="D57" s="11">
        <f ca="1">IF(H57="个人住宅",0,ROUND(D47*I57,0))</f>
        <v>8979</v>
      </c>
      <c r="E57" s="1198" t="s">
        <v>1561</v>
      </c>
      <c r="F57" s="2313">
        <f>IF(H57="正常",I57,"免征")</f>
        <v>5.0000000000000001E-4</v>
      </c>
      <c r="G57" s="2314"/>
      <c r="H57" s="2305" t="s">
        <v>1562</v>
      </c>
      <c r="I57" s="70">
        <f>'数据-取费表'!E37</f>
        <v>5.0000000000000001E-4</v>
      </c>
      <c r="J57" s="2569"/>
      <c r="K57" s="2252">
        <f>IF(H61="非个人房产","",4)</f>
        <v>4</v>
      </c>
      <c r="L57" s="3267" t="str">
        <f>IF(H61="非个人房产","——","个人所得税")</f>
        <v>个人所得税</v>
      </c>
      <c r="M57" s="3267"/>
      <c r="N57" s="2257">
        <f ca="1">D61</f>
        <v>179581</v>
      </c>
      <c r="O57" s="2258" t="str">
        <f>E61</f>
        <v>销售额×税（费）率</v>
      </c>
      <c r="P57" s="2259">
        <f>F61</f>
        <v>0.01</v>
      </c>
    </row>
    <row r="58" spans="1:17" ht="25.2">
      <c r="A58" s="3179" t="s">
        <v>1563</v>
      </c>
      <c r="B58" s="3175"/>
      <c r="C58" s="3175"/>
      <c r="D58" s="11">
        <f ca="1">IF(H58="个人住宅",D59,D60)</f>
        <v>10164300</v>
      </c>
      <c r="E58" s="1198" t="s">
        <v>1564</v>
      </c>
      <c r="F58" s="2313" t="str">
        <f>IF(H58="正常",F60,"免征")</f>
        <v>——</v>
      </c>
      <c r="G58" s="2315" t="s">
        <v>1565</v>
      </c>
      <c r="H58" s="2316" t="s">
        <v>1562</v>
      </c>
      <c r="I58" s="2680"/>
      <c r="J58" s="2569"/>
      <c r="K58" s="2252" t="str">
        <f>IF(项目基本情况!I6="上海银行",IF(K57="",4,K57+1),"")</f>
        <v/>
      </c>
      <c r="L58" s="3271" t="str">
        <f>IF(项目基本情况!I6="上海银行","其他处置费用","")</f>
        <v/>
      </c>
      <c r="M58" s="3276"/>
      <c r="N58" s="2254" t="str">
        <f>IF(项目基本情况!I6="上海银行",N71,"")</f>
        <v/>
      </c>
      <c r="O58" s="3271" t="str">
        <f>IF(项目基本情况!I6="上海银行","包含处置中涉及的律师、诉讼、拍卖、评估等费用","")</f>
        <v/>
      </c>
      <c r="P58" s="3272"/>
    </row>
    <row r="59" spans="1:17" ht="13.2">
      <c r="A59" s="1875" t="s">
        <v>1540</v>
      </c>
      <c r="B59" s="3226" t="s">
        <v>1566</v>
      </c>
      <c r="C59" s="3215"/>
      <c r="D59" s="2306">
        <v>0</v>
      </c>
      <c r="E59" s="257" t="s">
        <v>1542</v>
      </c>
      <c r="F59" s="231"/>
      <c r="G59" s="2314"/>
      <c r="H59" s="2680"/>
      <c r="I59" s="2680"/>
      <c r="J59" s="2569"/>
      <c r="K59" s="3267">
        <f>IF(AND(K57="",K58=""),4,IF(项目基本情况!I6="上海银行",K58+1,K57+1))</f>
        <v>5</v>
      </c>
      <c r="L59" s="3267" t="s">
        <v>1567</v>
      </c>
      <c r="M59" s="2260" t="s">
        <v>1568</v>
      </c>
      <c r="N59" s="2261"/>
      <c r="O59" s="2262">
        <f ca="1">SUMIF(N54:N58,"&lt;9e307")</f>
        <v>11310627</v>
      </c>
      <c r="P59" s="2263"/>
      <c r="Q59" s="1174">
        <f ca="1">O59/N51</f>
        <v>0.62983329888282347</v>
      </c>
    </row>
    <row r="60" spans="1:17" ht="25.2">
      <c r="A60" s="1875" t="s">
        <v>1551</v>
      </c>
      <c r="B60" s="3226" t="s">
        <v>1569</v>
      </c>
      <c r="C60" s="3214"/>
      <c r="D60" s="11">
        <f ca="1">IF(H60="转让取得",C83,C99)</f>
        <v>10164300</v>
      </c>
      <c r="E60" s="1198" t="s">
        <v>1564</v>
      </c>
      <c r="F60" s="231" t="s">
        <v>48</v>
      </c>
      <c r="G60" s="2314"/>
      <c r="H60" s="2316" t="s">
        <v>1570</v>
      </c>
      <c r="I60" s="2680"/>
      <c r="J60" s="2569"/>
      <c r="K60" s="3267"/>
      <c r="L60" s="3267"/>
      <c r="M60" s="2260" t="s">
        <v>1571</v>
      </c>
      <c r="N60" s="2264"/>
      <c r="O60" s="2265" t="str">
        <f ca="1">IF(H19="元",NUMBERSTRING(INT(O59),2)&amp;"元整",NUMBERSTRING(INT(O59*10000),2)&amp;"元整")</f>
        <v>壹仟壹佰叁拾壹万零陆佰贰拾柒元整</v>
      </c>
      <c r="P60" s="2266"/>
    </row>
    <row r="61" spans="1:17" ht="27" thickBot="1">
      <c r="A61" s="3242" t="s">
        <v>1572</v>
      </c>
      <c r="B61" s="3243"/>
      <c r="C61" s="3243"/>
      <c r="D61" s="65">
        <f ca="1">IF(H61="非个人房产","——",IF(H61="个人住宅（满五唯一有凭证）",0,IF(H61="个人其他（无凭证）",ROUND(D47*F61,0),ROUND(C69*F61,0))))</f>
        <v>179581</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73">
        <f>K59+1</f>
        <v>6</v>
      </c>
      <c r="L61" s="3267" t="s">
        <v>1573</v>
      </c>
      <c r="M61" s="2252" t="s">
        <v>1568</v>
      </c>
      <c r="N61" s="2267"/>
      <c r="O61" s="2268">
        <f ca="1">N51-O59</f>
        <v>6647501</v>
      </c>
      <c r="P61" s="2269"/>
    </row>
    <row r="62" spans="1:17" ht="12" customHeight="1">
      <c r="A62" s="1308"/>
      <c r="B62" s="1329"/>
      <c r="C62" s="1329"/>
      <c r="D62" s="1329"/>
      <c r="E62" s="1308"/>
      <c r="F62" s="2680"/>
      <c r="G62" s="2680"/>
      <c r="H62" s="861"/>
      <c r="I62" s="861"/>
      <c r="J62" s="2569"/>
      <c r="K62" s="3274"/>
      <c r="L62" s="3267"/>
      <c r="M62" s="2260" t="s">
        <v>1571</v>
      </c>
      <c r="N62" s="2264"/>
      <c r="O62" s="2265" t="str">
        <f ca="1">IF(H19="元",NUMBERSTRING(INT(O61),2)&amp;"元整",NUMBERSTRING(INT(O61*10000),2)&amp;"元整")</f>
        <v>陆佰陆拾肆万柒仟伍佰零壹元整</v>
      </c>
      <c r="P62" s="2266"/>
    </row>
    <row r="63" spans="1:17" ht="13.8" thickBot="1">
      <c r="A63" s="3275" t="s">
        <v>1574</v>
      </c>
      <c r="B63" s="3275"/>
      <c r="C63" s="3275"/>
      <c r="D63" s="3275"/>
      <c r="E63" s="3275"/>
      <c r="F63" s="2680"/>
      <c r="G63" s="2680"/>
      <c r="H63" s="861"/>
      <c r="I63" s="861"/>
      <c r="J63" s="2561"/>
      <c r="K63" s="2252">
        <f>K61+1</f>
        <v>7</v>
      </c>
      <c r="L63" s="3267" t="s">
        <v>1575</v>
      </c>
      <c r="M63" s="3267"/>
      <c r="N63" s="2270"/>
      <c r="O63" s="2271">
        <f ca="1">IF(H19="元",ROUND(O61/项目基本情况!C12,0),ROUND(O61*10000/项目基本情况!C12,0))</f>
        <v>15108</v>
      </c>
      <c r="P63" s="2272"/>
    </row>
    <row r="64" spans="1:17" ht="13.2">
      <c r="A64" s="3193" t="s">
        <v>1576</v>
      </c>
      <c r="B64" s="3194"/>
      <c r="C64" s="1444"/>
      <c r="D64" s="1444" t="s">
        <v>1577</v>
      </c>
      <c r="E64" s="41" t="s">
        <v>1578</v>
      </c>
      <c r="F64" s="2680"/>
      <c r="G64" s="2680"/>
      <c r="H64" s="861"/>
      <c r="I64" s="861"/>
      <c r="J64" s="2561"/>
      <c r="K64" s="1176"/>
      <c r="L64" s="1176"/>
      <c r="M64" s="1176"/>
      <c r="N64" s="1176"/>
      <c r="O64" s="1176"/>
    </row>
    <row r="65" spans="1:36" ht="13.2">
      <c r="A65" s="42">
        <v>1</v>
      </c>
      <c r="B65" s="43" t="s">
        <v>1579</v>
      </c>
      <c r="C65" s="2500">
        <f ca="1">ROUND((C66+C67)/(1+'数据-取费表'!F30),0)</f>
        <v>17102979</v>
      </c>
      <c r="D65" s="43"/>
      <c r="E65" s="44"/>
      <c r="F65" s="2680"/>
      <c r="G65" s="2680"/>
      <c r="H65" s="861"/>
      <c r="I65" s="861"/>
      <c r="J65" s="2561"/>
      <c r="K65" s="3263" t="s">
        <v>1580</v>
      </c>
      <c r="L65" s="1175" t="s">
        <v>1581</v>
      </c>
      <c r="M65" s="1175">
        <f ca="1">IF(N51&gt;10000,N51*0.5%,IF(AND(N51&gt;1000,N51&lt;=10000),N51*1%,IF(AND(N51&gt;100,N51&lt;=1000),N51*3%,IF(AND(N51&gt;10,N51&lt;=100),N51*5%,N51*8%))))</f>
        <v>89790.64</v>
      </c>
      <c r="N65" s="231">
        <f ca="1">ROUND(M65,1)</f>
        <v>89790.6</v>
      </c>
      <c r="O65" s="2273"/>
    </row>
    <row r="66" spans="1:36" ht="13.2">
      <c r="A66" s="45" t="s">
        <v>71</v>
      </c>
      <c r="B66" s="46" t="s">
        <v>1582</v>
      </c>
      <c r="C66" s="2501">
        <f ca="1">D47</f>
        <v>17958128</v>
      </c>
      <c r="D66" s="46" t="s">
        <v>41</v>
      </c>
      <c r="E66" s="48"/>
      <c r="F66" s="2680"/>
      <c r="G66" s="2680"/>
      <c r="H66" s="861"/>
      <c r="I66" s="861"/>
      <c r="J66" s="2561"/>
      <c r="K66" s="3263"/>
      <c r="L66" s="1175" t="s">
        <v>1583</v>
      </c>
      <c r="M66" s="1175">
        <f ca="1">IF(N51&gt;2000,N51*0.5%,IF(AND(N51&gt;1000,N51&lt;=2000),N51*0.6%,IF(AND(N51&gt;500,N51&lt;=1000),N51*0.7%,IF(AND(N51&gt;200,N51&lt;=500),N51*0.8%,IF(AND(N51&gt;100,N51&lt;=200),N51*0.9%,IF(AND(N51&gt;50,N51&lt;=100),N51*1%,IF(AND(N51&gt;20,N51&lt;=50),N51*1.5%,IF(AND(N51&gt;10,N51&lt;=20),N51*2%,IF(AND(N51&gt;1,N51&lt;=10),N51*2.5%)))))))))</f>
        <v>89790.64</v>
      </c>
      <c r="N66" s="231">
        <f t="shared" ref="N66:N67" ca="1" si="2">ROUND(M66,1)</f>
        <v>89790.6</v>
      </c>
      <c r="O66" s="2273" t="s">
        <v>1584</v>
      </c>
    </row>
    <row r="67" spans="1:36" ht="13.2">
      <c r="A67" s="45" t="s">
        <v>72</v>
      </c>
      <c r="B67" s="46" t="s">
        <v>1585</v>
      </c>
      <c r="C67" s="2502"/>
      <c r="D67" s="46"/>
      <c r="E67" s="48"/>
      <c r="F67" s="2680"/>
      <c r="G67" s="2680"/>
      <c r="H67" s="861"/>
      <c r="I67" s="861"/>
      <c r="J67" s="2561"/>
      <c r="K67" s="3263"/>
      <c r="L67" s="1175" t="s">
        <v>1586</v>
      </c>
      <c r="M67" s="1175">
        <f ca="1">IF(N51&gt;1000,N51*0.1%,IF(AND(N51&gt;500,N51&lt;=1000),N51*0.5%,IF(AND(N51&gt;50,N51&lt;=500),N51*1%,IF(AND(N51&gt;1,N51&lt;=50),N51*1.5%))))</f>
        <v>17958.128000000001</v>
      </c>
      <c r="N67" s="231">
        <f t="shared" ca="1" si="2"/>
        <v>17958.099999999999</v>
      </c>
      <c r="O67" s="2273" t="s">
        <v>1584</v>
      </c>
    </row>
    <row r="68" spans="1:36" ht="13.2">
      <c r="A68" s="49" t="s">
        <v>47</v>
      </c>
      <c r="B68" s="50" t="s">
        <v>1587</v>
      </c>
      <c r="C68" s="2503"/>
      <c r="D68" s="50" t="s">
        <v>41</v>
      </c>
      <c r="E68" s="1184" t="s">
        <v>1588</v>
      </c>
      <c r="F68" s="2680"/>
      <c r="G68" s="2680"/>
      <c r="H68" s="861"/>
      <c r="I68" s="861"/>
      <c r="J68" s="2561"/>
      <c r="K68" s="3263"/>
      <c r="L68" s="1175" t="s">
        <v>1589</v>
      </c>
      <c r="M68" s="1175">
        <f ca="1">N51*0.5%</f>
        <v>89790.64</v>
      </c>
      <c r="N68" s="231">
        <f ca="1">IF(M68&gt;0.5,0.5,ROUND(M68,0))</f>
        <v>0.5</v>
      </c>
      <c r="O68" s="2273" t="s">
        <v>1590</v>
      </c>
    </row>
    <row r="69" spans="1:36" ht="13.2">
      <c r="A69" s="49" t="s">
        <v>42</v>
      </c>
      <c r="B69" s="50" t="s">
        <v>1591</v>
      </c>
      <c r="C69" s="2504">
        <f ca="1">C65-C68</f>
        <v>17102979</v>
      </c>
      <c r="D69" s="46" t="s">
        <v>41</v>
      </c>
      <c r="E69" s="48"/>
      <c r="F69" s="2680"/>
      <c r="G69" s="2680"/>
      <c r="H69" s="861"/>
      <c r="I69" s="861"/>
      <c r="J69" s="2561"/>
      <c r="K69" s="3263"/>
      <c r="L69" s="1175" t="s">
        <v>1592</v>
      </c>
      <c r="M69" s="1175">
        <f ca="1">IF(N51&gt;=10000,(8.25+(N51-10000)*0.01%),IF(AND(N51&gt;=8000,N51&lt;10000),(7.85+(N51-8000)*0.02%),IF(AND(N51&gt;=5000,N51&lt;8000),(6.65+(N51-5000)*0.04%),IF(AND(N51&gt;=2000,N51&lt;5000),(4.25+(PN51-2000)*0.08%),IF(AND(N51&gt;=1000,N51&lt;2000),(2.75+(N51-1000)*0.15%),IF(AND(N51&gt;=100,N51&lt;1000),(0.5+(N51-100)*0.25%),IF(AND(N51&gt;0,N51&lt;100),N51*0.5%)))))))</f>
        <v>1803.0628000000002</v>
      </c>
      <c r="N69" s="231">
        <f ca="1">ROUND(M69*0.9,1)</f>
        <v>1622.8</v>
      </c>
      <c r="O69" s="2273"/>
    </row>
    <row r="70" spans="1:36" ht="13.8" thickBot="1">
      <c r="A70" s="51" t="s">
        <v>46</v>
      </c>
      <c r="B70" s="52" t="s">
        <v>1593</v>
      </c>
      <c r="C70" s="2505">
        <f ca="1">IF(C69&lt;=0,0,ROUND(C69*D70,0))</f>
        <v>957767</v>
      </c>
      <c r="D70" s="2022">
        <f>'数据-取费表'!E29</f>
        <v>5.6000000000000001E-2</v>
      </c>
      <c r="E70" s="53"/>
      <c r="F70" s="2680"/>
      <c r="G70" s="2680"/>
      <c r="H70" s="861"/>
      <c r="I70" s="861"/>
      <c r="J70" s="2561"/>
      <c r="K70" s="3263"/>
      <c r="L70" s="1175" t="s">
        <v>1594</v>
      </c>
      <c r="M70" s="1175">
        <f ca="1">IF(N51&gt;10000,N51*0.5%,IF(AND(N51&gt;5000,N51&lt;=10000),N51*1%,IF(AND(N51&gt;1000,N51&lt;=5000),N51*2%,IF(AND(N51&gt;200,N51&lt;=1000),N51*3%,N51*5%))))</f>
        <v>89790.64</v>
      </c>
      <c r="N70" s="231">
        <f ca="1">ROUND(M70,1)</f>
        <v>89790.6</v>
      </c>
      <c r="O70" s="2273"/>
    </row>
    <row r="71" spans="1:36" ht="7.5" customHeight="1">
      <c r="A71" s="1325"/>
      <c r="B71" s="1326"/>
      <c r="C71" s="2506"/>
      <c r="D71" s="2062"/>
      <c r="E71" s="1329"/>
      <c r="F71" s="1308"/>
      <c r="G71" s="1308"/>
      <c r="H71" s="1329"/>
      <c r="I71" s="1329"/>
      <c r="J71" s="2561"/>
      <c r="K71" s="3263"/>
      <c r="L71" s="1175" t="s">
        <v>1595</v>
      </c>
      <c r="M71" s="1175"/>
      <c r="N71" s="231">
        <f ca="1">ROUND(SUM(N65:N70),0)</f>
        <v>288953</v>
      </c>
      <c r="O71" s="2274">
        <f ca="1">N71/N51</f>
        <v>1.6090374230543405E-2</v>
      </c>
    </row>
    <row r="72" spans="1:36" s="581" customFormat="1" ht="14.4" thickBot="1">
      <c r="A72" s="3280" t="s">
        <v>1596</v>
      </c>
      <c r="B72" s="3281"/>
      <c r="C72" s="3281"/>
      <c r="D72" s="3281"/>
      <c r="E72" s="3281"/>
      <c r="F72" s="3281"/>
      <c r="G72" s="3281"/>
      <c r="H72" s="3281"/>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193" t="s">
        <v>1576</v>
      </c>
      <c r="B73" s="3194"/>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 ca="1">ROUND(D47/(1+'数据-取费表'!F30),0)</f>
        <v>17102979</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 ca="1">C76+C80</f>
        <v>102618</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226" t="s">
        <v>1606</v>
      </c>
      <c r="F78" s="3214"/>
      <c r="G78" s="3214"/>
      <c r="H78" s="3227"/>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 ca="1">ROUND(D47*D80/(1+'数据-取费表'!F30),0)</f>
        <v>102618</v>
      </c>
      <c r="D80" s="2513">
        <f>'数据-取费表'!E31</f>
        <v>6.000000000000001E-3</v>
      </c>
      <c r="E80" s="3162" t="s">
        <v>1611</v>
      </c>
      <c r="F80" s="3163"/>
      <c r="G80" s="3163"/>
      <c r="H80" s="3183"/>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 ca="1">C74-C75</f>
        <v>17000361</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 ca="1">IF(C81&lt;=0,0,C81/C75)</f>
        <v>165.66646202420628</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 ca="1">ROUND(IF(C81&lt;=0,0,IF(C82&gt;=200%,C81*60%-C75*35%,IF(C82&gt;=100%,C81*50%-C75*15%,IF(C82&gt;=50%,C81*40%-C75*5%,IF(C82&lt;50%,C81*30%,0))))),0)</f>
        <v>10164300</v>
      </c>
      <c r="D83" s="1956"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80" t="s">
        <v>1615</v>
      </c>
      <c r="B85" s="3281"/>
      <c r="C85" s="3281"/>
      <c r="D85" s="3281"/>
      <c r="E85" s="3281"/>
      <c r="F85" s="3281"/>
      <c r="G85" s="3281"/>
      <c r="H85" s="3281"/>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193" t="s">
        <v>1576</v>
      </c>
      <c r="B86" s="3194"/>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 ca="1">ROUND(D47/(1+'数据-取费表'!F30),0)</f>
        <v>17102979</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 ca="1">IF(H90="仅含出让金",C89+C92+C93+C94+C95+C96,C89+C93+C94+C95+C96)</f>
        <v>102618</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202" t="s">
        <v>2493</v>
      </c>
      <c r="H92" s="3282"/>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62" t="s">
        <v>1623</v>
      </c>
      <c r="F93" s="3163"/>
      <c r="G93" s="3163"/>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62" t="s">
        <v>1626</v>
      </c>
      <c r="F94" s="3163"/>
      <c r="G94" s="3163"/>
      <c r="H94" s="3183"/>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 ca="1">ROUND(D47*D95/(1+'数据-取费表'!F30),0)</f>
        <v>102618</v>
      </c>
      <c r="D95" s="2513">
        <f>'数据-取费表'!E31</f>
        <v>6.000000000000001E-3</v>
      </c>
      <c r="E95" s="3162" t="s">
        <v>1611</v>
      </c>
      <c r="F95" s="3163"/>
      <c r="G95" s="3163"/>
      <c r="H95" s="3183"/>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62" t="s">
        <v>1628</v>
      </c>
      <c r="F96" s="3163"/>
      <c r="G96" s="3163"/>
      <c r="H96" s="3183"/>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 ca="1">ROUND(C87-C88,0)</f>
        <v>17000361</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 ca="1">IF(C97&lt;=0,0,C97/C88)</f>
        <v>165.66646202420628</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10164300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180" t="s">
        <v>1630</v>
      </c>
      <c r="B101" s="3181"/>
      <c r="C101" s="3181"/>
      <c r="D101" s="3182"/>
      <c r="E101" s="1312"/>
      <c r="F101" s="3277" t="s">
        <v>2535</v>
      </c>
      <c r="G101" s="3278"/>
      <c r="H101" s="3278"/>
      <c r="I101" s="3279"/>
      <c r="J101" s="2594"/>
    </row>
    <row r="102" spans="1:36" ht="15">
      <c r="A102" s="3197" t="s">
        <v>1632</v>
      </c>
      <c r="B102" s="3198"/>
      <c r="C102" s="2519" t="str">
        <f>C4</f>
        <v>比较法-办公</v>
      </c>
      <c r="D102" s="2520" t="str">
        <f>D4</f>
        <v>收益法</v>
      </c>
      <c r="E102" s="1312"/>
      <c r="F102" s="3199" t="s">
        <v>2536</v>
      </c>
      <c r="G102" s="3201"/>
      <c r="H102" s="3212" t="s">
        <v>2537</v>
      </c>
      <c r="I102" s="3200"/>
      <c r="J102" s="2576"/>
    </row>
    <row r="103" spans="1:36" ht="13.2">
      <c r="A103" s="3283" t="s">
        <v>2531</v>
      </c>
      <c r="B103" s="1839" t="str">
        <f>IF(H19="元","总价（元）","总价（万元）")</f>
        <v>总价（元）</v>
      </c>
      <c r="C103" s="1175">
        <f ca="1">C19</f>
        <v>3386884</v>
      </c>
      <c r="D103" s="2523">
        <f ca="1">D19</f>
        <v>3389625</v>
      </c>
      <c r="E103" s="1312"/>
      <c r="F103" s="3284"/>
      <c r="G103" s="3285"/>
      <c r="H103" s="3203">
        <f>典型户型修正!B25</f>
        <v>440.01</v>
      </c>
      <c r="I103" s="3200"/>
      <c r="J103" s="2576"/>
    </row>
    <row r="104" spans="1:36" ht="13.2">
      <c r="A104" s="3283"/>
      <c r="B104" s="1839" t="s">
        <v>2532</v>
      </c>
      <c r="C104" s="2524">
        <f ca="1">C20</f>
        <v>40796</v>
      </c>
      <c r="D104" s="2525">
        <f ca="1">D20</f>
        <v>40829</v>
      </c>
      <c r="E104" s="1312"/>
      <c r="F104" s="3186" t="s">
        <v>2538</v>
      </c>
      <c r="G104" s="3187"/>
      <c r="H104" s="2533" t="str">
        <f>C110</f>
        <v>总价（元）</v>
      </c>
      <c r="I104" s="2534">
        <f ca="1">H125</f>
        <v>17958128</v>
      </c>
      <c r="J104" s="2576"/>
    </row>
    <row r="105" spans="1:36" ht="13.2">
      <c r="A105" s="3283" t="s">
        <v>2533</v>
      </c>
      <c r="B105" s="2025" t="str">
        <f>B103</f>
        <v>总价（元）</v>
      </c>
      <c r="C105" s="11">
        <f ca="1">ROUND(IF('数据-取费表'!B4="总价",G19,IF(H19="元",G20*'数据-取费表'!E5,G20*'数据-取费表'!E5/10000)),0)</f>
        <v>3388295</v>
      </c>
      <c r="D105" s="2526"/>
      <c r="E105" s="1312"/>
      <c r="F105" s="3186"/>
      <c r="G105" s="3187"/>
      <c r="H105" s="2533" t="s">
        <v>2539</v>
      </c>
      <c r="I105" s="48">
        <f ca="1">I125</f>
        <v>408129997</v>
      </c>
      <c r="J105" s="2560"/>
    </row>
    <row r="106" spans="1:36" ht="13.2">
      <c r="A106" s="3283"/>
      <c r="B106" s="1839" t="s">
        <v>2532</v>
      </c>
      <c r="C106" s="1329">
        <f ca="1">ROUND(IF('数据-取费表'!B4="楼面单价",G20,IF(H19="元",G19/'数据-取费表'!E5,G19*10000/'数据-取费表'!E5)),0)</f>
        <v>40813</v>
      </c>
      <c r="D106" s="2526"/>
      <c r="E106" s="1312"/>
      <c r="F106" s="3186"/>
      <c r="G106" s="3187"/>
      <c r="H106" s="3218"/>
      <c r="I106" s="3219"/>
      <c r="J106" s="2577"/>
    </row>
    <row r="107" spans="1:36" ht="13.2">
      <c r="A107" s="3290" t="s">
        <v>2534</v>
      </c>
      <c r="B107" s="2527" t="str">
        <f>B103</f>
        <v>总价（元）</v>
      </c>
      <c r="C107" s="2528">
        <f ca="1">H125</f>
        <v>17958128</v>
      </c>
      <c r="D107" s="2529"/>
      <c r="E107" s="1312"/>
      <c r="F107" s="3222" t="s">
        <v>2540</v>
      </c>
      <c r="G107" s="3223"/>
      <c r="H107" s="2535" t="str">
        <f>C112</f>
        <v>总额（元）</v>
      </c>
      <c r="I107" s="2534">
        <f>SUMIF(I108:I110,"&lt;9E307")</f>
        <v>0</v>
      </c>
      <c r="J107" s="2576"/>
    </row>
    <row r="108" spans="1:36" ht="14.4" thickBot="1">
      <c r="A108" s="3217"/>
      <c r="B108" s="2530" t="s">
        <v>2532</v>
      </c>
      <c r="C108" s="2531">
        <f ca="1">I125</f>
        <v>408129997</v>
      </c>
      <c r="D108" s="2532"/>
      <c r="E108" s="1312"/>
      <c r="F108" s="3188" t="s">
        <v>2541</v>
      </c>
      <c r="G108" s="3189"/>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86" t="s">
        <v>1633</v>
      </c>
      <c r="B109" s="3287"/>
      <c r="C109" s="3287"/>
      <c r="D109" s="3288"/>
      <c r="E109" s="1312"/>
      <c r="F109" s="3188" t="s">
        <v>2542</v>
      </c>
      <c r="G109" s="3189"/>
      <c r="H109" s="2535" t="str">
        <f>C114</f>
        <v>总额（元）</v>
      </c>
      <c r="I109" s="48">
        <f>C39</f>
        <v>0</v>
      </c>
      <c r="J109" s="2560"/>
    </row>
    <row r="110" spans="1:36" ht="13.2">
      <c r="A110" s="3186" t="s">
        <v>2545</v>
      </c>
      <c r="B110" s="3187"/>
      <c r="C110" s="2533" t="str">
        <f>B103</f>
        <v>总价（元）</v>
      </c>
      <c r="D110" s="2534">
        <f ca="1">H125</f>
        <v>17958128</v>
      </c>
      <c r="E110" s="1312"/>
      <c r="F110" s="3188" t="s">
        <v>2543</v>
      </c>
      <c r="G110" s="3189"/>
      <c r="H110" s="2535" t="str">
        <f>C115</f>
        <v>总额（元）</v>
      </c>
      <c r="I110" s="48">
        <f>C40</f>
        <v>0</v>
      </c>
      <c r="J110" s="2560"/>
    </row>
    <row r="111" spans="1:36" ht="13.2">
      <c r="A111" s="3186"/>
      <c r="B111" s="3187"/>
      <c r="C111" s="2533" t="s">
        <v>2546</v>
      </c>
      <c r="D111" s="48">
        <f ca="1">I125</f>
        <v>408129997</v>
      </c>
      <c r="E111" s="1312"/>
      <c r="F111" s="3186"/>
      <c r="G111" s="3187"/>
      <c r="H111" s="3220"/>
      <c r="I111" s="3221"/>
      <c r="J111" s="2578"/>
    </row>
    <row r="112" spans="1:36" ht="28.5" customHeight="1">
      <c r="A112" s="3257" t="s">
        <v>2540</v>
      </c>
      <c r="B112" s="3258"/>
      <c r="C112" s="2535" t="str">
        <f>IF(H19="元","总额（元）","总额（万元）")</f>
        <v>总额（元）</v>
      </c>
      <c r="D112" s="2534">
        <f>IF(D38="正常操作",I108+I109+I110,I109+I110)</f>
        <v>0</v>
      </c>
      <c r="E112" s="1312"/>
      <c r="F112" s="3169" t="str">
        <f>IF(项目基本情况!F5="已注销","——","3.房地产抵押价值")</f>
        <v>3.房地产抵押价值</v>
      </c>
      <c r="G112" s="3170"/>
      <c r="H112" s="1329" t="str">
        <f>C116</f>
        <v>总价（元）</v>
      </c>
      <c r="I112" s="2534">
        <f ca="1">IF(F112="——","——",I104-I107)</f>
        <v>17958128</v>
      </c>
      <c r="J112" s="2576"/>
    </row>
    <row r="113" spans="1:27" ht="13.2">
      <c r="A113" s="3188" t="s">
        <v>2547</v>
      </c>
      <c r="B113" s="3189"/>
      <c r="C113" s="2535" t="str">
        <f>C112</f>
        <v>总额（元）</v>
      </c>
      <c r="D113" s="48">
        <f>IF(D38="同一抵押权人同一抵押物续贷",C38&amp;"（未扣减，详见特别提示）",C38)</f>
        <v>0</v>
      </c>
      <c r="E113" s="1312"/>
      <c r="F113" s="3171"/>
      <c r="G113" s="3172"/>
      <c r="H113" s="2533" t="s">
        <v>2539</v>
      </c>
      <c r="I113" s="2537">
        <f ca="1">D117</f>
        <v>408129997</v>
      </c>
      <c r="J113" s="2579"/>
    </row>
    <row r="114" spans="1:27" ht="13.2">
      <c r="A114" s="3188" t="s">
        <v>2548</v>
      </c>
      <c r="B114" s="3189"/>
      <c r="C114" s="2535" t="str">
        <f>C112</f>
        <v>总额（元）</v>
      </c>
      <c r="D114" s="48">
        <f>C39</f>
        <v>0</v>
      </c>
      <c r="E114" s="1312"/>
      <c r="F114" s="3169" t="str">
        <f>IF(项目基本情况!F5="已注销及未注销","4.抵押担保权已注销时的房地产抵押价值",IF(项目基本情况!F5="已注销","3.抵押担保权已注销时的房地产抵押价值","——"))</f>
        <v>——</v>
      </c>
      <c r="G114" s="3170"/>
      <c r="H114" s="1329" t="str">
        <f>C118</f>
        <v>总价（元）</v>
      </c>
      <c r="I114" s="2534" t="str">
        <f>IF(F114="——","——",I104-I109-I110)</f>
        <v>——</v>
      </c>
      <c r="J114" s="2576"/>
    </row>
    <row r="115" spans="1:27" ht="13.2">
      <c r="A115" s="3188" t="s">
        <v>2549</v>
      </c>
      <c r="B115" s="3189"/>
      <c r="C115" s="2535" t="str">
        <f>C112</f>
        <v>总额（元）</v>
      </c>
      <c r="D115" s="48">
        <f>C40</f>
        <v>0</v>
      </c>
      <c r="E115" s="1312"/>
      <c r="F115" s="3171"/>
      <c r="G115" s="3172"/>
      <c r="H115" s="2533" t="s">
        <v>2539</v>
      </c>
      <c r="I115" s="48" t="str">
        <f>D119</f>
        <v>——</v>
      </c>
      <c r="J115" s="2560"/>
    </row>
    <row r="116" spans="1:27" ht="13.2">
      <c r="A116" s="3186" t="str">
        <f>IF(项目基本情况!F5="已注销","——","3.房地产抵押价值")</f>
        <v>3.房地产抵押价值</v>
      </c>
      <c r="B116" s="3187"/>
      <c r="C116" s="2533" t="str">
        <f>B103</f>
        <v>总价（元）</v>
      </c>
      <c r="D116" s="2534">
        <f ca="1">IF(A116="——","——",D110-D112)</f>
        <v>17958128</v>
      </c>
      <c r="E116" s="1312"/>
      <c r="F116" s="3169" t="str">
        <f>IF(项目基本情况!G5="抵押净值",IF(OR(项目基本情况!F5="已注销",项目基本情况!F5="房地产抵押价值"),"4.抵押净值","5.抵押净值"),"——")</f>
        <v>——</v>
      </c>
      <c r="G116" s="3170"/>
      <c r="H116" s="2533" t="str">
        <f>C120</f>
        <v>总价（元）</v>
      </c>
      <c r="I116" s="2534" t="str">
        <f>IF(F116="——","——",O61)</f>
        <v>——</v>
      </c>
      <c r="J116" s="2576"/>
    </row>
    <row r="117" spans="1:27" ht="13.8" thickBot="1">
      <c r="A117" s="3186"/>
      <c r="B117" s="3187"/>
      <c r="C117" s="2533" t="s">
        <v>2546</v>
      </c>
      <c r="D117" s="48">
        <f ca="1">ROUND(IF(D116=D110,D111,IF(H19="元",D116/B125,D116*10000/B125)),0)</f>
        <v>408129997</v>
      </c>
      <c r="E117" s="1312"/>
      <c r="F117" s="3249"/>
      <c r="G117" s="3250"/>
      <c r="H117" s="2538" t="s">
        <v>2539</v>
      </c>
      <c r="I117" s="2522" t="str">
        <f ca="1">D121</f>
        <v>——</v>
      </c>
      <c r="J117" s="2560"/>
    </row>
    <row r="118" spans="1:27" ht="15.6">
      <c r="A118" s="3186" t="str">
        <f>IF(项目基本情况!F5="已注销及未注销","4.抵押担保权已注销时的房地产抵押价值",IF(项目基本情况!F5="已注销","3.抵押担保权已注销时的房地产抵押价值","——"))</f>
        <v>——</v>
      </c>
      <c r="B118" s="3187"/>
      <c r="C118" s="2533" t="str">
        <f>B103</f>
        <v>总价（元）</v>
      </c>
      <c r="D118" s="2534" t="str">
        <f>IF(A118="——","——",D110-D114-D115)</f>
        <v>——</v>
      </c>
      <c r="E118" s="1312"/>
      <c r="F118" s="3164"/>
      <c r="G118" s="3164"/>
      <c r="H118" s="3205"/>
      <c r="I118" s="3205"/>
      <c r="J118" s="2580"/>
      <c r="O118" s="28"/>
      <c r="P118" s="28"/>
    </row>
    <row r="119" spans="1:27" s="1176" customFormat="1" ht="13.2">
      <c r="A119" s="3186"/>
      <c r="B119" s="3187"/>
      <c r="C119" s="2533" t="s">
        <v>2546</v>
      </c>
      <c r="D119" s="48" t="str">
        <f>IF(A118="——","——",IF(H19="元",ROUND(D118/B125,0),ROUND(D118*10000/B125,0)))</f>
        <v>——</v>
      </c>
      <c r="E119" s="1312"/>
      <c r="F119" s="3289" t="str">
        <f>IF(B33="总价","（以上估价结果中楼面单价为总价除以建筑面积得出）","（以上估价结果中总价为楼面单价乘以建筑面积得出）")</f>
        <v>（以上估价结果中总价为楼面单价乘以建筑面积得出）</v>
      </c>
      <c r="G119" s="3289"/>
      <c r="H119" s="3289"/>
      <c r="I119" s="3289"/>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86" t="str">
        <f>IF(项目基本情况!G5="抵押净值",IF(OR(项目基本情况!F5="已注销",项目基本情况!F5="房地产抵押价值"),"4.抵押净值","5.抵押净值"),"——")</f>
        <v>——</v>
      </c>
      <c r="B120" s="3187"/>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255"/>
      <c r="B121" s="3256"/>
      <c r="C121" s="2538" t="s">
        <v>2546</v>
      </c>
      <c r="D121" s="2522" t="str">
        <f ca="1">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06" t="s">
        <v>1672</v>
      </c>
      <c r="B122" s="3207"/>
      <c r="C122" s="3207"/>
      <c r="D122" s="3207"/>
      <c r="E122" s="3207"/>
      <c r="F122" s="3207"/>
      <c r="G122" s="3207"/>
      <c r="H122" s="3207"/>
      <c r="I122" s="3207"/>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79" t="s">
        <v>2550</v>
      </c>
      <c r="B123" s="3177" t="s">
        <v>2551</v>
      </c>
      <c r="C123" s="3177" t="s">
        <v>2557</v>
      </c>
      <c r="D123" s="3184" t="s">
        <v>2552</v>
      </c>
      <c r="E123" s="3185"/>
      <c r="F123" s="3175" t="s">
        <v>2558</v>
      </c>
      <c r="G123" s="3175"/>
      <c r="H123" s="3175" t="s">
        <v>2553</v>
      </c>
      <c r="I123" s="3176"/>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79"/>
      <c r="B124" s="3178"/>
      <c r="C124" s="3178"/>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440.01</v>
      </c>
      <c r="C125" s="1307"/>
      <c r="D125" s="1198">
        <f>C36</f>
        <v>0</v>
      </c>
      <c r="E125" s="1198">
        <f>ROUND(IF(H19="元",D125/B125,D125*10000/B125),0)</f>
        <v>0</v>
      </c>
      <c r="F125" s="1198">
        <f>C37</f>
        <v>0</v>
      </c>
      <c r="G125" s="1198">
        <f>ROUND(IF(H19="元",F125/B125,F125*10000/B125),0)</f>
        <v>0</v>
      </c>
      <c r="H125" s="1198">
        <f ca="1">C34</f>
        <v>17958128</v>
      </c>
      <c r="I125" s="48">
        <f ca="1">C35</f>
        <v>408129997</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79" t="s">
        <v>2556</v>
      </c>
      <c r="B126" s="3175"/>
      <c r="C126" s="3175"/>
      <c r="D126" s="3210" t="str">
        <f>IF(H19="元",NUMBERSTRING(INT(D125),2)&amp;"元整",NUMBERSTRING(INT(D125*10000),2)&amp;"元整")</f>
        <v>零元整</v>
      </c>
      <c r="E126" s="3211"/>
      <c r="F126" s="3210" t="str">
        <f>IF(H19="元",NUMBERSTRING(INT(F125),2)&amp;"元整",NUMBERSTRING(INT(F125*10000),2)&amp;"元整")</f>
        <v>零元整</v>
      </c>
      <c r="G126" s="3211"/>
      <c r="H126" s="3210" t="str">
        <f ca="1">IF(H19="元",NUMBERSTRING(INT(H125),2)&amp;"元整",NUMBERSTRING(INT(H125*10000),2)&amp;"元整")</f>
        <v>壹仟柒佰玖拾伍万捌仟壹佰贰拾捌元整</v>
      </c>
      <c r="I126" s="3259"/>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99" t="str">
        <f>IF(项目基本情况!D5="房地产市场价值","——",MID(A112,3,LEN(A112)-2))</f>
        <v>估价师所知悉的法定优先受偿款</v>
      </c>
      <c r="B127" s="3212"/>
      <c r="C127" s="3201"/>
      <c r="D127" s="3203">
        <f>I107</f>
        <v>0</v>
      </c>
      <c r="E127" s="3212"/>
      <c r="F127" s="3212"/>
      <c r="G127" s="3212"/>
      <c r="H127" s="3212"/>
      <c r="I127" s="3200"/>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13" t="s">
        <v>2556</v>
      </c>
      <c r="B128" s="3214"/>
      <c r="C128" s="3215"/>
      <c r="D128" s="3251">
        <f>H111</f>
        <v>0</v>
      </c>
      <c r="E128" s="3252"/>
      <c r="F128" s="3252"/>
      <c r="G128" s="3252"/>
      <c r="H128" s="3252"/>
      <c r="I128" s="3253"/>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86" t="str">
        <f>IF(项目基本情况!D5="房地产市场价值","——",MID(A116,3,LEN(A116)-2))</f>
        <v>房地产抵押价值</v>
      </c>
      <c r="B129" s="3187"/>
      <c r="C129" s="3187"/>
      <c r="D129" s="3203">
        <f ca="1">I112</f>
        <v>17958128</v>
      </c>
      <c r="E129" s="3212"/>
      <c r="F129" s="3212"/>
      <c r="G129" s="3212"/>
      <c r="H129" s="3212"/>
      <c r="I129" s="3200"/>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79" t="s">
        <v>2556</v>
      </c>
      <c r="B130" s="3175"/>
      <c r="C130" s="3175"/>
      <c r="D130" s="3251">
        <f ca="1">I113</f>
        <v>408129997</v>
      </c>
      <c r="E130" s="3252"/>
      <c r="F130" s="3252"/>
      <c r="G130" s="3252"/>
      <c r="H130" s="3252"/>
      <c r="I130" s="3253"/>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86" t="str">
        <f>IF(项目基本情况!D5="房地产市场价值","——",MID(A118,3,LEN(A118)-2))</f>
        <v/>
      </c>
      <c r="B131" s="3187"/>
      <c r="C131" s="3187"/>
      <c r="D131" s="3159" t="str">
        <f>I114</f>
        <v>——</v>
      </c>
      <c r="E131" s="3160"/>
      <c r="F131" s="3160"/>
      <c r="G131" s="3160"/>
      <c r="H131" s="3160"/>
      <c r="I131" s="3161"/>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79" t="s">
        <v>2556</v>
      </c>
      <c r="B132" s="3175"/>
      <c r="C132" s="3226"/>
      <c r="D132" s="3204" t="str">
        <f>I115</f>
        <v>——</v>
      </c>
      <c r="E132" s="3204"/>
      <c r="F132" s="3204"/>
      <c r="G132" s="3204"/>
      <c r="H132" s="3204"/>
      <c r="I132" s="3204"/>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86" t="str">
        <f>IF(项目基本情况!D5="房地产市场价值","——",MID(F116,3,LEN(F116)-2))</f>
        <v/>
      </c>
      <c r="B133" s="3187"/>
      <c r="C133" s="3203"/>
      <c r="D133" s="3254" t="str">
        <f>I116</f>
        <v>——</v>
      </c>
      <c r="E133" s="3254"/>
      <c r="F133" s="3254"/>
      <c r="G133" s="3254"/>
      <c r="H133" s="3254"/>
      <c r="I133" s="3254"/>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242" t="s">
        <v>2556</v>
      </c>
      <c r="B134" s="3243"/>
      <c r="C134" s="3243"/>
      <c r="D134" s="3260">
        <f>H118</f>
        <v>0</v>
      </c>
      <c r="E134" s="3261"/>
      <c r="F134" s="3261"/>
      <c r="G134" s="3261"/>
      <c r="H134" s="3261"/>
      <c r="I134" s="3262"/>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247" t="str">
        <f>IF(B33="总价","（以上估价结果中楼面单价为总价除以建筑面积得出）","（以上估价结果中总价为楼面单价乘以建筑面积得出）")</f>
        <v>（以上估价结果中总价为楼面单价乘以建筑面积得出）</v>
      </c>
      <c r="B136" s="3247"/>
      <c r="C136" s="3247"/>
      <c r="D136" s="3247"/>
      <c r="E136" s="3247"/>
      <c r="F136" s="3247"/>
      <c r="G136" s="3247"/>
      <c r="H136" s="3247"/>
      <c r="I136" s="3247"/>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65635276</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149168</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46697524</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f>ROUND([2]基准地价修正!$T$2*[2]基准地价修正!$U$2+[2]基准地价修正!$T$3*[2]基准地价修正!$U$3,0)</f>
        <v>45315395</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1382120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9</v>
      </c>
      <c r="D8" s="1043"/>
      <c r="E8" s="111"/>
      <c r="F8" s="1042"/>
      <c r="G8" s="1362" t="s">
        <v>3038</v>
      </c>
    </row>
    <row r="9" spans="1:123" s="87" customFormat="1" ht="13.5" customHeight="1">
      <c r="A9" s="903" t="s">
        <v>763</v>
      </c>
      <c r="B9" s="93" t="s">
        <v>1689</v>
      </c>
      <c r="C9" s="1044">
        <f>ROUND(D9*E9,0)</f>
        <v>0</v>
      </c>
      <c r="D9" s="1045">
        <f>IF('数据-取费表'!B10="住宅",IF(B1="仅计算典型户型",'数据-取费表'!E5,'数据-取费表'!B5),0)</f>
        <v>440.01</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0</v>
      </c>
      <c r="D10" s="1045">
        <f>IF('数据-取费表'!B10&lt;&gt;"住宅",IF(B1="仅计算典型户型",'数据-取费表'!E5,'数据-取费表'!B5),0)</f>
        <v>0</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8">
        <f>IF(B1="仅计算典型户型",'数据-取费表'!E5,'数据-取费表'!B5)</f>
        <v>440.01</v>
      </c>
      <c r="E19" s="107">
        <f>'数据-取费表'!E15</f>
        <v>200</v>
      </c>
      <c r="F19" s="108"/>
      <c r="G19" s="1362" t="s">
        <v>3039</v>
      </c>
    </row>
    <row r="20" spans="1:123" s="87" customFormat="1" ht="13.5" customHeight="1">
      <c r="A20" s="116" t="s">
        <v>1702</v>
      </c>
      <c r="B20" s="85" t="s">
        <v>1703</v>
      </c>
      <c r="C20" s="95">
        <f>ROUND((C5+C19)*F20,0)</f>
        <v>933950</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3995078</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3956319</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38759</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7144721</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7144721</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63681085</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1927244</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1760040</v>
      </c>
      <c r="D34" s="1040"/>
      <c r="E34" s="111"/>
      <c r="F34" s="1051" t="str">
        <f>IF('数据-取费表'!B26=0,"",'数据-取费表'!E20)</f>
        <v/>
      </c>
      <c r="G34" s="91"/>
    </row>
    <row r="35" spans="1:123" ht="13.5" customHeight="1">
      <c r="A35" s="88" t="s">
        <v>1685</v>
      </c>
      <c r="B35" s="89" t="s">
        <v>1734</v>
      </c>
      <c r="C35" s="111">
        <f>ROUND(C34*F35,0)</f>
        <v>52801</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88002</v>
      </c>
      <c r="D37" s="1040">
        <f>IF(B1="仅计算典型户型",'数据-取费表'!E5,'数据-取费表'!B5)</f>
        <v>440.01</v>
      </c>
      <c r="E37" s="111">
        <f>'数据-取费表'!E23</f>
        <v>200</v>
      </c>
      <c r="F37" s="1052"/>
      <c r="G37" s="120" t="s">
        <v>1739</v>
      </c>
    </row>
    <row r="38" spans="1:123" ht="13.5" customHeight="1">
      <c r="A38" s="88" t="s">
        <v>1740</v>
      </c>
      <c r="B38" s="89" t="s">
        <v>1741</v>
      </c>
      <c r="C38" s="111">
        <f>ROUND(C34*F38,0)</f>
        <v>26401</v>
      </c>
      <c r="D38" s="111"/>
      <c r="E38" s="111"/>
      <c r="F38" s="1052">
        <f>'数据-取费表'!E24</f>
        <v>1.4999999999999999E-2</v>
      </c>
      <c r="G38" s="91" t="s">
        <v>1735</v>
      </c>
    </row>
    <row r="39" spans="1:123" s="87" customFormat="1" ht="13.5" customHeight="1">
      <c r="A39" s="116" t="s">
        <v>1700</v>
      </c>
      <c r="B39" s="85" t="s">
        <v>1703</v>
      </c>
      <c r="C39" s="95">
        <f>ROUND(C33*F20,0)</f>
        <v>38545</v>
      </c>
      <c r="D39" s="95"/>
      <c r="E39" s="95"/>
      <c r="F39" s="2599">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9">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81581</v>
      </c>
      <c r="D41" s="97">
        <f ca="1">C44</f>
        <v>8.0000000000000004E-4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79981</v>
      </c>
      <c r="D42" s="100"/>
      <c r="E42" s="100"/>
      <c r="F42" s="101"/>
      <c r="G42" s="3292" t="s">
        <v>1745</v>
      </c>
    </row>
    <row r="43" spans="1:123" ht="13.5" customHeight="1">
      <c r="A43" s="88" t="s">
        <v>1685</v>
      </c>
      <c r="B43" s="89" t="s">
        <v>1714</v>
      </c>
      <c r="C43" s="100">
        <f ca="1">ROUND(IF('数据-取费表'!B24&lt;=1,C39*F22*'数据-取费表'!B23/2,C39*(POWER((1+F22),'数据-取费表'!B23/2)-1)),0)</f>
        <v>1600</v>
      </c>
      <c r="D43" s="100"/>
      <c r="E43" s="100"/>
      <c r="F43" s="101"/>
      <c r="G43" s="3293"/>
    </row>
    <row r="44" spans="1:123" ht="13.5" customHeight="1">
      <c r="A44" s="88" t="s">
        <v>1687</v>
      </c>
      <c r="B44" s="89" t="s">
        <v>1716</v>
      </c>
      <c r="C44" s="100">
        <f ca="1">ROUND(IF('数据-取费表'!B24&lt;=1,C40*F22*'数据-取费表'!B23/2,C40*(POWER((1+F22),'数据-取费表'!B23/2)-1)),4)</f>
        <v>8.0000000000000004E-4</v>
      </c>
      <c r="D44" s="100"/>
      <c r="E44" s="100"/>
      <c r="F44" s="101"/>
      <c r="G44" s="3294"/>
    </row>
    <row r="45" spans="1:123" s="87" customFormat="1" ht="13.5" customHeight="1">
      <c r="A45" s="116" t="s">
        <v>1709</v>
      </c>
      <c r="B45" s="106" t="s">
        <v>1721</v>
      </c>
      <c r="C45" s="107">
        <f>C46</f>
        <v>294868</v>
      </c>
      <c r="D45" s="97">
        <f>C47</f>
        <v>3.0000000000000001E-3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294868</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2537911</v>
      </c>
      <c r="D49" s="95"/>
      <c r="E49" s="95"/>
      <c r="F49" s="122"/>
      <c r="G49" s="96" t="s">
        <v>1753</v>
      </c>
    </row>
    <row r="50" spans="1:123" s="118" customFormat="1" ht="24">
      <c r="A50" s="904" t="s">
        <v>1754</v>
      </c>
      <c r="B50" s="85" t="s">
        <v>1755</v>
      </c>
      <c r="C50" s="95"/>
      <c r="D50" s="95"/>
      <c r="E50" s="95"/>
      <c r="F50" s="122">
        <f>IF('数据-取费表'!B26=0,'数据-取费表'!E20,1)</f>
        <v>0.77</v>
      </c>
      <c r="G50" s="109" t="s">
        <v>1756</v>
      </c>
    </row>
    <row r="51" spans="1:123" ht="16.5" customHeight="1">
      <c r="A51" s="904" t="s">
        <v>1757</v>
      </c>
      <c r="B51" s="85" t="s">
        <v>1758</v>
      </c>
      <c r="C51" s="95">
        <f ca="1">ROUND(C49*F50,0)</f>
        <v>1954191</v>
      </c>
      <c r="D51" s="95"/>
      <c r="E51" s="95"/>
      <c r="F51" s="122"/>
      <c r="G51" s="96" t="s">
        <v>1759</v>
      </c>
    </row>
    <row r="52" spans="1:123" s="84" customFormat="1" ht="16.8" thickBot="1">
      <c r="A52" s="123" t="s">
        <v>1760</v>
      </c>
      <c r="B52" s="124"/>
      <c r="C52" s="125">
        <f ca="1">C31+C51</f>
        <v>65635276</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0.03</v>
      </c>
    </row>
    <row r="57" spans="1:123">
      <c r="B57" s="131" t="s">
        <v>1763</v>
      </c>
      <c r="C57" s="133">
        <f ca="1">1-C56</f>
        <v>0.97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1963690</v>
      </c>
      <c r="C2" s="1259" t="str">
        <f>'数据-取费表'!B3</f>
        <v>元</v>
      </c>
      <c r="D2" s="839"/>
      <c r="E2" s="839"/>
      <c r="F2" s="839"/>
      <c r="G2" s="839"/>
      <c r="H2" s="839"/>
      <c r="I2" s="839"/>
      <c r="J2" s="839"/>
      <c r="K2" s="839"/>
    </row>
    <row r="3" spans="1:33" s="135" customFormat="1" ht="18" customHeight="1" thickBot="1">
      <c r="A3" s="79" t="s">
        <v>1049</v>
      </c>
      <c r="B3" s="80">
        <f ca="1">ROUND(C32/IF(C1="仅计算典型户型",'数据-取费表'!E5,'数据-取费表'!B5),0)</f>
        <v>23653</v>
      </c>
      <c r="C3" s="1259" t="s">
        <v>1050</v>
      </c>
      <c r="D3" s="839"/>
      <c r="E3" s="839"/>
      <c r="F3" s="839"/>
      <c r="G3" s="839"/>
      <c r="H3" s="839"/>
      <c r="I3" s="839"/>
      <c r="J3" s="839"/>
      <c r="K3" s="839"/>
    </row>
    <row r="4" spans="1:33" s="139" customFormat="1" ht="16.5" customHeight="1">
      <c r="A4" s="136" t="s">
        <v>1051</v>
      </c>
      <c r="B4" s="137"/>
      <c r="C4" s="1002">
        <f>SUM(C8:K8)</f>
        <v>2905700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83.02</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2905700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332080</v>
      </c>
      <c r="D11" s="160"/>
      <c r="E11" s="30"/>
      <c r="F11" s="161">
        <f>1-'数据-取费表'!E20</f>
        <v>0.22999999999999998</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9962</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3819</v>
      </c>
      <c r="D14" s="160">
        <f>IF(C1="仅计算典型户型",'数据-取费表'!E5,'数据-取费表'!B5)</f>
        <v>83.02</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4981</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350842</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83.02</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-9</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83.02</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350833</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7017</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13366</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55682</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55682</v>
      </c>
      <c r="D30" s="189"/>
      <c r="E30" s="202"/>
      <c r="F30" s="199"/>
      <c r="G30" s="143"/>
      <c r="H30" s="166"/>
      <c r="I30" s="166"/>
      <c r="J30" s="166"/>
      <c r="K30" s="167"/>
    </row>
    <row r="31" spans="1:33" s="178" customFormat="1" ht="13.5" customHeight="1" thickBot="1">
      <c r="A31" s="1261" t="s">
        <v>1107</v>
      </c>
      <c r="B31" s="173" t="s">
        <v>1108</v>
      </c>
      <c r="C31" s="203">
        <f>ROUND(C4*F31/(1+'数据-取费表'!F30),0)</f>
        <v>154971</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1963690</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zoomScale="70" zoomScaleNormal="60" zoomScaleSheetLayoutView="70" workbookViewId="0">
      <selection activeCell="C1" sqref="C1"/>
    </sheetView>
  </sheetViews>
  <sheetFormatPr defaultColWidth="9" defaultRowHeight="13.8"/>
  <cols>
    <col min="1" max="1" width="10.44140625" style="1502" customWidth="1"/>
    <col min="2" max="2" width="15.77734375" style="1502" customWidth="1"/>
    <col min="3" max="3" width="17.21875" style="1502" customWidth="1"/>
    <col min="4" max="4" width="12.21875" style="1502" customWidth="1"/>
    <col min="5" max="5" width="17.33203125" style="1502" customWidth="1"/>
    <col min="6" max="6" width="12.21875" style="1502" customWidth="1"/>
    <col min="7" max="7" width="18.33203125" style="1502" customWidth="1"/>
    <col min="8" max="8" width="12.21875" style="1502" customWidth="1"/>
    <col min="9" max="9" width="18.2187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3092</v>
      </c>
      <c r="D1" s="1474"/>
      <c r="E1" s="1477" t="s">
        <v>2503</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3386884</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40796</v>
      </c>
      <c r="C3" s="1496" t="s">
        <v>2004</v>
      </c>
      <c r="D3" s="1496">
        <f>IF(C1="仅计算典型户型",'数据-取费表'!E5,'数据-取费表'!B5)</f>
        <v>83.02</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26" t="s">
        <v>3066</v>
      </c>
      <c r="D5" s="3301"/>
      <c r="E5" s="3324" t="s">
        <v>3066</v>
      </c>
      <c r="F5" s="3325"/>
      <c r="G5" s="3300" t="s">
        <v>3068</v>
      </c>
      <c r="H5" s="3301"/>
      <c r="I5" s="3326" t="s">
        <v>3087</v>
      </c>
      <c r="J5" s="3301"/>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44883</v>
      </c>
      <c r="D7" s="1511">
        <v>100</v>
      </c>
      <c r="E7" s="1512">
        <f>C7</f>
        <v>44883</v>
      </c>
      <c r="F7" s="1513">
        <f>SUMIF(59:59,YEAR(E7)&amp;"-"&amp;MONTH(E7),60:60)</f>
        <v>100</v>
      </c>
      <c r="G7" s="1781">
        <f>E7</f>
        <v>44883</v>
      </c>
      <c r="H7" s="1511">
        <f>SUMIF(59:59,YEAR(G7)&amp;"-"&amp;MONTH(G7),60:60)</f>
        <v>100</v>
      </c>
      <c r="I7" s="1781">
        <f>G7</f>
        <v>44883</v>
      </c>
      <c r="J7" s="1511">
        <f>SUMIF(59:59,YEAR(I7)&amp;"-"&amp;MONTH(I7),60:60)</f>
        <v>100</v>
      </c>
      <c r="K7" s="1782"/>
      <c r="L7" s="2693"/>
      <c r="P7" s="3302" t="s">
        <v>2019</v>
      </c>
      <c r="Q7" s="3327"/>
      <c r="R7" s="1515" t="s">
        <v>25</v>
      </c>
      <c r="S7" s="1516">
        <f t="shared" ref="S7:S15" si="0">F7</f>
        <v>100</v>
      </c>
      <c r="T7" s="1515" t="s">
        <v>25</v>
      </c>
      <c r="U7" s="1516">
        <f t="shared" ref="U7:U15" si="1">H7</f>
        <v>100</v>
      </c>
      <c r="V7" s="1515" t="s">
        <v>25</v>
      </c>
      <c r="W7" s="1516">
        <f t="shared" ref="W7:W15" si="2">J7</f>
        <v>100</v>
      </c>
      <c r="X7" s="1517"/>
      <c r="Y7" s="3302" t="s">
        <v>2019</v>
      </c>
      <c r="Z7" s="3303"/>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02" t="s">
        <v>2022</v>
      </c>
      <c r="Q8" s="3303"/>
      <c r="R8" s="1515" t="s">
        <v>25</v>
      </c>
      <c r="S8" s="1516">
        <f t="shared" si="0"/>
        <v>100</v>
      </c>
      <c r="T8" s="1515" t="s">
        <v>25</v>
      </c>
      <c r="U8" s="1516">
        <f t="shared" si="1"/>
        <v>100</v>
      </c>
      <c r="V8" s="1515" t="s">
        <v>25</v>
      </c>
      <c r="W8" s="1516">
        <f t="shared" si="2"/>
        <v>100</v>
      </c>
      <c r="X8" s="1517"/>
      <c r="Y8" s="3302" t="s">
        <v>2022</v>
      </c>
      <c r="Z8" s="3303"/>
      <c r="AA8" s="1518">
        <f t="shared" ref="AA8:AA47" si="3">D8/F8</f>
        <v>1</v>
      </c>
      <c r="AB8" s="1518">
        <f t="shared" ref="AB8:AB47" si="4">D8/H8</f>
        <v>1</v>
      </c>
      <c r="AC8" s="1518">
        <f t="shared" ref="AC8:AC47" si="5">D8/J8</f>
        <v>1</v>
      </c>
    </row>
    <row r="9" spans="1:29" s="1519" customFormat="1" ht="14.4">
      <c r="A9" s="1472" t="s">
        <v>2023</v>
      </c>
      <c r="B9" s="1522" t="s">
        <v>2024</v>
      </c>
      <c r="C9" s="3059" t="s">
        <v>3083</v>
      </c>
      <c r="D9" s="1524">
        <v>100</v>
      </c>
      <c r="E9" s="1526" t="s">
        <v>3074</v>
      </c>
      <c r="F9" s="1524">
        <f>SUMIF(64:64,E9,65:65)-SUMIF(64:64,C9,65:65)+100</f>
        <v>100</v>
      </c>
      <c r="G9" s="1526" t="s">
        <v>3057</v>
      </c>
      <c r="H9" s="1524">
        <f>SUMIF(64:64,G9,65:65)-SUMIF(64:64,C9,65:65)+100</f>
        <v>98</v>
      </c>
      <c r="I9" s="1526" t="s">
        <v>3057</v>
      </c>
      <c r="J9" s="1524">
        <f>SUMIF(64:64,I9,65:65)-SUMIF(64:64,C9,65:65)+100</f>
        <v>98</v>
      </c>
      <c r="K9" s="1782"/>
      <c r="L9" s="2693"/>
      <c r="P9" s="3299" t="s">
        <v>2025</v>
      </c>
      <c r="Q9" s="1471" t="str">
        <f t="shared" ref="Q9:Q15" si="6">B9</f>
        <v>用途</v>
      </c>
      <c r="R9" s="1515" t="s">
        <v>25</v>
      </c>
      <c r="S9" s="1516">
        <f t="shared" si="0"/>
        <v>100</v>
      </c>
      <c r="T9" s="1515" t="s">
        <v>25</v>
      </c>
      <c r="U9" s="1516">
        <f t="shared" si="1"/>
        <v>98</v>
      </c>
      <c r="V9" s="1515" t="s">
        <v>25</v>
      </c>
      <c r="W9" s="1516">
        <f t="shared" si="2"/>
        <v>98</v>
      </c>
      <c r="X9" s="1517"/>
      <c r="Y9" s="3225" t="s">
        <v>2026</v>
      </c>
      <c r="Z9" s="1518" t="str">
        <f t="shared" ref="Z9:Z15" si="7">Q9</f>
        <v>用途</v>
      </c>
      <c r="AA9" s="1518">
        <f t="shared" si="3"/>
        <v>1</v>
      </c>
      <c r="AB9" s="1518">
        <f t="shared" si="4"/>
        <v>1.0204081632653061</v>
      </c>
      <c r="AC9" s="1518">
        <f t="shared" si="5"/>
        <v>1.0204081632653061</v>
      </c>
    </row>
    <row r="10" spans="1:29" s="1533" customFormat="1" ht="28.8">
      <c r="A10" s="1527"/>
      <c r="B10" s="1528" t="s">
        <v>2027</v>
      </c>
      <c r="C10" s="1529" t="s">
        <v>3086</v>
      </c>
      <c r="D10" s="1530">
        <v>100</v>
      </c>
      <c r="E10" s="1529" t="s">
        <v>3086</v>
      </c>
      <c r="F10" s="1530">
        <f>SUMIF(66:66,E10,67:67)-SUMIF(66:66,C10,67:67)+100</f>
        <v>100</v>
      </c>
      <c r="G10" s="1529" t="s">
        <v>3085</v>
      </c>
      <c r="H10" s="1530">
        <f>SUMIF(66:66,G10,67:67)-SUMIF(66:66,C10,67:67)+100</f>
        <v>99</v>
      </c>
      <c r="I10" s="1529" t="s">
        <v>3085</v>
      </c>
      <c r="J10" s="1530">
        <f>SUMIF(66:66,I10,67:67)-SUMIF(66:66,C10,67:67)+100</f>
        <v>99</v>
      </c>
      <c r="K10" s="1806">
        <v>1</v>
      </c>
      <c r="L10" s="2694"/>
      <c r="P10" s="3299"/>
      <c r="Q10" s="1471" t="str">
        <f t="shared" si="6"/>
        <v>土地使用年限（年）</v>
      </c>
      <c r="R10" s="1515" t="s">
        <v>25</v>
      </c>
      <c r="S10" s="1516">
        <f t="shared" si="0"/>
        <v>100</v>
      </c>
      <c r="T10" s="1515" t="s">
        <v>25</v>
      </c>
      <c r="U10" s="1516">
        <f t="shared" si="1"/>
        <v>99</v>
      </c>
      <c r="V10" s="1515" t="s">
        <v>25</v>
      </c>
      <c r="W10" s="1516">
        <f t="shared" si="2"/>
        <v>99</v>
      </c>
      <c r="X10" s="1517"/>
      <c r="Y10" s="3225"/>
      <c r="Z10" s="1518" t="str">
        <f t="shared" si="7"/>
        <v>土地使用年限（年）</v>
      </c>
      <c r="AA10" s="1518">
        <f t="shared" si="3"/>
        <v>1</v>
      </c>
      <c r="AB10" s="1518">
        <f t="shared" si="4"/>
        <v>1.0101010101010102</v>
      </c>
      <c r="AC10" s="1518">
        <f t="shared" si="5"/>
        <v>1.0101010101010102</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299"/>
      <c r="Q11" s="1471" t="str">
        <f t="shared" si="6"/>
        <v>容积率</v>
      </c>
      <c r="R11" s="1515" t="s">
        <v>25</v>
      </c>
      <c r="S11" s="1516">
        <f t="shared" si="0"/>
        <v>100</v>
      </c>
      <c r="T11" s="1515" t="s">
        <v>25</v>
      </c>
      <c r="U11" s="1516">
        <f t="shared" si="1"/>
        <v>100</v>
      </c>
      <c r="V11" s="1515" t="s">
        <v>25</v>
      </c>
      <c r="W11" s="1516">
        <f t="shared" si="2"/>
        <v>100</v>
      </c>
      <c r="X11" s="1517"/>
      <c r="Y11" s="3225"/>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299"/>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69">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28" t="s">
        <v>2030</v>
      </c>
      <c r="Q15" s="1453" t="str">
        <f t="shared" si="6"/>
        <v>办公集聚程度</v>
      </c>
      <c r="R15" s="1557" t="s">
        <v>25</v>
      </c>
      <c r="S15" s="1558">
        <f t="shared" si="0"/>
        <v>100</v>
      </c>
      <c r="T15" s="1557" t="s">
        <v>25</v>
      </c>
      <c r="U15" s="1558">
        <f t="shared" si="1"/>
        <v>100</v>
      </c>
      <c r="V15" s="1557" t="s">
        <v>25</v>
      </c>
      <c r="W15" s="1558">
        <f t="shared" si="2"/>
        <v>100</v>
      </c>
      <c r="X15" s="1501"/>
      <c r="Y15" s="3328" t="s">
        <v>2030</v>
      </c>
      <c r="Z15" s="1559" t="str">
        <f t="shared" si="7"/>
        <v>办公集聚程度</v>
      </c>
      <c r="AA15" s="1559">
        <f t="shared" si="3"/>
        <v>1</v>
      </c>
      <c r="AB15" s="1559">
        <f t="shared" si="4"/>
        <v>1</v>
      </c>
      <c r="AC15" s="1559">
        <f t="shared" si="5"/>
        <v>1</v>
      </c>
    </row>
    <row r="16" spans="1:29" ht="15">
      <c r="A16" s="1534"/>
      <c r="B16" s="2236"/>
      <c r="C16" s="1790" t="s">
        <v>30</v>
      </c>
      <c r="D16" s="1562"/>
      <c r="E16" s="1790" t="s">
        <v>30</v>
      </c>
      <c r="F16" s="1562"/>
      <c r="G16" s="1790" t="s">
        <v>30</v>
      </c>
      <c r="H16" s="1566"/>
      <c r="I16" s="1790" t="s">
        <v>30</v>
      </c>
      <c r="J16" s="1562"/>
      <c r="K16" s="2216"/>
      <c r="L16" s="2696"/>
      <c r="P16" s="3329"/>
      <c r="Q16" s="1453"/>
      <c r="R16" s="1557"/>
      <c r="S16" s="1558"/>
      <c r="T16" s="1557"/>
      <c r="U16" s="1558"/>
      <c r="V16" s="1557"/>
      <c r="W16" s="1558"/>
      <c r="X16" s="1501"/>
      <c r="Y16" s="3329"/>
      <c r="Z16" s="1559"/>
      <c r="AA16" s="1559">
        <v>1</v>
      </c>
      <c r="AB16" s="1559">
        <v>1</v>
      </c>
      <c r="AC16" s="1559">
        <v>1</v>
      </c>
    </row>
    <row r="17" spans="1:29" ht="69">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29"/>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87"/>
      <c r="C18" s="1790" t="s">
        <v>30</v>
      </c>
      <c r="D18" s="1566"/>
      <c r="E18" s="1790" t="s">
        <v>30</v>
      </c>
      <c r="F18" s="1566"/>
      <c r="G18" s="1790" t="s">
        <v>30</v>
      </c>
      <c r="H18" s="1562"/>
      <c r="I18" s="1790" t="s">
        <v>30</v>
      </c>
      <c r="J18" s="1562"/>
      <c r="K18" s="2216"/>
      <c r="L18" s="2696"/>
      <c r="P18" s="3329"/>
      <c r="Q18" s="1453"/>
      <c r="R18" s="1557"/>
      <c r="S18" s="1558"/>
      <c r="T18" s="1557"/>
      <c r="U18" s="1558"/>
      <c r="V18" s="1557"/>
      <c r="W18" s="1558"/>
      <c r="X18" s="1501"/>
      <c r="Y18" s="3329"/>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29"/>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87"/>
      <c r="C20" s="1790" t="s">
        <v>30</v>
      </c>
      <c r="D20" s="1562"/>
      <c r="E20" s="1790" t="s">
        <v>30</v>
      </c>
      <c r="F20" s="1562"/>
      <c r="G20" s="1790" t="s">
        <v>30</v>
      </c>
      <c r="H20" s="1562"/>
      <c r="I20" s="1790" t="s">
        <v>30</v>
      </c>
      <c r="J20" s="1562"/>
      <c r="K20" s="2216"/>
      <c r="L20" s="2696"/>
      <c r="P20" s="3329"/>
      <c r="Q20" s="1453"/>
      <c r="R20" s="1557"/>
      <c r="S20" s="1558"/>
      <c r="T20" s="1557"/>
      <c r="U20" s="1558"/>
      <c r="V20" s="1557"/>
      <c r="W20" s="1558"/>
      <c r="X20" s="1501"/>
      <c r="Y20" s="3329"/>
      <c r="Z20" s="1559"/>
      <c r="AA20" s="1559">
        <v>1</v>
      </c>
      <c r="AB20" s="1559">
        <v>1</v>
      </c>
      <c r="AC20" s="1559">
        <v>1</v>
      </c>
    </row>
    <row r="21" spans="1:29" ht="27.6">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29"/>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2238"/>
      <c r="C22" s="1794" t="s">
        <v>3059</v>
      </c>
      <c r="D22" s="1562"/>
      <c r="E22" s="1794" t="s">
        <v>3059</v>
      </c>
      <c r="F22" s="1562"/>
      <c r="G22" s="1794" t="s">
        <v>3059</v>
      </c>
      <c r="H22" s="1562"/>
      <c r="I22" s="1794" t="s">
        <v>3059</v>
      </c>
      <c r="J22" s="1562"/>
      <c r="K22" s="2217"/>
      <c r="L22" s="2696"/>
      <c r="P22" s="3329"/>
      <c r="Q22" s="1453"/>
      <c r="R22" s="1557"/>
      <c r="S22" s="1558"/>
      <c r="T22" s="1557"/>
      <c r="U22" s="1558"/>
      <c r="V22" s="1557"/>
      <c r="W22" s="1558"/>
      <c r="X22" s="1501"/>
      <c r="Y22" s="3329"/>
      <c r="Z22" s="1559"/>
      <c r="AA22" s="1559">
        <v>1</v>
      </c>
      <c r="AB22" s="1559">
        <v>1</v>
      </c>
      <c r="AC22" s="1559">
        <v>1</v>
      </c>
    </row>
    <row r="23" spans="1:29" ht="41.4">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29"/>
      <c r="Q23" s="1453" t="str">
        <f>B23</f>
        <v>环境质量</v>
      </c>
      <c r="R23" s="1557" t="s">
        <v>25</v>
      </c>
      <c r="S23" s="1558">
        <f>F23</f>
        <v>100</v>
      </c>
      <c r="T23" s="1557" t="s">
        <v>25</v>
      </c>
      <c r="U23" s="1558">
        <f>H23</f>
        <v>100</v>
      </c>
      <c r="V23" s="1557" t="s">
        <v>25</v>
      </c>
      <c r="W23" s="1558">
        <f>J23</f>
        <v>100</v>
      </c>
      <c r="X23" s="1501"/>
      <c r="Y23" s="3329"/>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29"/>
      <c r="Q24" s="1453"/>
      <c r="R24" s="1557"/>
      <c r="S24" s="1558"/>
      <c r="T24" s="1557"/>
      <c r="U24" s="1558"/>
      <c r="V24" s="1557"/>
      <c r="W24" s="1558"/>
      <c r="X24" s="1501"/>
      <c r="Y24" s="3329"/>
      <c r="Z24" s="1559"/>
      <c r="AA24" s="1559">
        <v>1</v>
      </c>
      <c r="AB24" s="1559">
        <v>1</v>
      </c>
      <c r="AC24" s="1559">
        <v>1</v>
      </c>
    </row>
    <row r="25" spans="1:29" ht="28.8" hidden="1">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29"/>
      <c r="Q25" s="1453" t="str">
        <f>B25</f>
        <v>毗邻道路的类型与等级</v>
      </c>
      <c r="R25" s="1557" t="s">
        <v>25</v>
      </c>
      <c r="S25" s="1558">
        <f>F25</f>
        <v>100</v>
      </c>
      <c r="T25" s="1557" t="s">
        <v>25</v>
      </c>
      <c r="U25" s="1558">
        <f>H25</f>
        <v>100</v>
      </c>
      <c r="V25" s="1557" t="s">
        <v>25</v>
      </c>
      <c r="W25" s="1558">
        <f>J25</f>
        <v>100</v>
      </c>
      <c r="X25" s="1501"/>
      <c r="Y25" s="3329"/>
      <c r="Z25" s="1559" t="str">
        <f>Q25</f>
        <v>毗邻道路的类型与等级</v>
      </c>
      <c r="AA25" s="1559">
        <f t="shared" si="3"/>
        <v>1</v>
      </c>
      <c r="AB25" s="1559">
        <f t="shared" si="4"/>
        <v>1</v>
      </c>
      <c r="AC25" s="1559">
        <f t="shared" si="5"/>
        <v>1</v>
      </c>
    </row>
    <row r="26" spans="1:29" ht="15" hidden="1">
      <c r="A26" s="1503"/>
      <c r="B26" s="1587"/>
      <c r="C26" s="1798"/>
      <c r="D26" s="1543"/>
      <c r="E26" s="1805"/>
      <c r="F26" s="1543"/>
      <c r="G26" s="1798"/>
      <c r="H26" s="1543"/>
      <c r="I26" s="1805"/>
      <c r="J26" s="1543"/>
      <c r="K26" s="2216"/>
      <c r="L26" s="2696"/>
      <c r="P26" s="3329"/>
      <c r="Q26" s="1453"/>
      <c r="R26" s="1557"/>
      <c r="S26" s="1558"/>
      <c r="T26" s="1557"/>
      <c r="U26" s="1558"/>
      <c r="V26" s="1557"/>
      <c r="W26" s="1558"/>
      <c r="X26" s="1501"/>
      <c r="Y26" s="3329"/>
      <c r="Z26" s="1559"/>
      <c r="AA26" s="1559">
        <v>1</v>
      </c>
      <c r="AB26" s="1559">
        <v>1</v>
      </c>
      <c r="AC26" s="1559">
        <v>1</v>
      </c>
    </row>
    <row r="27" spans="1:29" ht="15.6" thickBot="1">
      <c r="A27" s="1534"/>
      <c r="B27" s="1587" t="s">
        <v>2121</v>
      </c>
      <c r="C27" s="1798" t="s">
        <v>3061</v>
      </c>
      <c r="D27" s="1543">
        <v>100</v>
      </c>
      <c r="E27" s="1805" t="s">
        <v>3061</v>
      </c>
      <c r="F27" s="1543">
        <f>SUMIF(89:89,E27,90:90)-SUMIF(89:89,C27,90:90)+100</f>
        <v>100</v>
      </c>
      <c r="G27" s="1798" t="s">
        <v>3088</v>
      </c>
      <c r="H27" s="1543">
        <f>SUMIF(89:89,G27,90:90)-SUMIF(89:89,C27,90:90)+100</f>
        <v>98</v>
      </c>
      <c r="I27" s="1805" t="s">
        <v>3061</v>
      </c>
      <c r="J27" s="1543">
        <f>SUMIF(89:89,I27,90:90)-SUMIF(89:89,C27,90:90)+100</f>
        <v>100</v>
      </c>
      <c r="K27" s="1806">
        <v>2</v>
      </c>
      <c r="L27" s="2696"/>
      <c r="P27" s="3329"/>
      <c r="Q27" s="1453" t="str">
        <f t="shared" ref="Q27:Q47" si="11">B27</f>
        <v>楼层</v>
      </c>
      <c r="R27" s="1557" t="s">
        <v>25</v>
      </c>
      <c r="S27" s="1558">
        <f>F27</f>
        <v>100</v>
      </c>
      <c r="T27" s="1557" t="s">
        <v>25</v>
      </c>
      <c r="U27" s="1558">
        <f>H27</f>
        <v>98</v>
      </c>
      <c r="V27" s="1557" t="s">
        <v>25</v>
      </c>
      <c r="W27" s="1558">
        <f>J27</f>
        <v>100</v>
      </c>
      <c r="X27" s="1501"/>
      <c r="Y27" s="3329"/>
      <c r="Z27" s="1559" t="str">
        <f>Q27</f>
        <v>楼层</v>
      </c>
      <c r="AA27" s="1559">
        <f t="shared" si="3"/>
        <v>1</v>
      </c>
      <c r="AB27" s="1559">
        <f t="shared" si="4"/>
        <v>1.0204081632653061</v>
      </c>
      <c r="AC27" s="1559">
        <f t="shared" si="5"/>
        <v>1</v>
      </c>
    </row>
    <row r="28" spans="1:29" s="1519" customFormat="1" ht="15" hidden="1">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29"/>
      <c r="Q28" s="1471" t="str">
        <f t="shared" si="11"/>
        <v>朝向</v>
      </c>
      <c r="R28" s="1515" t="s">
        <v>25</v>
      </c>
      <c r="S28" s="1516">
        <f>F28</f>
        <v>100</v>
      </c>
      <c r="T28" s="1515" t="s">
        <v>25</v>
      </c>
      <c r="U28" s="1516">
        <f>H28</f>
        <v>100</v>
      </c>
      <c r="V28" s="1515" t="s">
        <v>25</v>
      </c>
      <c r="W28" s="1516">
        <f>J28</f>
        <v>100</v>
      </c>
      <c r="X28" s="1517"/>
      <c r="Y28" s="3329"/>
      <c r="Z28" s="1518" t="str">
        <f>Q28</f>
        <v>朝向</v>
      </c>
      <c r="AA28" s="1559">
        <f>D28/F28</f>
        <v>1</v>
      </c>
      <c r="AB28" s="1559">
        <f>D28/H28</f>
        <v>1</v>
      </c>
      <c r="AC28" s="1559">
        <f>D28/J28</f>
        <v>1</v>
      </c>
    </row>
    <row r="29" spans="1:29" ht="15" hidden="1">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29"/>
      <c r="Q29" s="1453">
        <f t="shared" si="11"/>
        <v>111</v>
      </c>
      <c r="R29" s="1557" t="s">
        <v>25</v>
      </c>
      <c r="S29" s="1558">
        <f t="shared" ref="S29:S47" si="12">F29</f>
        <v>100</v>
      </c>
      <c r="T29" s="1557" t="s">
        <v>25</v>
      </c>
      <c r="U29" s="1558">
        <f t="shared" ref="U29:U47" si="13">H29</f>
        <v>100</v>
      </c>
      <c r="V29" s="1557" t="s">
        <v>25</v>
      </c>
      <c r="W29" s="1558">
        <f t="shared" ref="W29:W47" si="14">J29</f>
        <v>100</v>
      </c>
      <c r="X29" s="1501"/>
      <c r="Y29" s="3329"/>
      <c r="Z29" s="1559">
        <f t="shared" ref="Z29:Z47" si="15">Q29</f>
        <v>111</v>
      </c>
      <c r="AA29" s="1559">
        <f t="shared" si="3"/>
        <v>1</v>
      </c>
      <c r="AB29" s="1559">
        <f t="shared" si="4"/>
        <v>1</v>
      </c>
      <c r="AC29" s="1559">
        <f t="shared" si="5"/>
        <v>1</v>
      </c>
    </row>
    <row r="30" spans="1:29" ht="15" hidden="1">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29"/>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 hidden="1">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29"/>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6" hidden="1"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29"/>
      <c r="Q32" s="1453">
        <f t="shared" si="11"/>
        <v>111</v>
      </c>
      <c r="R32" s="1557" t="s">
        <v>25</v>
      </c>
      <c r="S32" s="1558">
        <f t="shared" si="12"/>
        <v>100</v>
      </c>
      <c r="T32" s="1557" t="s">
        <v>25</v>
      </c>
      <c r="U32" s="1558">
        <f t="shared" si="13"/>
        <v>100</v>
      </c>
      <c r="V32" s="1557" t="s">
        <v>25</v>
      </c>
      <c r="W32" s="1558">
        <f t="shared" si="14"/>
        <v>100</v>
      </c>
      <c r="X32" s="1501"/>
      <c r="Y32" s="3329"/>
      <c r="Z32" s="1559">
        <f t="shared" si="15"/>
        <v>111</v>
      </c>
      <c r="AA32" s="1559">
        <f t="shared" si="3"/>
        <v>1</v>
      </c>
      <c r="AB32" s="1559">
        <f t="shared" si="4"/>
        <v>1</v>
      </c>
      <c r="AC32" s="1559">
        <f t="shared" si="5"/>
        <v>1</v>
      </c>
    </row>
    <row r="33" spans="1:29" ht="15">
      <c r="A33" s="1549" t="s">
        <v>2034</v>
      </c>
      <c r="B33" s="1522" t="s">
        <v>2150</v>
      </c>
      <c r="C33" s="1591" t="s">
        <v>3064</v>
      </c>
      <c r="D33" s="1592">
        <v>100</v>
      </c>
      <c r="E33" s="1591" t="s">
        <v>3064</v>
      </c>
      <c r="F33" s="1585">
        <f>SUMIF(101:101,E33,102:102)-SUMIF(101:101,C33,102:102)+100</f>
        <v>100</v>
      </c>
      <c r="G33" s="1591" t="s">
        <v>3064</v>
      </c>
      <c r="H33" s="1543">
        <f>SUMIF(101:101,G33,102:102)-SUMIF(101:101,C33,102:102)+100</f>
        <v>100</v>
      </c>
      <c r="I33" s="1591" t="s">
        <v>3064</v>
      </c>
      <c r="J33" s="1592">
        <f>SUMIF(101:101,I33,102:102)-SUMIF(101:101,C33,102:102)+100</f>
        <v>100</v>
      </c>
      <c r="K33" s="1806">
        <v>1</v>
      </c>
      <c r="L33" s="2696"/>
      <c r="P33" s="3330" t="s">
        <v>2036</v>
      </c>
      <c r="Q33" s="1453" t="str">
        <f t="shared" si="11"/>
        <v>建筑类型</v>
      </c>
      <c r="R33" s="1557" t="s">
        <v>25</v>
      </c>
      <c r="S33" s="1558">
        <f t="shared" si="12"/>
        <v>100</v>
      </c>
      <c r="T33" s="1557" t="s">
        <v>25</v>
      </c>
      <c r="U33" s="1558">
        <f t="shared" si="13"/>
        <v>100</v>
      </c>
      <c r="V33" s="1557" t="s">
        <v>25</v>
      </c>
      <c r="W33" s="1558">
        <f t="shared" si="14"/>
        <v>100</v>
      </c>
      <c r="X33" s="1501"/>
      <c r="Y33" s="3331" t="s">
        <v>2036</v>
      </c>
      <c r="Z33" s="1559" t="str">
        <f t="shared" si="15"/>
        <v>建筑类型</v>
      </c>
      <c r="AA33" s="1559">
        <f t="shared" si="3"/>
        <v>1</v>
      </c>
      <c r="AB33" s="1559">
        <f t="shared" si="4"/>
        <v>1</v>
      </c>
      <c r="AC33" s="1559">
        <f t="shared" si="5"/>
        <v>1</v>
      </c>
    </row>
    <row r="34" spans="1:29" s="1600" customFormat="1" ht="15">
      <c r="A34" s="1594"/>
      <c r="B34" s="1528" t="s">
        <v>2037</v>
      </c>
      <c r="C34" s="1595">
        <f>Sheet1!G6</f>
        <v>83.02</v>
      </c>
      <c r="D34" s="1530">
        <v>100</v>
      </c>
      <c r="E34" s="1536">
        <v>350</v>
      </c>
      <c r="F34" s="1528">
        <f>LOOKUP(E34,104:104,105:105)-LOOKUP(C34,104:104,105:105)+100</f>
        <v>102</v>
      </c>
      <c r="G34" s="1535">
        <v>946.95</v>
      </c>
      <c r="H34" s="1530">
        <f>LOOKUP(G34,104:104,105:105)-LOOKUP(C34,104:104,105:105)+100</f>
        <v>100</v>
      </c>
      <c r="I34" s="1535">
        <v>129.36000000000001</v>
      </c>
      <c r="J34" s="1530">
        <f>LOOKUP(I34,104:104,105:105)-LOOKUP(C34,104:104,105:105)+100</f>
        <v>100</v>
      </c>
      <c r="K34" s="1803"/>
      <c r="L34" s="2695"/>
      <c r="P34" s="3331"/>
      <c r="Q34" s="478" t="str">
        <f t="shared" si="11"/>
        <v>项目建筑规模</v>
      </c>
      <c r="R34" s="1596" t="s">
        <v>25</v>
      </c>
      <c r="S34" s="1597">
        <f t="shared" si="12"/>
        <v>102</v>
      </c>
      <c r="T34" s="1596" t="s">
        <v>25</v>
      </c>
      <c r="U34" s="1597">
        <f t="shared" si="13"/>
        <v>100</v>
      </c>
      <c r="V34" s="1596" t="s">
        <v>25</v>
      </c>
      <c r="W34" s="1597">
        <f t="shared" si="14"/>
        <v>100</v>
      </c>
      <c r="X34" s="1598"/>
      <c r="Y34" s="3331"/>
      <c r="Z34" s="1599" t="str">
        <f t="shared" si="15"/>
        <v>项目建筑规模</v>
      </c>
      <c r="AA34" s="1559">
        <f t="shared" si="3"/>
        <v>0.98039215686274506</v>
      </c>
      <c r="AB34" s="1559">
        <f t="shared" si="4"/>
        <v>1</v>
      </c>
      <c r="AC34" s="1559">
        <f t="shared" si="5"/>
        <v>1</v>
      </c>
    </row>
    <row r="35" spans="1:29" ht="15">
      <c r="A35" s="1601"/>
      <c r="B35" s="1528" t="s">
        <v>2038</v>
      </c>
      <c r="C35" s="1583" t="s">
        <v>3035</v>
      </c>
      <c r="D35" s="1543">
        <v>100</v>
      </c>
      <c r="E35" s="1583" t="s">
        <v>3035</v>
      </c>
      <c r="F35" s="1585">
        <f>SUMIF(106:106,E35,107:107)-SUMIF(106:106,C35,107:107)+100</f>
        <v>100</v>
      </c>
      <c r="G35" s="1583" t="s">
        <v>3035</v>
      </c>
      <c r="H35" s="1543">
        <f>SUMIF(106:106,G35,107:107)-SUMIF(106:106,C35,107:107)+100</f>
        <v>100</v>
      </c>
      <c r="I35" s="1583" t="s">
        <v>3035</v>
      </c>
      <c r="J35" s="1543">
        <f>SUMIF(106:106,I35,107:107)-SUMIF(106:106,C35,107:107)+100</f>
        <v>100</v>
      </c>
      <c r="K35" s="1806">
        <v>2</v>
      </c>
      <c r="L35" s="2696"/>
      <c r="P35" s="3331"/>
      <c r="Q35" s="1453" t="str">
        <f t="shared" si="11"/>
        <v>建筑结构</v>
      </c>
      <c r="R35" s="1557" t="s">
        <v>25</v>
      </c>
      <c r="S35" s="1558">
        <f t="shared" si="12"/>
        <v>100</v>
      </c>
      <c r="T35" s="1557" t="s">
        <v>25</v>
      </c>
      <c r="U35" s="1558">
        <f t="shared" si="13"/>
        <v>100</v>
      </c>
      <c r="V35" s="1557" t="s">
        <v>25</v>
      </c>
      <c r="W35" s="1558">
        <f t="shared" si="14"/>
        <v>100</v>
      </c>
      <c r="X35" s="1501"/>
      <c r="Y35" s="3331"/>
      <c r="Z35" s="1559" t="str">
        <f t="shared" si="15"/>
        <v>建筑结构</v>
      </c>
      <c r="AA35" s="1559">
        <f t="shared" si="3"/>
        <v>1</v>
      </c>
      <c r="AB35" s="1559">
        <f t="shared" si="4"/>
        <v>1</v>
      </c>
      <c r="AC35" s="1559">
        <f t="shared" si="5"/>
        <v>1</v>
      </c>
    </row>
    <row r="36" spans="1:29" ht="15">
      <c r="A36" s="1601"/>
      <c r="B36" s="1528" t="s">
        <v>2123</v>
      </c>
      <c r="C36" s="1583" t="s">
        <v>3070</v>
      </c>
      <c r="D36" s="1543">
        <v>100</v>
      </c>
      <c r="E36" s="1583" t="s">
        <v>3070</v>
      </c>
      <c r="F36" s="1585">
        <f>SUMIF(108:108,E36,109:109)-SUMIF(108:108,C36,109:109)+100</f>
        <v>100</v>
      </c>
      <c r="G36" s="1583" t="s">
        <v>3070</v>
      </c>
      <c r="H36" s="1543">
        <f>SUMIF(108:108,G36,109:109)-SUMIF(108:108,C36,109:109)+100</f>
        <v>100</v>
      </c>
      <c r="I36" s="1583" t="s">
        <v>3070</v>
      </c>
      <c r="J36" s="1543">
        <f>SUMIF(108:108,I36,109:109)-SUMIF(108:108,C36,109:109)+100</f>
        <v>100</v>
      </c>
      <c r="K36" s="1806">
        <v>2</v>
      </c>
      <c r="L36" s="2696"/>
      <c r="P36" s="3331"/>
      <c r="Q36" s="1453" t="str">
        <f t="shared" si="11"/>
        <v>公共部分装修</v>
      </c>
      <c r="R36" s="1557" t="s">
        <v>25</v>
      </c>
      <c r="S36" s="1558">
        <f t="shared" si="12"/>
        <v>100</v>
      </c>
      <c r="T36" s="1557" t="s">
        <v>25</v>
      </c>
      <c r="U36" s="1558">
        <f t="shared" si="13"/>
        <v>100</v>
      </c>
      <c r="V36" s="1557" t="s">
        <v>25</v>
      </c>
      <c r="W36" s="1558">
        <f t="shared" si="14"/>
        <v>100</v>
      </c>
      <c r="X36" s="1501"/>
      <c r="Y36" s="3331"/>
      <c r="Z36" s="1559" t="str">
        <f t="shared" si="15"/>
        <v>公共部分装修</v>
      </c>
      <c r="AA36" s="1559">
        <f t="shared" si="3"/>
        <v>1</v>
      </c>
      <c r="AB36" s="1559">
        <f t="shared" si="4"/>
        <v>1</v>
      </c>
      <c r="AC36" s="1559">
        <f t="shared" si="5"/>
        <v>1</v>
      </c>
    </row>
    <row r="37" spans="1:29" ht="15">
      <c r="A37" s="1601"/>
      <c r="B37" s="1528" t="s">
        <v>2124</v>
      </c>
      <c r="C37" s="1604">
        <f>'数据-取费表'!E20</f>
        <v>0.77</v>
      </c>
      <c r="D37" s="1543">
        <v>100</v>
      </c>
      <c r="E37" s="1604">
        <f>C37</f>
        <v>0.77</v>
      </c>
      <c r="F37" s="1585">
        <f>LOOKUP(E37,111:111,112:112)-LOOKUP(C37,111:111,112:112)+100</f>
        <v>100</v>
      </c>
      <c r="G37" s="1604">
        <f>E37</f>
        <v>0.77</v>
      </c>
      <c r="H37" s="1585">
        <f>LOOKUP(G37,111:111,112:112)-LOOKUP(C37,111:111,112:112)+100</f>
        <v>100</v>
      </c>
      <c r="I37" s="1604">
        <f>G37</f>
        <v>0.77</v>
      </c>
      <c r="J37" s="1543">
        <f>LOOKUP(I37,111:111,112:112)-LOOKUP(C37,111:111,112:112)+100</f>
        <v>100</v>
      </c>
      <c r="K37" s="1806">
        <v>2</v>
      </c>
      <c r="L37" s="2696"/>
      <c r="P37" s="3331"/>
      <c r="Q37" s="1453" t="str">
        <f t="shared" si="11"/>
        <v>成新度</v>
      </c>
      <c r="R37" s="1557" t="s">
        <v>25</v>
      </c>
      <c r="S37" s="1558">
        <f t="shared" si="12"/>
        <v>100</v>
      </c>
      <c r="T37" s="1557" t="s">
        <v>25</v>
      </c>
      <c r="U37" s="1558">
        <f t="shared" si="13"/>
        <v>100</v>
      </c>
      <c r="V37" s="1557" t="s">
        <v>25</v>
      </c>
      <c r="W37" s="1558">
        <f t="shared" si="14"/>
        <v>100</v>
      </c>
      <c r="X37" s="1501"/>
      <c r="Y37" s="3331"/>
      <c r="Z37" s="1559" t="str">
        <f t="shared" si="15"/>
        <v>成新度</v>
      </c>
      <c r="AA37" s="1559">
        <f t="shared" si="3"/>
        <v>1</v>
      </c>
      <c r="AB37" s="1559">
        <f t="shared" si="4"/>
        <v>1</v>
      </c>
      <c r="AC37" s="1559">
        <f t="shared" si="5"/>
        <v>1</v>
      </c>
    </row>
    <row r="38" spans="1:29" s="1519" customFormat="1" ht="15">
      <c r="A38" s="1603"/>
      <c r="B38" s="1528" t="s">
        <v>2151</v>
      </c>
      <c r="C38" s="1583" t="s">
        <v>3072</v>
      </c>
      <c r="D38" s="1530">
        <v>100</v>
      </c>
      <c r="E38" s="1583" t="s">
        <v>3072</v>
      </c>
      <c r="F38" s="1585">
        <f>SUMIF(113:113,E38,114:114)-SUMIF(113:113,C38,114:114)+100</f>
        <v>100</v>
      </c>
      <c r="G38" s="1583" t="s">
        <v>3072</v>
      </c>
      <c r="H38" s="1543">
        <f>SUMIF(113:113,G38,114:114)-SUMIF(113:113,C38,114:114)+100</f>
        <v>100</v>
      </c>
      <c r="I38" s="1583" t="s">
        <v>3072</v>
      </c>
      <c r="J38" s="1543">
        <f>SUMIF(113:113,I38,114:114)-SUMIF(113:113,C38,114:114)+100</f>
        <v>100</v>
      </c>
      <c r="K38" s="1806">
        <v>1</v>
      </c>
      <c r="L38" s="2693"/>
      <c r="P38" s="3331"/>
      <c r="Q38" s="1471" t="str">
        <f t="shared" si="11"/>
        <v>写字楼等级</v>
      </c>
      <c r="R38" s="1515" t="s">
        <v>25</v>
      </c>
      <c r="S38" s="1516">
        <f t="shared" si="12"/>
        <v>100</v>
      </c>
      <c r="T38" s="1515" t="s">
        <v>25</v>
      </c>
      <c r="U38" s="1516">
        <f t="shared" si="13"/>
        <v>100</v>
      </c>
      <c r="V38" s="1515" t="s">
        <v>25</v>
      </c>
      <c r="W38" s="1516">
        <f t="shared" si="14"/>
        <v>100</v>
      </c>
      <c r="X38" s="1517"/>
      <c r="Y38" s="3331"/>
      <c r="Z38" s="1518" t="str">
        <f t="shared" si="15"/>
        <v>写字楼等级</v>
      </c>
      <c r="AA38" s="1518">
        <f t="shared" si="3"/>
        <v>1</v>
      </c>
      <c r="AB38" s="1518">
        <f t="shared" si="4"/>
        <v>1</v>
      </c>
      <c r="AC38" s="1518">
        <f t="shared" si="5"/>
        <v>1</v>
      </c>
    </row>
    <row r="39" spans="1:29" ht="15">
      <c r="A39" s="1601"/>
      <c r="B39" s="1528" t="s">
        <v>2152</v>
      </c>
      <c r="C39" s="1583" t="s">
        <v>3075</v>
      </c>
      <c r="D39" s="1543">
        <v>100</v>
      </c>
      <c r="E39" s="1583" t="s">
        <v>3075</v>
      </c>
      <c r="F39" s="1585">
        <f>SUMIF(115:115,E39,116:116)-SUMIF(115:115,C39,116:116)+100</f>
        <v>100</v>
      </c>
      <c r="G39" s="1583" t="s">
        <v>3075</v>
      </c>
      <c r="H39" s="1543">
        <f>SUMIF(115:115,G39,116:116)-SUMIF(115:115,C39,116:116)+100</f>
        <v>100</v>
      </c>
      <c r="I39" s="1583" t="s">
        <v>3075</v>
      </c>
      <c r="J39" s="1543">
        <f>SUMIF(115:115,I39,116:116)-SUMIF(115:115,C39,116:116)+100</f>
        <v>100</v>
      </c>
      <c r="K39" s="1806">
        <v>1</v>
      </c>
      <c r="L39" s="2696"/>
      <c r="P39" s="3331" t="s">
        <v>2036</v>
      </c>
      <c r="Q39" s="1453" t="str">
        <f t="shared" si="11"/>
        <v>物业管理</v>
      </c>
      <c r="R39" s="1557" t="s">
        <v>25</v>
      </c>
      <c r="S39" s="1558">
        <f t="shared" si="12"/>
        <v>100</v>
      </c>
      <c r="T39" s="1557" t="s">
        <v>25</v>
      </c>
      <c r="U39" s="1558">
        <f t="shared" si="13"/>
        <v>100</v>
      </c>
      <c r="V39" s="1557" t="s">
        <v>25</v>
      </c>
      <c r="W39" s="1558">
        <f t="shared" si="14"/>
        <v>100</v>
      </c>
      <c r="X39" s="1501"/>
      <c r="Y39" s="3331" t="s">
        <v>2036</v>
      </c>
      <c r="Z39" s="1559" t="str">
        <f t="shared" si="15"/>
        <v>物业管理</v>
      </c>
      <c r="AA39" s="1559">
        <f t="shared" si="3"/>
        <v>1</v>
      </c>
      <c r="AB39" s="1559">
        <f t="shared" si="4"/>
        <v>1</v>
      </c>
      <c r="AC39" s="1559">
        <f t="shared" si="5"/>
        <v>1</v>
      </c>
    </row>
    <row r="40" spans="1:29" ht="15">
      <c r="A40" s="1601"/>
      <c r="B40" s="1528" t="s">
        <v>2125</v>
      </c>
      <c r="C40" s="1583" t="s">
        <v>3077</v>
      </c>
      <c r="D40" s="1543">
        <v>100</v>
      </c>
      <c r="E40" s="1583" t="s">
        <v>3077</v>
      </c>
      <c r="F40" s="1585">
        <f>SUMIF(117:117,E40,118:118)-SUMIF(117:117,C40,118:118)+100</f>
        <v>100</v>
      </c>
      <c r="G40" s="1583" t="s">
        <v>3077</v>
      </c>
      <c r="H40" s="1543">
        <f>SUMIF(117:117,G40,118:118)-SUMIF(117:117,C40,118:118)+100</f>
        <v>100</v>
      </c>
      <c r="I40" s="1583" t="s">
        <v>3077</v>
      </c>
      <c r="J40" s="1543">
        <f>SUMIF(117:117,I40,118:118)-SUMIF(117:117,C40,118:118)+100</f>
        <v>100</v>
      </c>
      <c r="K40" s="1806">
        <v>2</v>
      </c>
      <c r="L40" s="2696"/>
      <c r="P40" s="3331"/>
      <c r="Q40" s="1453" t="str">
        <f t="shared" si="11"/>
        <v>市政基础设施</v>
      </c>
      <c r="R40" s="1557" t="s">
        <v>25</v>
      </c>
      <c r="S40" s="1558">
        <f t="shared" si="12"/>
        <v>100</v>
      </c>
      <c r="T40" s="1557" t="s">
        <v>25</v>
      </c>
      <c r="U40" s="1558">
        <f t="shared" si="13"/>
        <v>100</v>
      </c>
      <c r="V40" s="1557" t="s">
        <v>25</v>
      </c>
      <c r="W40" s="1558">
        <f t="shared" si="14"/>
        <v>100</v>
      </c>
      <c r="X40" s="1501"/>
      <c r="Y40" s="3331"/>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31"/>
      <c r="Q41" s="1453" t="str">
        <f t="shared" si="11"/>
        <v>层高</v>
      </c>
      <c r="R41" s="1557" t="s">
        <v>25</v>
      </c>
      <c r="S41" s="1558">
        <f t="shared" si="12"/>
        <v>100</v>
      </c>
      <c r="T41" s="1557" t="s">
        <v>25</v>
      </c>
      <c r="U41" s="1558">
        <f t="shared" si="13"/>
        <v>100</v>
      </c>
      <c r="V41" s="1557" t="s">
        <v>25</v>
      </c>
      <c r="W41" s="1558">
        <f t="shared" si="14"/>
        <v>100</v>
      </c>
      <c r="X41" s="1501"/>
      <c r="Y41" s="3331"/>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31"/>
      <c r="Q42" s="478" t="str">
        <f t="shared" si="11"/>
        <v>单套建筑面积</v>
      </c>
      <c r="R42" s="1596" t="s">
        <v>25</v>
      </c>
      <c r="S42" s="1597">
        <f t="shared" si="12"/>
        <v>100</v>
      </c>
      <c r="T42" s="1596" t="s">
        <v>25</v>
      </c>
      <c r="U42" s="1597">
        <f t="shared" si="13"/>
        <v>100</v>
      </c>
      <c r="V42" s="1596" t="s">
        <v>25</v>
      </c>
      <c r="W42" s="1597">
        <f t="shared" si="14"/>
        <v>100</v>
      </c>
      <c r="X42" s="1598"/>
      <c r="Y42" s="3331"/>
      <c r="Z42" s="1599" t="str">
        <f t="shared" si="15"/>
        <v>单套建筑面积</v>
      </c>
      <c r="AA42" s="1559">
        <f t="shared" si="3"/>
        <v>1</v>
      </c>
      <c r="AB42" s="1559">
        <f t="shared" si="4"/>
        <v>1</v>
      </c>
      <c r="AC42" s="1559">
        <f t="shared" si="5"/>
        <v>1</v>
      </c>
    </row>
    <row r="43" spans="1:29" ht="15">
      <c r="A43" s="1601"/>
      <c r="B43" s="1528" t="s">
        <v>2130</v>
      </c>
      <c r="C43" s="1583" t="s">
        <v>3070</v>
      </c>
      <c r="D43" s="1543">
        <v>100</v>
      </c>
      <c r="E43" s="1583" t="s">
        <v>3070</v>
      </c>
      <c r="F43" s="1585">
        <f>SUMIF(123:123,E43,124:124)-SUMIF(123:123,C43,124:124)+100</f>
        <v>100</v>
      </c>
      <c r="G43" s="1583" t="s">
        <v>3081</v>
      </c>
      <c r="H43" s="1543">
        <f>SUMIF(123:123,G43,124:124)-SUMIF(123:123,C43,124:124)+100</f>
        <v>97</v>
      </c>
      <c r="I43" s="1583" t="s">
        <v>3070</v>
      </c>
      <c r="J43" s="1543">
        <f>SUMIF(123:123,I43,124:124)-SUMIF(123:123,C43,124:124)+100</f>
        <v>100</v>
      </c>
      <c r="K43" s="1806">
        <v>1</v>
      </c>
      <c r="L43" s="2696"/>
      <c r="P43" s="3331"/>
      <c r="Q43" s="1453" t="str">
        <f t="shared" si="11"/>
        <v>内部装修</v>
      </c>
      <c r="R43" s="1557" t="s">
        <v>25</v>
      </c>
      <c r="S43" s="1558">
        <f t="shared" si="12"/>
        <v>100</v>
      </c>
      <c r="T43" s="1557" t="s">
        <v>25</v>
      </c>
      <c r="U43" s="1558">
        <f t="shared" si="13"/>
        <v>97</v>
      </c>
      <c r="V43" s="1557" t="s">
        <v>25</v>
      </c>
      <c r="W43" s="1558">
        <f t="shared" si="14"/>
        <v>100</v>
      </c>
      <c r="X43" s="1501"/>
      <c r="Y43" s="3331"/>
      <c r="Z43" s="1559" t="str">
        <f t="shared" si="15"/>
        <v>内部装修</v>
      </c>
      <c r="AA43" s="1559">
        <f t="shared" si="3"/>
        <v>1</v>
      </c>
      <c r="AB43" s="1559">
        <f t="shared" si="4"/>
        <v>1.0309278350515463</v>
      </c>
      <c r="AC43" s="1559">
        <f t="shared" si="5"/>
        <v>1</v>
      </c>
    </row>
    <row r="44" spans="1:29" ht="29.4" thickBot="1">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31"/>
      <c r="Q44" s="1453" t="str">
        <f t="shared" si="11"/>
        <v>内部装修维护情况</v>
      </c>
      <c r="R44" s="1557" t="s">
        <v>25</v>
      </c>
      <c r="S44" s="1558">
        <f t="shared" si="12"/>
        <v>100</v>
      </c>
      <c r="T44" s="1557" t="s">
        <v>25</v>
      </c>
      <c r="U44" s="1558">
        <f t="shared" si="13"/>
        <v>100</v>
      </c>
      <c r="V44" s="1557" t="s">
        <v>25</v>
      </c>
      <c r="W44" s="1558">
        <f t="shared" si="14"/>
        <v>100</v>
      </c>
      <c r="X44" s="1501"/>
      <c r="Y44" s="3331"/>
      <c r="Z44" s="1559" t="str">
        <f t="shared" si="15"/>
        <v>内部装修维护情况</v>
      </c>
      <c r="AA44" s="1559">
        <f t="shared" si="3"/>
        <v>1</v>
      </c>
      <c r="AB44" s="1559">
        <f t="shared" si="4"/>
        <v>1</v>
      </c>
      <c r="AC44" s="1559">
        <f t="shared" si="5"/>
        <v>1</v>
      </c>
    </row>
    <row r="45" spans="1:29" s="1519" customFormat="1" ht="15" hidden="1">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31"/>
      <c r="Q45" s="1471">
        <f t="shared" si="11"/>
        <v>111</v>
      </c>
      <c r="R45" s="1515" t="s">
        <v>25</v>
      </c>
      <c r="S45" s="1516">
        <f t="shared" si="12"/>
        <v>100</v>
      </c>
      <c r="T45" s="1515" t="s">
        <v>25</v>
      </c>
      <c r="U45" s="1516">
        <f t="shared" si="13"/>
        <v>100</v>
      </c>
      <c r="V45" s="1515" t="s">
        <v>25</v>
      </c>
      <c r="W45" s="1516">
        <f t="shared" si="14"/>
        <v>100</v>
      </c>
      <c r="X45" s="1517"/>
      <c r="Y45" s="3331"/>
      <c r="Z45" s="1518">
        <f t="shared" si="15"/>
        <v>111</v>
      </c>
      <c r="AA45" s="1518">
        <f t="shared" si="3"/>
        <v>1</v>
      </c>
      <c r="AB45" s="1518">
        <f t="shared" si="4"/>
        <v>1</v>
      </c>
      <c r="AC45" s="1518">
        <f t="shared" si="5"/>
        <v>1</v>
      </c>
    </row>
    <row r="46" spans="1:29" ht="15" hidden="1">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31"/>
      <c r="Q46" s="1453">
        <f t="shared" si="11"/>
        <v>111</v>
      </c>
      <c r="R46" s="1557" t="s">
        <v>25</v>
      </c>
      <c r="S46" s="1558">
        <f t="shared" si="12"/>
        <v>100</v>
      </c>
      <c r="T46" s="1557" t="s">
        <v>25</v>
      </c>
      <c r="U46" s="1558">
        <f t="shared" si="13"/>
        <v>100</v>
      </c>
      <c r="V46" s="1557" t="s">
        <v>25</v>
      </c>
      <c r="W46" s="1558">
        <f t="shared" si="14"/>
        <v>100</v>
      </c>
      <c r="X46" s="1501"/>
      <c r="Y46" s="3331"/>
      <c r="Z46" s="1559">
        <f t="shared" si="15"/>
        <v>111</v>
      </c>
      <c r="AA46" s="1559">
        <f t="shared" si="3"/>
        <v>1</v>
      </c>
      <c r="AB46" s="1559">
        <f t="shared" si="4"/>
        <v>1</v>
      </c>
      <c r="AC46" s="1559">
        <f t="shared" si="5"/>
        <v>1</v>
      </c>
    </row>
    <row r="47" spans="1:29" ht="15.6" hidden="1"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32"/>
      <c r="Q47" s="1453">
        <f t="shared" si="11"/>
        <v>111</v>
      </c>
      <c r="R47" s="1557" t="s">
        <v>25</v>
      </c>
      <c r="S47" s="1558">
        <f t="shared" si="12"/>
        <v>100</v>
      </c>
      <c r="T47" s="1557" t="s">
        <v>25</v>
      </c>
      <c r="U47" s="1558">
        <f t="shared" si="13"/>
        <v>100</v>
      </c>
      <c r="V47" s="1557" t="s">
        <v>25</v>
      </c>
      <c r="W47" s="1558">
        <f t="shared" si="14"/>
        <v>100</v>
      </c>
      <c r="X47" s="1501"/>
      <c r="Y47" s="3332"/>
      <c r="Z47" s="1559">
        <f t="shared" si="15"/>
        <v>111</v>
      </c>
      <c r="AA47" s="1559">
        <f t="shared" si="3"/>
        <v>1</v>
      </c>
      <c r="AB47" s="1559">
        <f t="shared" si="4"/>
        <v>1</v>
      </c>
      <c r="AC47" s="1559">
        <f t="shared" si="5"/>
        <v>1</v>
      </c>
    </row>
    <row r="48" spans="1:29" ht="14.4">
      <c r="A48" s="1609" t="s">
        <v>2048</v>
      </c>
      <c r="B48" s="1610"/>
      <c r="C48" s="1611" t="s">
        <v>1</v>
      </c>
      <c r="D48" s="1612"/>
      <c r="E48" s="1613">
        <f>ROUND(44000*C51,0)</f>
        <v>40480</v>
      </c>
      <c r="F48" s="1614"/>
      <c r="G48" s="1615">
        <f>ROUND(40129*C51,0)</f>
        <v>36919</v>
      </c>
      <c r="H48" s="1616"/>
      <c r="I48" s="1613">
        <f>ROUND(45000*C51,0)</f>
        <v>41400</v>
      </c>
      <c r="J48" s="1616"/>
      <c r="K48" s="1822"/>
      <c r="L48" s="2697"/>
      <c r="P48" s="3299" t="str">
        <f>A48</f>
        <v>成交单价（元/平方米）</v>
      </c>
      <c r="Q48" s="3299"/>
      <c r="R48" s="3323">
        <f>E48</f>
        <v>40480</v>
      </c>
      <c r="S48" s="3323"/>
      <c r="T48" s="3323">
        <f>G48</f>
        <v>36919</v>
      </c>
      <c r="U48" s="3323"/>
      <c r="V48" s="3323">
        <f>I48</f>
        <v>41400</v>
      </c>
      <c r="W48" s="3323"/>
      <c r="X48" s="1560"/>
      <c r="Y48" s="1619"/>
      <c r="Z48" s="1560"/>
      <c r="AA48" s="1560"/>
      <c r="AB48" s="1560"/>
      <c r="AC48" s="1560"/>
    </row>
    <row r="49" spans="1:29" ht="15" thickBot="1">
      <c r="A49" s="1620" t="s">
        <v>2131</v>
      </c>
      <c r="B49" s="1621"/>
      <c r="C49" s="1622">
        <f>R50</f>
        <v>40796</v>
      </c>
      <c r="D49" s="1623" t="s">
        <v>2502</v>
      </c>
      <c r="E49" s="1624">
        <f>R49</f>
        <v>39686</v>
      </c>
      <c r="F49" s="1625"/>
      <c r="G49" s="1622">
        <f>T49</f>
        <v>40030</v>
      </c>
      <c r="H49" s="1625"/>
      <c r="I49" s="1624">
        <f>V49</f>
        <v>42672</v>
      </c>
      <c r="J49" s="1625"/>
      <c r="K49" s="2250">
        <f>F49+H49+J49</f>
        <v>0</v>
      </c>
      <c r="L49" s="2697"/>
      <c r="P49" s="3299" t="str">
        <f>A49</f>
        <v>比较价值（元/平方米）</v>
      </c>
      <c r="Q49" s="3299"/>
      <c r="R49" s="3323">
        <f>IF(E1="售价",ROUND(PRODUCT(R48,AA7:AA47),0),ROUND(PRODUCT(R48,AA7:AA47),1))</f>
        <v>39686</v>
      </c>
      <c r="S49" s="3323"/>
      <c r="T49" s="3323">
        <f>IF(E1="售价",ROUND(PRODUCT(T48,AB7:AB47),0),ROUND(PRODUCT(T48,AB7:AB47),1))</f>
        <v>40030</v>
      </c>
      <c r="U49" s="3323"/>
      <c r="V49" s="3323">
        <f>IF(E1="售价",ROUND(PRODUCT(V48,AC7:AC47),0),ROUND(PRODUCT(V48,AC7:AC47),1))</f>
        <v>42672</v>
      </c>
      <c r="W49" s="3323"/>
      <c r="X49" s="1560"/>
      <c r="Y49" s="1560"/>
      <c r="Z49" s="1560"/>
      <c r="AA49" s="1560"/>
      <c r="AB49" s="1560"/>
      <c r="AC49" s="1560"/>
    </row>
    <row r="50" spans="1:29" ht="15" thickBot="1">
      <c r="A50" s="1626" t="s">
        <v>2154</v>
      </c>
      <c r="B50" s="1627"/>
      <c r="C50" s="1507">
        <f>R50</f>
        <v>40796</v>
      </c>
      <c r="D50" s="1507"/>
      <c r="E50" s="1507"/>
      <c r="F50" s="1507"/>
      <c r="G50" s="1507"/>
      <c r="H50" s="1507"/>
      <c r="I50" s="1507"/>
      <c r="J50" s="1507"/>
      <c r="K50" s="1827"/>
      <c r="L50" s="2697"/>
      <c r="P50" s="3333" t="str">
        <f>A50</f>
        <v>估价对象XX用房的比较价值（楼面单价，元/平方米）</v>
      </c>
      <c r="Q50" s="3334"/>
      <c r="R50" s="3335">
        <f>IF(E1="售价",ROUND(IF(D49="简单平均",AVERAGE(R49:V49),R49*F49+T49*H49+V49*J49),0),ROUND(IF(D49="简单平均",AVERAGE(R49:V49),R49*F49+T49*H49+V49*J49),1))</f>
        <v>40796</v>
      </c>
      <c r="S50" s="3335"/>
      <c r="T50" s="3335"/>
      <c r="U50" s="3335"/>
      <c r="V50" s="3335"/>
      <c r="W50" s="3335"/>
      <c r="X50" s="1560"/>
      <c r="Y50" s="1560"/>
      <c r="Z50" s="1560"/>
      <c r="AA50" s="1560"/>
      <c r="AB50" s="1560"/>
      <c r="AC50" s="1560"/>
    </row>
    <row r="51" spans="1:29">
      <c r="C51" s="1502">
        <v>0.92</v>
      </c>
      <c r="G51" s="2700"/>
    </row>
    <row r="53" spans="1:29" ht="13.5" customHeight="1">
      <c r="C53" s="376" t="s">
        <v>2133</v>
      </c>
      <c r="D53" s="1633"/>
      <c r="E53" s="1634">
        <f>IF(E48&lt;E49,E49/E48-1,E48/E49-1)</f>
        <v>2.0007055384770434E-2</v>
      </c>
      <c r="F53" s="1635" t="str">
        <f>IF(OR(E53&gt;=0.3,E53&lt;=-0.3),"超过30%","")</f>
        <v/>
      </c>
      <c r="G53" s="1634">
        <f>IF(G48&lt;G49,G49/G48-1,G48/G49-1)</f>
        <v>8.4265554321623082E-2</v>
      </c>
      <c r="H53" s="1635" t="str">
        <f>IF(OR(G53&gt;=0.3,G53&lt;=-0.3),"超过30%","")</f>
        <v/>
      </c>
      <c r="I53" s="1634">
        <f>IF(I48&lt;I49,I49/I48-1,I48/I49-1)</f>
        <v>3.0724637681159406E-2</v>
      </c>
      <c r="J53" s="1635" t="str">
        <f>IF(OR(I53&gt;=0.3,I53&lt;=-0.3),"超过30%","")</f>
        <v/>
      </c>
    </row>
    <row r="54" spans="1:29" ht="13.5" customHeight="1">
      <c r="C54" s="376" t="s">
        <v>2134</v>
      </c>
      <c r="D54" s="1636"/>
      <c r="E54" s="1634">
        <f>IF(E49&lt;G49,G49/E49-1,E49/G49-1)</f>
        <v>8.6680441465503133E-3</v>
      </c>
      <c r="F54" s="1635" t="str">
        <f>IF(OR(E54&gt;=0.2,E54&lt;=-0.2),"超过20%","")</f>
        <v/>
      </c>
      <c r="G54" s="1634">
        <f>IF(G49&lt;I49,I49/G49-1,G49/I49-1)</f>
        <v>6.6000499625280984E-2</v>
      </c>
      <c r="H54" s="1635" t="str">
        <f>IF(OR(G54&gt;=0.2,G54&lt;=-0.2),"超过20%","")</f>
        <v/>
      </c>
      <c r="I54" s="1634">
        <f>IF(I49&lt;E49,E49/I49-1,I49/E49-1)</f>
        <v>7.5240639016277866E-2</v>
      </c>
      <c r="J54" s="1635" t="str">
        <f>IF(OR(I54&gt;=0.2,I54&lt;=-0.2),"超过20%","")</f>
        <v/>
      </c>
    </row>
    <row r="55" spans="1:29" s="1639" customFormat="1" ht="13.5" customHeight="1">
      <c r="C55" s="376" t="s">
        <v>2135</v>
      </c>
      <c r="D55" s="1636"/>
      <c r="E55" s="1634">
        <f>IF(E48&lt;G48,G48/E48-1,E48/G48-1)</f>
        <v>9.6454400173352495E-2</v>
      </c>
      <c r="F55" s="1635" t="str">
        <f>IF(OR(E55&gt;=0.3,E55&lt;=-0.3),"超过30%","")</f>
        <v/>
      </c>
      <c r="G55" s="1634">
        <f>IF(G48&lt;I48,I48/G48-1,G48/I48-1)</f>
        <v>0.12137381835911043</v>
      </c>
      <c r="H55" s="1635" t="str">
        <f>IF(OR(G55&gt;=0.3,G55&lt;=-0.3),"超过30%","")</f>
        <v/>
      </c>
      <c r="I55" s="1634">
        <f>IF(I48&lt;E48,E48/I48-1,I48/E48-1)</f>
        <v>2.2727272727272707E-2</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公寓</v>
      </c>
      <c r="D64" s="3061" t="s">
        <v>3084</v>
      </c>
      <c r="E64" s="1673"/>
      <c r="F64" s="1673"/>
      <c r="G64" s="1673"/>
      <c r="H64" s="1673"/>
      <c r="I64" s="1673"/>
      <c r="J64" s="1673"/>
      <c r="K64" s="408"/>
      <c r="L64" s="408"/>
      <c r="M64" s="1674"/>
      <c r="N64" s="2708"/>
      <c r="O64" s="2708"/>
      <c r="P64" s="1864"/>
      <c r="Q64" s="1647"/>
    </row>
    <row r="65" spans="1:17" ht="14.4" thickBot="1">
      <c r="A65" s="1534"/>
      <c r="B65" s="1677"/>
      <c r="C65" s="1678">
        <v>100</v>
      </c>
      <c r="D65" s="1678">
        <v>98</v>
      </c>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99</v>
      </c>
      <c r="G67" s="1685">
        <f>F67-$K10</f>
        <v>98</v>
      </c>
      <c r="H67" s="1685">
        <f>G67-$K10</f>
        <v>97</v>
      </c>
      <c r="I67" s="1685">
        <f>H67-$K10</f>
        <v>96</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 thickTop="1">
      <c r="A89" s="1537"/>
      <c r="B89" s="1681" t="str">
        <f>B27</f>
        <v>楼层</v>
      </c>
      <c r="C89" s="3060" t="s">
        <v>3060</v>
      </c>
      <c r="D89" s="3060" t="s">
        <v>3062</v>
      </c>
      <c r="E89" s="3060" t="s">
        <v>3063</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98</v>
      </c>
      <c r="E90" s="1685">
        <f t="shared" ref="E90:M90" si="20">D90-$K27</f>
        <v>96</v>
      </c>
      <c r="F90" s="1685">
        <f t="shared" si="20"/>
        <v>94</v>
      </c>
      <c r="G90" s="1685">
        <f t="shared" si="20"/>
        <v>92</v>
      </c>
      <c r="H90" s="1685">
        <f t="shared" si="20"/>
        <v>90</v>
      </c>
      <c r="I90" s="1685">
        <f t="shared" si="20"/>
        <v>88</v>
      </c>
      <c r="J90" s="1685">
        <f t="shared" si="20"/>
        <v>86</v>
      </c>
      <c r="K90" s="1685">
        <f t="shared" si="20"/>
        <v>84</v>
      </c>
      <c r="L90" s="1685">
        <f t="shared" si="20"/>
        <v>82</v>
      </c>
      <c r="M90" s="1685">
        <f t="shared" si="20"/>
        <v>80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061" t="s">
        <v>3065</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28.2" thickTop="1">
      <c r="A103" s="1534"/>
      <c r="B103" s="1681" t="s">
        <v>2084</v>
      </c>
      <c r="C103" s="559" t="str">
        <f>C104&amp;"(含)"&amp;"-"&amp;D104</f>
        <v>0(含)-300</v>
      </c>
      <c r="D103" s="559" t="str">
        <f t="shared" ref="D103:L103" si="23">D104&amp;"(含)"&amp;"-"&amp;E104</f>
        <v>300(含)-500</v>
      </c>
      <c r="E103" s="559" t="str">
        <f t="shared" si="23"/>
        <v>500(含)-1000</v>
      </c>
      <c r="F103" s="559" t="str">
        <f t="shared" si="23"/>
        <v>1000(含)-2000</v>
      </c>
      <c r="G103" s="559" t="str">
        <f t="shared" si="23"/>
        <v>2000(含)-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v>0</v>
      </c>
      <c r="D104" s="1721">
        <v>300</v>
      </c>
      <c r="E104" s="1721">
        <v>500</v>
      </c>
      <c r="F104" s="1721">
        <v>1000</v>
      </c>
      <c r="G104" s="1721">
        <v>2000</v>
      </c>
      <c r="H104" s="1721"/>
      <c r="I104" s="1721"/>
      <c r="J104" s="472"/>
      <c r="K104" s="472"/>
      <c r="L104" s="472"/>
      <c r="M104" s="1722"/>
      <c r="N104" s="1865"/>
      <c r="O104" s="1865"/>
      <c r="P104" s="1865"/>
      <c r="Q104" s="1696"/>
    </row>
    <row r="105" spans="1:17" s="1600" customFormat="1" ht="14.4" thickBot="1">
      <c r="A105" s="1692"/>
      <c r="B105" s="1684"/>
      <c r="C105" s="1697">
        <v>98</v>
      </c>
      <c r="D105" s="1678">
        <v>100</v>
      </c>
      <c r="E105" s="1678">
        <v>98</v>
      </c>
      <c r="F105" s="1678">
        <v>96</v>
      </c>
      <c r="G105" s="1678">
        <v>94</v>
      </c>
      <c r="H105" s="1678"/>
      <c r="I105" s="1678"/>
      <c r="J105" s="1678"/>
      <c r="K105" s="1678"/>
      <c r="L105" s="1678"/>
      <c r="M105" s="1679"/>
      <c r="N105" s="2247"/>
      <c r="O105" s="2247"/>
      <c r="P105" s="1865"/>
      <c r="Q105" s="1696"/>
    </row>
    <row r="106" spans="1:17" ht="15" thickTop="1">
      <c r="A106" s="1601"/>
      <c r="B106" s="1681" t="s">
        <v>2085</v>
      </c>
      <c r="C106" s="3060" t="s">
        <v>3069</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4">C107-$K35</f>
        <v>98</v>
      </c>
      <c r="E107" s="1685">
        <f t="shared" si="24"/>
        <v>96</v>
      </c>
      <c r="F107" s="1685">
        <f t="shared" si="24"/>
        <v>94</v>
      </c>
      <c r="G107" s="1685">
        <f t="shared" si="24"/>
        <v>92</v>
      </c>
      <c r="H107" s="1685">
        <f t="shared" si="24"/>
        <v>90</v>
      </c>
      <c r="I107" s="1685">
        <f t="shared" si="24"/>
        <v>88</v>
      </c>
      <c r="J107" s="1685">
        <f t="shared" si="24"/>
        <v>86</v>
      </c>
      <c r="K107" s="1685">
        <f t="shared" si="24"/>
        <v>84</v>
      </c>
      <c r="L107" s="1685">
        <f t="shared" si="24"/>
        <v>82</v>
      </c>
      <c r="M107" s="1686">
        <f t="shared" si="24"/>
        <v>80</v>
      </c>
      <c r="N107" s="2247"/>
      <c r="O107" s="2247"/>
      <c r="P107" s="1864"/>
      <c r="Q107" s="1647"/>
    </row>
    <row r="108" spans="1:17" ht="15" thickTop="1">
      <c r="A108" s="1601"/>
      <c r="B108" s="1681" t="s">
        <v>2087</v>
      </c>
      <c r="C108" s="3060" t="s">
        <v>3071</v>
      </c>
      <c r="D108" s="456"/>
      <c r="E108" s="456"/>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5">C109-$K36</f>
        <v>98</v>
      </c>
      <c r="E109" s="1685">
        <f t="shared" si="25"/>
        <v>96</v>
      </c>
      <c r="F109" s="1685">
        <f t="shared" si="25"/>
        <v>94</v>
      </c>
      <c r="G109" s="1685">
        <f t="shared" si="25"/>
        <v>92</v>
      </c>
      <c r="H109" s="1685">
        <f t="shared" si="25"/>
        <v>90</v>
      </c>
      <c r="I109" s="1685">
        <f t="shared" si="25"/>
        <v>88</v>
      </c>
      <c r="J109" s="1685">
        <f t="shared" si="25"/>
        <v>86</v>
      </c>
      <c r="K109" s="1685">
        <f t="shared" si="25"/>
        <v>84</v>
      </c>
      <c r="L109" s="1685">
        <f t="shared" si="25"/>
        <v>82</v>
      </c>
      <c r="M109" s="1686">
        <f t="shared" si="25"/>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6">D112+$K37</f>
        <v>104</v>
      </c>
      <c r="F112" s="1685">
        <f t="shared" si="26"/>
        <v>106</v>
      </c>
      <c r="G112" s="1685">
        <f t="shared" si="26"/>
        <v>108</v>
      </c>
      <c r="H112" s="1685">
        <f t="shared" si="26"/>
        <v>110</v>
      </c>
      <c r="I112" s="1685">
        <f t="shared" si="26"/>
        <v>112</v>
      </c>
      <c r="J112" s="1685">
        <f t="shared" si="26"/>
        <v>114</v>
      </c>
      <c r="K112" s="1685">
        <f t="shared" si="26"/>
        <v>116</v>
      </c>
      <c r="L112" s="1685">
        <f t="shared" si="26"/>
        <v>118</v>
      </c>
      <c r="M112" s="1685">
        <f t="shared" si="26"/>
        <v>120</v>
      </c>
      <c r="N112" s="2247"/>
      <c r="O112" s="2247"/>
      <c r="P112" s="1864"/>
      <c r="Q112" s="1647"/>
    </row>
    <row r="113" spans="1:17" s="1600" customFormat="1" ht="15" thickTop="1">
      <c r="A113" s="1594"/>
      <c r="B113" s="1681" t="s">
        <v>2158</v>
      </c>
      <c r="C113" s="3060" t="s">
        <v>3073</v>
      </c>
      <c r="D113" s="3060"/>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99</v>
      </c>
      <c r="E114" s="1685">
        <f t="shared" ref="E114:M114" si="27">D114-$K38</f>
        <v>98</v>
      </c>
      <c r="F114" s="1685">
        <f t="shared" si="27"/>
        <v>97</v>
      </c>
      <c r="G114" s="1685">
        <f t="shared" si="27"/>
        <v>96</v>
      </c>
      <c r="H114" s="1685">
        <f t="shared" si="27"/>
        <v>95</v>
      </c>
      <c r="I114" s="1685">
        <f t="shared" si="27"/>
        <v>94</v>
      </c>
      <c r="J114" s="1685">
        <f t="shared" si="27"/>
        <v>93</v>
      </c>
      <c r="K114" s="1685">
        <f t="shared" si="27"/>
        <v>92</v>
      </c>
      <c r="L114" s="1685">
        <f t="shared" si="27"/>
        <v>91</v>
      </c>
      <c r="M114" s="1685">
        <f t="shared" si="27"/>
        <v>90</v>
      </c>
      <c r="N114" s="1865"/>
      <c r="O114" s="1865"/>
      <c r="P114" s="1865"/>
      <c r="Q114" s="1696"/>
    </row>
    <row r="115" spans="1:17" ht="15" thickTop="1">
      <c r="A115" s="1601"/>
      <c r="B115" s="1681" t="s">
        <v>2089</v>
      </c>
      <c r="C115" s="3060" t="s">
        <v>3076</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8">C116-$K39</f>
        <v>99</v>
      </c>
      <c r="E116" s="1685">
        <f t="shared" si="28"/>
        <v>98</v>
      </c>
      <c r="F116" s="1685">
        <f t="shared" si="28"/>
        <v>97</v>
      </c>
      <c r="G116" s="1685">
        <f t="shared" si="28"/>
        <v>96</v>
      </c>
      <c r="H116" s="1685">
        <f t="shared" si="28"/>
        <v>95</v>
      </c>
      <c r="I116" s="1685">
        <f t="shared" si="28"/>
        <v>94</v>
      </c>
      <c r="J116" s="1685">
        <f t="shared" si="28"/>
        <v>93</v>
      </c>
      <c r="K116" s="1685">
        <f t="shared" si="28"/>
        <v>92</v>
      </c>
      <c r="L116" s="1685">
        <f t="shared" si="28"/>
        <v>91</v>
      </c>
      <c r="M116" s="1686">
        <f t="shared" si="28"/>
        <v>90</v>
      </c>
      <c r="N116" s="2247"/>
      <c r="O116" s="2247"/>
      <c r="P116" s="1864"/>
      <c r="Q116" s="1647"/>
    </row>
    <row r="117" spans="1:17" ht="15" thickTop="1">
      <c r="A117" s="1601"/>
      <c r="B117" s="1681" t="s">
        <v>2090</v>
      </c>
      <c r="C117" s="3060" t="s">
        <v>3078</v>
      </c>
      <c r="D117" s="456"/>
      <c r="E117" s="456"/>
      <c r="F117" s="456"/>
      <c r="G117" s="456"/>
      <c r="H117" s="1416"/>
      <c r="I117" s="1416"/>
      <c r="J117" s="1416"/>
      <c r="K117" s="461"/>
      <c r="L117" s="461"/>
      <c r="M117" s="1715"/>
      <c r="N117" s="2708"/>
      <c r="O117" s="2708"/>
      <c r="P117" s="1864"/>
      <c r="Q117" s="1647"/>
    </row>
    <row r="118" spans="1:17" ht="14.4" thickBot="1">
      <c r="A118" s="1534"/>
      <c r="B118" s="1684"/>
      <c r="C118" s="1685">
        <v>100</v>
      </c>
      <c r="D118" s="1685">
        <f>C118-$K40</f>
        <v>98</v>
      </c>
      <c r="E118" s="1685">
        <f>D118-$K40</f>
        <v>96</v>
      </c>
      <c r="F118" s="1685">
        <f>E118-$K40</f>
        <v>94</v>
      </c>
      <c r="G118" s="1685">
        <f>F118-$K40</f>
        <v>92</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060" t="s">
        <v>3071</v>
      </c>
      <c r="D123" s="3060" t="s">
        <v>3079</v>
      </c>
      <c r="E123" s="3060" t="s">
        <v>3080</v>
      </c>
      <c r="F123" s="3062" t="s">
        <v>3082</v>
      </c>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0">C124-$K43</f>
        <v>99</v>
      </c>
      <c r="E124" s="1685">
        <f t="shared" si="30"/>
        <v>98</v>
      </c>
      <c r="F124" s="1685">
        <f t="shared" si="30"/>
        <v>97</v>
      </c>
      <c r="G124" s="1685">
        <f t="shared" si="30"/>
        <v>96</v>
      </c>
      <c r="H124" s="1685">
        <f t="shared" si="30"/>
        <v>95</v>
      </c>
      <c r="I124" s="1685">
        <f t="shared" si="30"/>
        <v>94</v>
      </c>
      <c r="J124" s="1685">
        <f t="shared" si="30"/>
        <v>93</v>
      </c>
      <c r="K124" s="1685">
        <f t="shared" si="30"/>
        <v>92</v>
      </c>
      <c r="L124" s="1685">
        <f t="shared" si="30"/>
        <v>91</v>
      </c>
      <c r="M124" s="1686">
        <f t="shared" si="30"/>
        <v>90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19" zoomScale="85" zoomScaleNormal="60" zoomScaleSheetLayoutView="85" workbookViewId="0">
      <selection activeCell="F31" sqref="F3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3092</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3389625</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40829</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150183</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149996</v>
      </c>
      <c r="D6" s="32" t="s">
        <v>2460</v>
      </c>
      <c r="E6" s="231" t="s">
        <v>1776</v>
      </c>
      <c r="F6" s="232">
        <f>'数据-取费表'!B30</f>
        <v>5.5</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83.02</v>
      </c>
      <c r="G7" s="863"/>
      <c r="H7" s="233"/>
      <c r="I7" s="234"/>
      <c r="J7" s="235"/>
      <c r="K7" s="236"/>
      <c r="L7" s="231" t="s">
        <v>1777</v>
      </c>
      <c r="M7" s="232">
        <f>IF('数据-取费表'!B42="",IF(D1="仅计算典型户型",'数据-取费表'!E5,'数据-取费表'!B5),'数据-取费表'!B42)</f>
        <v>83.02</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187</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368712</v>
      </c>
      <c r="D13" s="973" t="s">
        <v>1791</v>
      </c>
      <c r="E13" s="973" t="s">
        <v>1792</v>
      </c>
      <c r="F13" s="974">
        <f>'数据-取费表'!E20</f>
        <v>0.77</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332080</v>
      </c>
      <c r="D14" s="1195" t="s">
        <v>1795</v>
      </c>
      <c r="E14" s="1196"/>
      <c r="F14" s="722"/>
      <c r="G14" s="864"/>
      <c r="H14" s="249" t="s">
        <v>1774</v>
      </c>
      <c r="I14" s="231" t="s">
        <v>1796</v>
      </c>
      <c r="J14" s="12">
        <f ca="1">C29</f>
        <v>478847</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9962</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9577</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16604</v>
      </c>
      <c r="D17" s="231" t="s">
        <v>1809</v>
      </c>
      <c r="E17" s="231" t="s">
        <v>1810</v>
      </c>
      <c r="F17" s="14">
        <f>'数据-取费表'!E23</f>
        <v>200</v>
      </c>
      <c r="G17" s="864"/>
      <c r="H17" s="249" t="s">
        <v>1811</v>
      </c>
      <c r="I17" s="231" t="s">
        <v>1812</v>
      </c>
      <c r="J17" s="2541">
        <f>ROUND(IF(AND(项目基本情况!B7="自然人",项目基本情况!B6="北京市"),J6*M17/(1+'数据-取费表'!F30),J18+J19+J20),0)</f>
        <v>0</v>
      </c>
      <c r="K17" s="1195" t="s">
        <v>1813</v>
      </c>
      <c r="L17" s="1198" t="s">
        <v>1814</v>
      </c>
      <c r="M17" s="2540">
        <f>IF(项目基本情况!B7="企业","——",IF('数据-取费表'!B10="住宅",IF(M6*M7*M8/12/(1+'数据-取费表'!F30)&gt;100000,4%,2.5%),IF(M6*M7*M8/12/(1+'数据-取费表'!F30)&gt;100000,12%,7%)))</f>
        <v>2.5000000000000001E-2</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4981</v>
      </c>
      <c r="D18" s="231" t="s">
        <v>1799</v>
      </c>
      <c r="E18" s="231" t="s">
        <v>1800</v>
      </c>
      <c r="F18" s="254">
        <f>'数据-取费表'!E24</f>
        <v>1.4999999999999999E-2</v>
      </c>
      <c r="G18" s="863"/>
      <c r="H18" s="249" t="s">
        <v>1817</v>
      </c>
      <c r="I18" s="231" t="s">
        <v>1818</v>
      </c>
      <c r="J18" s="12" t="str">
        <f>IF(项目基本情况!B7="自然人","——",ROUND(J6*M18/(1+'数据-取费表'!F30),0))</f>
        <v>——</v>
      </c>
      <c r="K18" s="1198" t="s">
        <v>2486</v>
      </c>
      <c r="L18" s="231" t="s">
        <v>1800</v>
      </c>
      <c r="M18" s="254">
        <f>'数据-取费表'!E29</f>
        <v>5.6000000000000001E-2</v>
      </c>
    </row>
    <row r="19" spans="1:37" s="253" customFormat="1" ht="18" customHeight="1">
      <c r="A19" s="249" t="s">
        <v>1811</v>
      </c>
      <c r="B19" s="231" t="s">
        <v>1819</v>
      </c>
      <c r="C19" s="12">
        <f>SUM(C14:C18)</f>
        <v>363627</v>
      </c>
      <c r="D19" s="29" t="s">
        <v>1820</v>
      </c>
      <c r="E19" s="1200"/>
      <c r="F19" s="14"/>
      <c r="G19" s="864"/>
      <c r="H19" s="249" t="s">
        <v>1797</v>
      </c>
      <c r="I19" s="231" t="s">
        <v>1821</v>
      </c>
      <c r="J19" s="12" t="str">
        <f>IF(项目基本情况!B7="自然人","——",IF(K19="按租金收入计税",ROUND(J6*M19/(1+'数据-取费表'!F30),0),ROUND(C29*M19*0.7,0)))</f>
        <v>——</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7273</v>
      </c>
      <c r="D20" s="255" t="s">
        <v>1824</v>
      </c>
      <c r="E20" s="231" t="s">
        <v>1825</v>
      </c>
      <c r="F20" s="254">
        <f>'数据-取费表'!E25</f>
        <v>0.02</v>
      </c>
      <c r="G20" s="864"/>
      <c r="H20" s="249" t="s">
        <v>1803</v>
      </c>
      <c r="I20" s="32" t="s">
        <v>1826</v>
      </c>
      <c r="J20" s="13" t="str">
        <f>IF(项目基本情况!B7="自然人","——",ROUND(M20*M21,0))</f>
        <v>——</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9577</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15393</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-9577</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55635</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478847</v>
      </c>
      <c r="D29" s="984"/>
      <c r="E29" s="982"/>
      <c r="F29" s="985"/>
      <c r="G29" s="622"/>
      <c r="H29" s="267" t="s">
        <v>24</v>
      </c>
      <c r="I29" s="268" t="s">
        <v>1869</v>
      </c>
      <c r="J29" s="269">
        <f ca="1">ROUND(J26/(1+F40)^F41,0)</f>
        <v>0</v>
      </c>
      <c r="K29" s="270" t="s">
        <v>1870</v>
      </c>
      <c r="L29" s="271"/>
      <c r="M29" s="272">
        <f>IF(D1="仅计算典型户型",'数据-取费表'!E5,'数据-取费表'!B5)</f>
        <v>83.02</v>
      </c>
    </row>
    <row r="30" spans="1:37" ht="18" customHeight="1" thickTop="1">
      <c r="A30" s="971" t="s">
        <v>14</v>
      </c>
      <c r="B30" s="972" t="s">
        <v>1871</v>
      </c>
      <c r="C30" s="239">
        <f ca="1">ROUND(C31+C36+C37+C38,0)</f>
        <v>16889</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3571</v>
      </c>
      <c r="D31" s="1195" t="s">
        <v>1873</v>
      </c>
      <c r="E31" s="1198" t="s">
        <v>1874</v>
      </c>
      <c r="F31" s="2540">
        <f>IF(项目基本情况!B7="企业","——",IF('数据-取费表'!B10="住宅",IF(F6*F7*F8/12/(1+'数据-取费表'!F30)&gt;100000,4%,2.5%),IF(F6*F7*F8/12/(1+'数据-取费表'!F30)&gt;100000,12%,7%)))</f>
        <v>2.5000000000000001E-2</v>
      </c>
      <c r="G31" s="622"/>
      <c r="H31" s="846"/>
      <c r="I31" s="847"/>
      <c r="J31" s="848"/>
      <c r="K31" s="27"/>
      <c r="L31" s="849"/>
      <c r="M31" s="850"/>
    </row>
    <row r="32" spans="1:37" ht="18" customHeight="1">
      <c r="A32" s="249" t="s">
        <v>1793</v>
      </c>
      <c r="B32" s="231" t="s">
        <v>1875</v>
      </c>
      <c r="C32" s="12" t="str">
        <f>IF(项目基本情况!B7="自然人","——",ROUND(C6*F32/(1+'数据-取费表'!F30),0))</f>
        <v>——</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t="str">
        <f>IF(项目基本情况!B7="自然人","——",IF(D33="按租金收入计税",ROUND(C6*F33/(1+'数据-取费表'!F30),0),IF(D33="按房产原值计税",ROUND(C29*F33*0.7,0),'数据-取费表'!B44)))</f>
        <v>——</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t="str">
        <f>IF(项目基本情况!B7="自然人","——",ROUND(F34*F35,0))</f>
        <v>——</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9577</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737</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3004</v>
      </c>
      <c r="D38" s="984" t="s">
        <v>1846</v>
      </c>
      <c r="E38" s="982" t="s">
        <v>1842</v>
      </c>
      <c r="F38" s="977">
        <f>'数据-取费表'!B47</f>
        <v>0.02</v>
      </c>
      <c r="G38" s="622"/>
      <c r="H38" s="857"/>
      <c r="I38" s="276" t="s">
        <v>1884</v>
      </c>
      <c r="J38" s="132">
        <f ca="1">ROUND(J34/C39,3)</f>
        <v>0</v>
      </c>
      <c r="K38" s="862"/>
      <c r="L38" s="857"/>
      <c r="M38" s="857"/>
    </row>
    <row r="39" spans="1:18" ht="18" customHeight="1" thickTop="1">
      <c r="A39" s="971" t="s">
        <v>22</v>
      </c>
      <c r="B39" s="986" t="s">
        <v>1885</v>
      </c>
      <c r="C39" s="239">
        <f ca="1">C5-C30</f>
        <v>133294</v>
      </c>
      <c r="D39" s="987" t="s">
        <v>1886</v>
      </c>
      <c r="E39" s="988"/>
      <c r="F39" s="989"/>
      <c r="G39" s="622"/>
      <c r="H39" s="857"/>
      <c r="I39" s="276" t="s">
        <v>1887</v>
      </c>
      <c r="J39" s="132">
        <f ca="1">1-J38</f>
        <v>1</v>
      </c>
      <c r="K39" s="862"/>
      <c r="L39" s="857"/>
      <c r="M39" s="857"/>
    </row>
    <row r="40" spans="1:18" s="622" customFormat="1" ht="18" customHeight="1">
      <c r="A40" s="228" t="s">
        <v>23</v>
      </c>
      <c r="B40" s="229" t="s">
        <v>1888</v>
      </c>
      <c r="C40" s="230">
        <f ca="1">ROUND(C39*(1-((1+F42)/(1+F40))^F41)/(F40-F42),0)</f>
        <v>3389625</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49.89</v>
      </c>
      <c r="H41" s="27"/>
      <c r="I41" s="131" t="s">
        <v>1762</v>
      </c>
      <c r="J41" s="132">
        <f ca="1">ROUND(C13/C40,3)</f>
        <v>0.109</v>
      </c>
      <c r="K41" s="861"/>
      <c r="L41" s="27"/>
      <c r="M41" s="27"/>
      <c r="Q41" s="625"/>
    </row>
    <row r="42" spans="1:18" s="622" customFormat="1" ht="18" customHeight="1">
      <c r="A42" s="237"/>
      <c r="B42" s="238"/>
      <c r="C42" s="239"/>
      <c r="D42" s="260"/>
      <c r="E42" s="231" t="s">
        <v>1866</v>
      </c>
      <c r="F42" s="241">
        <f>'数据-取费表'!B32</f>
        <v>2.5000000000000001E-2</v>
      </c>
      <c r="H42" s="27"/>
      <c r="I42" s="131" t="s">
        <v>1763</v>
      </c>
      <c r="J42" s="133">
        <f ca="1">1-J41</f>
        <v>0.89100000000000001</v>
      </c>
      <c r="K42" s="861"/>
      <c r="L42" s="27"/>
      <c r="M42" s="27"/>
      <c r="Q42" s="625"/>
    </row>
    <row r="43" spans="1:18" s="622" customFormat="1" ht="18" customHeight="1" thickBot="1">
      <c r="A43" s="267" t="s">
        <v>24</v>
      </c>
      <c r="B43" s="268" t="s">
        <v>1891</v>
      </c>
      <c r="C43" s="269">
        <f ca="1">ROUND(C40/F43,0)</f>
        <v>40829</v>
      </c>
      <c r="D43" s="270" t="s">
        <v>1892</v>
      </c>
      <c r="E43" s="271" t="s">
        <v>1893</v>
      </c>
      <c r="F43" s="272">
        <f>IF(D1="仅计算典型户型",'数据-取费表'!E5,'数据-取费表'!B5)</f>
        <v>83.02</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3389625</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-3564181</v>
      </c>
      <c r="D47" s="1371" t="str">
        <f>C2</f>
        <v>元</v>
      </c>
      <c r="E47" s="619"/>
      <c r="F47" s="619"/>
      <c r="I47" s="1372" t="s">
        <v>1904</v>
      </c>
      <c r="J47" s="932"/>
      <c r="K47" s="933"/>
      <c r="L47" s="945">
        <f>IF(M48="住宅",0,IF(L49&gt;J52,L61,J61))</f>
        <v>0</v>
      </c>
      <c r="O47" s="959" t="s">
        <v>769</v>
      </c>
      <c r="P47" s="956" t="s">
        <v>1905</v>
      </c>
      <c r="Q47" s="957">
        <f ca="1">C29</f>
        <v>478847</v>
      </c>
      <c r="R47" s="958" t="s">
        <v>1900</v>
      </c>
    </row>
    <row r="48" spans="1:18" s="622" customFormat="1" ht="16.2" thickBot="1">
      <c r="A48" s="224" t="s">
        <v>1906</v>
      </c>
      <c r="B48" s="225" t="s">
        <v>1907</v>
      </c>
      <c r="C48" s="225" t="s">
        <v>1908</v>
      </c>
      <c r="D48" s="225" t="s">
        <v>1909</v>
      </c>
      <c r="E48" s="896" t="s">
        <v>1910</v>
      </c>
      <c r="F48" s="897"/>
      <c r="I48" s="1373" t="s">
        <v>1911</v>
      </c>
      <c r="J48" s="1374" t="s">
        <v>3035</v>
      </c>
      <c r="K48" s="1375" t="s">
        <v>1912</v>
      </c>
      <c r="L48" s="934">
        <f>'数据-取费表'!B11</f>
        <v>70</v>
      </c>
      <c r="M48" s="946" t="str">
        <f>IF('数据-取费表'!B10="住宅","住宅","非住宅")</f>
        <v>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3036</v>
      </c>
      <c r="K49" s="1378" t="s">
        <v>1916</v>
      </c>
      <c r="L49" s="784">
        <f>'数据-取费表'!B13</f>
        <v>49.89</v>
      </c>
      <c r="O49" s="959" t="s">
        <v>771</v>
      </c>
      <c r="P49" s="956" t="s">
        <v>1917</v>
      </c>
      <c r="Q49" s="960">
        <f>J53</f>
        <v>0.08</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2003</v>
      </c>
      <c r="K50" s="1380" t="s">
        <v>1921</v>
      </c>
      <c r="L50" s="935"/>
      <c r="O50" s="959" t="s">
        <v>772</v>
      </c>
      <c r="P50" s="956" t="s">
        <v>1922</v>
      </c>
      <c r="Q50" s="957">
        <f>J54</f>
        <v>49.89</v>
      </c>
      <c r="R50" s="958" t="s">
        <v>1923</v>
      </c>
    </row>
    <row r="51" spans="1:18" s="622" customFormat="1" ht="16.2" thickBot="1">
      <c r="A51" s="233"/>
      <c r="B51" s="234"/>
      <c r="C51" s="235"/>
      <c r="D51" s="236"/>
      <c r="E51" s="251" t="s">
        <v>1777</v>
      </c>
      <c r="F51" s="895">
        <f>F7</f>
        <v>83.02</v>
      </c>
      <c r="I51" s="1376" t="s">
        <v>1924</v>
      </c>
      <c r="J51" s="936">
        <f>SUMPRODUCT((I64:I66=J48)*(J63:L63=J49)*(J64:L66))</f>
        <v>60</v>
      </c>
      <c r="K51" s="1380" t="s">
        <v>1925</v>
      </c>
      <c r="L51" s="935"/>
      <c r="O51" s="955" t="s">
        <v>773</v>
      </c>
      <c r="P51" s="956" t="str">
        <f>IF(C2="元","收益价值(元)","收益价值(万元)")</f>
        <v>收益价值(元)</v>
      </c>
      <c r="Q51" s="957">
        <f ca="1">ROUND(IF(C2="元",Q45+Q46,(Q45+Q46)/10000),0)</f>
        <v>3389625</v>
      </c>
      <c r="R51" s="958" t="s">
        <v>774</v>
      </c>
    </row>
    <row r="52" spans="1:18" s="622" customFormat="1" ht="16.2" thickBot="1">
      <c r="A52" s="233"/>
      <c r="B52" s="234"/>
      <c r="C52" s="235"/>
      <c r="D52" s="236"/>
      <c r="E52" s="231" t="s">
        <v>1779</v>
      </c>
      <c r="F52" s="232">
        <f>F8</f>
        <v>365</v>
      </c>
      <c r="I52" s="1381" t="s">
        <v>1926</v>
      </c>
      <c r="J52" s="784">
        <f>IF(J50="",J51,J50+J51-YEAR('数据-取费表'!B2))</f>
        <v>41</v>
      </c>
      <c r="K52" s="1382" t="s">
        <v>1927</v>
      </c>
      <c r="L52" s="937">
        <f ca="1">ROUND(-PV('数据-取费表'!B15,J52,(C40-C13*J35)),0)</f>
        <v>62932149</v>
      </c>
      <c r="O52" s="949" t="s">
        <v>1928</v>
      </c>
      <c r="P52" s="950"/>
      <c r="Q52" s="946"/>
      <c r="R52" s="950"/>
    </row>
    <row r="53" spans="1:18" s="622" customFormat="1" ht="16.2" thickBot="1">
      <c r="A53" s="237"/>
      <c r="B53" s="238"/>
      <c r="C53" s="239"/>
      <c r="D53" s="240"/>
      <c r="E53" s="231" t="s">
        <v>1780</v>
      </c>
      <c r="F53" s="944"/>
      <c r="I53" s="1383" t="s">
        <v>1929</v>
      </c>
      <c r="J53" s="938">
        <v>0.08</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49.89</v>
      </c>
      <c r="K54" s="3336" t="s">
        <v>2459</v>
      </c>
      <c r="L54" s="3337"/>
      <c r="O54" s="955" t="s">
        <v>767</v>
      </c>
      <c r="P54" s="956" t="s">
        <v>1899</v>
      </c>
      <c r="Q54" s="957">
        <f ca="1">C40+J29</f>
        <v>3389625</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368712</v>
      </c>
      <c r="D57" s="893"/>
      <c r="E57" s="894"/>
      <c r="F57" s="901"/>
      <c r="I57" s="1390" t="s">
        <v>1936</v>
      </c>
      <c r="J57" s="943" t="s">
        <v>3037</v>
      </c>
      <c r="K57" s="1376" t="s">
        <v>1937</v>
      </c>
      <c r="L57" s="784">
        <f>IF(L49&lt;J52,"——",L49-J52)</f>
        <v>8.89</v>
      </c>
      <c r="O57" s="959" t="s">
        <v>770</v>
      </c>
      <c r="P57" s="956" t="s">
        <v>1938</v>
      </c>
      <c r="Q57" s="960">
        <f>L53</f>
        <v>0</v>
      </c>
      <c r="R57" s="958"/>
    </row>
    <row r="58" spans="1:18" s="622" customFormat="1" ht="31.8" thickBot="1">
      <c r="A58" s="900"/>
      <c r="B58" s="231" t="s">
        <v>1868</v>
      </c>
      <c r="C58" s="100">
        <f ca="1">C29</f>
        <v>478847</v>
      </c>
      <c r="D58" s="893"/>
      <c r="E58" s="894"/>
      <c r="F58" s="901"/>
      <c r="I58" s="1391" t="s">
        <v>1939</v>
      </c>
      <c r="J58" s="942" t="str">
        <f>IF(OR(M48="住宅",J52&lt;L49,J57="是"),"——",J52-L49)</f>
        <v>——</v>
      </c>
      <c r="K58" s="1376" t="s">
        <v>1940</v>
      </c>
      <c r="L58" s="784">
        <f ca="1">IF(L49&lt;J52,"——",IF(L56="比较法",L50,IF(L56="基准地价",L51,L52)))</f>
        <v>62932149</v>
      </c>
      <c r="O58" s="959" t="s">
        <v>771</v>
      </c>
      <c r="P58" s="956" t="s">
        <v>1941</v>
      </c>
      <c r="Q58" s="957" t="e">
        <f>L59</f>
        <v>#DIV/0!</v>
      </c>
      <c r="R58" s="958" t="s">
        <v>1942</v>
      </c>
    </row>
    <row r="59" spans="1:18" s="622" customFormat="1" ht="31.8" thickBot="1">
      <c r="A59" s="244" t="s">
        <v>14</v>
      </c>
      <c r="B59" s="245" t="s">
        <v>1871</v>
      </c>
      <c r="C59" s="246">
        <f ca="1">ROUND(C60+C65+C66+C67,0)</f>
        <v>10314</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ROUND(IF(AND(项目基本情况!B7="自然人",项目基本情况!B6="北京市"),C50*F60/(1+'数据-取费表'!F30),C61+C62+C63),0)</f>
        <v>0</v>
      </c>
      <c r="D60" s="1195" t="s">
        <v>1873</v>
      </c>
      <c r="E60" s="1198" t="s">
        <v>1874</v>
      </c>
      <c r="F60" s="2540">
        <f>IF(项目基本情况!B7="企业","——",IF('数据-取费表'!B10="住宅",IF(F50*F51*F52/12/(1+'数据-取费表'!F30)&gt;100000,4%,2.5%),IF(F50*F51*F52/12/(1+'数据-取费表'!F30)&gt;100000,12%,7%)))</f>
        <v>2.5000000000000001E-2</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3389625</v>
      </c>
      <c r="R60" s="958" t="s">
        <v>774</v>
      </c>
    </row>
    <row r="61" spans="1:18" s="622" customFormat="1" ht="16.2" thickBot="1">
      <c r="A61" s="249" t="s">
        <v>16</v>
      </c>
      <c r="B61" s="231" t="s">
        <v>1875</v>
      </c>
      <c r="C61" s="12" t="str">
        <f>IF(项目基本情况!B7="自然人","——",ROUND(C49*F61/(1+'数据-取费表'!F30),0))</f>
        <v>——</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t="str">
        <f>IF(项目基本情况!B7="自然人","——",IF(D62="按租金收入计税",ROUND(C50*F62/(1+'数据-取费表'!F30),0),IF(D62="按房产原值计税",ROUND(C58*F62*0.7,0),'数据-取费表'!B44)))</f>
        <v>——</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t="str">
        <f>IF(项目基本情况!B7="自然人","——",ROUND(F63*F64,0))</f>
        <v>——</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3389625</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9577</v>
      </c>
      <c r="D65" s="1198" t="s">
        <v>1881</v>
      </c>
      <c r="E65" s="231" t="s">
        <v>1825</v>
      </c>
      <c r="F65" s="261">
        <f t="shared" si="0"/>
        <v>0.02</v>
      </c>
      <c r="I65" s="1394" t="s">
        <v>1961</v>
      </c>
      <c r="J65" s="1191">
        <v>50</v>
      </c>
      <c r="K65" s="1191">
        <v>35</v>
      </c>
      <c r="L65" s="1191">
        <v>60</v>
      </c>
      <c r="M65" s="1190">
        <v>0</v>
      </c>
      <c r="O65" s="959" t="s">
        <v>769</v>
      </c>
      <c r="P65" s="956" t="s">
        <v>1935</v>
      </c>
      <c r="Q65" s="961">
        <f ca="1">L52</f>
        <v>62932149</v>
      </c>
      <c r="R65" s="962" t="s">
        <v>1962</v>
      </c>
    </row>
    <row r="66" spans="1:18" s="622" customFormat="1" ht="19.2" thickBot="1">
      <c r="A66" s="249" t="s">
        <v>20</v>
      </c>
      <c r="B66" s="231" t="s">
        <v>1840</v>
      </c>
      <c r="C66" s="12">
        <f ca="1">ROUND(C57*F66,0)</f>
        <v>737</v>
      </c>
      <c r="D66" s="1198" t="s">
        <v>1841</v>
      </c>
      <c r="E66" s="231" t="s">
        <v>1842</v>
      </c>
      <c r="F66" s="262">
        <f t="shared" si="0"/>
        <v>2E-3</v>
      </c>
      <c r="I66" s="1394" t="s">
        <v>1963</v>
      </c>
      <c r="J66" s="1191">
        <v>40</v>
      </c>
      <c r="K66" s="1191">
        <v>30</v>
      </c>
      <c r="L66" s="1191">
        <v>50</v>
      </c>
      <c r="M66" s="1189">
        <v>0.02</v>
      </c>
      <c r="O66" s="959" t="s">
        <v>770</v>
      </c>
      <c r="P66" s="963" t="s">
        <v>1964</v>
      </c>
      <c r="Q66" s="957">
        <f ca="1">ROUND(Q67-Q68*Q69,0)</f>
        <v>133294</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133294</v>
      </c>
      <c r="R67" s="958" t="s">
        <v>1900</v>
      </c>
    </row>
    <row r="68" spans="1:18" ht="24.6" thickBot="1">
      <c r="A68" s="244" t="s">
        <v>22</v>
      </c>
      <c r="B68" s="37" t="s">
        <v>1850</v>
      </c>
      <c r="C68" s="246">
        <f ca="1">C49-C59</f>
        <v>-10314</v>
      </c>
      <c r="D68" s="1195" t="s">
        <v>1851</v>
      </c>
      <c r="E68" s="1197"/>
      <c r="F68" s="264"/>
      <c r="H68" s="622"/>
      <c r="I68" s="622"/>
      <c r="J68" s="622"/>
      <c r="K68" s="622"/>
      <c r="L68" s="622"/>
      <c r="M68" s="622"/>
      <c r="O68" s="959" t="s">
        <v>776</v>
      </c>
      <c r="P68" s="963" t="s">
        <v>1966</v>
      </c>
      <c r="Q68" s="957">
        <f ca="1">C13</f>
        <v>368712</v>
      </c>
      <c r="R68" s="958" t="s">
        <v>1900</v>
      </c>
    </row>
    <row r="69" spans="1:18" ht="16.2" thickBot="1">
      <c r="A69" s="228" t="s">
        <v>23</v>
      </c>
      <c r="B69" s="229" t="s">
        <v>1888</v>
      </c>
      <c r="C69" s="230">
        <f ca="1">ROUND(C68*(1-((1+F71)/(1+F69))^F70)/(F69-F71),0)</f>
        <v>-174556</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49.89</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-2103</v>
      </c>
      <c r="D72" s="270" t="s">
        <v>1892</v>
      </c>
      <c r="E72" s="271" t="s">
        <v>1893</v>
      </c>
      <c r="F72" s="272">
        <f>F43</f>
        <v>83.02</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3389625</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344" t="s">
        <v>2652</v>
      </c>
      <c r="K2" s="3345"/>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46" t="s">
        <v>2662</v>
      </c>
      <c r="K3" s="3347"/>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46" t="s">
        <v>2664</v>
      </c>
      <c r="K4" s="3347"/>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52" t="s">
        <v>2668</v>
      </c>
      <c r="B6" s="3353"/>
      <c r="C6" s="3354"/>
      <c r="D6" s="2896"/>
      <c r="E6" s="2840"/>
      <c r="F6" s="2841"/>
      <c r="G6" s="2941"/>
      <c r="H6" s="2927"/>
      <c r="I6" s="2928"/>
      <c r="J6" s="3338">
        <v>1</v>
      </c>
      <c r="K6" s="3339"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338"/>
      <c r="K7" s="3340"/>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55" t="s">
        <v>2681</v>
      </c>
      <c r="C8" s="3356"/>
      <c r="D8" s="2850" t="s">
        <v>2682</v>
      </c>
      <c r="E8" s="2851" t="s">
        <v>2683</v>
      </c>
      <c r="F8" s="2834" t="s">
        <v>2684</v>
      </c>
      <c r="G8" s="2998" t="s">
        <v>2792</v>
      </c>
      <c r="H8" s="2927"/>
      <c r="I8" s="2928"/>
      <c r="J8" s="3338"/>
      <c r="K8" s="3340"/>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55" t="s">
        <v>2686</v>
      </c>
      <c r="C9" s="3356"/>
      <c r="D9" s="2850">
        <f>ROUND(D6*E9,0)</f>
        <v>0</v>
      </c>
      <c r="E9" s="2897"/>
      <c r="F9" s="2852" t="s">
        <v>2687</v>
      </c>
      <c r="G9" s="2950" t="s">
        <v>2790</v>
      </c>
      <c r="H9" s="2927"/>
      <c r="I9" s="2928"/>
      <c r="J9" s="3338"/>
      <c r="K9" s="3340"/>
      <c r="L9" s="2945" t="s">
        <v>2780</v>
      </c>
      <c r="M9" s="2946"/>
      <c r="N9" s="2946"/>
      <c r="O9" s="2947"/>
      <c r="P9" s="2947"/>
      <c r="Q9" s="2948">
        <v>365</v>
      </c>
      <c r="R9" s="2949">
        <f t="shared" si="0"/>
        <v>0</v>
      </c>
      <c r="S9" s="2925"/>
      <c r="T9" s="2925"/>
      <c r="U9" s="2925"/>
      <c r="V9" s="2928"/>
      <c r="W9" s="2927"/>
    </row>
    <row r="10" spans="1:23" s="2833" customFormat="1" ht="13.2" customHeight="1">
      <c r="A10" s="2849">
        <v>2</v>
      </c>
      <c r="B10" s="3355" t="s">
        <v>2688</v>
      </c>
      <c r="C10" s="3356"/>
      <c r="D10" s="2850">
        <f>ROUND(D6*E10,0)</f>
        <v>0</v>
      </c>
      <c r="E10" s="2897"/>
      <c r="F10" s="2852" t="s">
        <v>2689</v>
      </c>
      <c r="G10" s="2950" t="s">
        <v>2791</v>
      </c>
      <c r="H10" s="2927"/>
      <c r="I10" s="2928"/>
      <c r="J10" s="3338"/>
      <c r="K10" s="3340"/>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55" t="s">
        <v>2690</v>
      </c>
      <c r="C11" s="3356"/>
      <c r="D11" s="2850">
        <f>D12+D14+D15+D16</f>
        <v>0</v>
      </c>
      <c r="E11" s="2853" t="e">
        <f>D11/D6</f>
        <v>#DIV/0!</v>
      </c>
      <c r="F11" s="2834"/>
      <c r="G11" s="2950"/>
      <c r="H11" s="2927"/>
      <c r="I11" s="2928"/>
      <c r="J11" s="3338"/>
      <c r="K11" s="3340"/>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48" t="s">
        <v>2692</v>
      </c>
      <c r="C12" s="3349"/>
      <c r="D12" s="2855">
        <f>ROUND(D13*1.2%*(1-30%),0)</f>
        <v>0</v>
      </c>
      <c r="E12" s="2856">
        <v>1.2E-2</v>
      </c>
      <c r="F12" s="2834" t="s">
        <v>2693</v>
      </c>
      <c r="G12" s="2950"/>
      <c r="H12" s="2927"/>
      <c r="I12" s="2928"/>
      <c r="J12" s="3338"/>
      <c r="K12" s="3340"/>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338"/>
      <c r="K13" s="3340"/>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48" t="s">
        <v>2696</v>
      </c>
      <c r="C14" s="3349"/>
      <c r="D14" s="2855">
        <f>ROUND(E14*B5/10000,0)</f>
        <v>0</v>
      </c>
      <c r="E14" s="2899"/>
      <c r="F14" s="2834" t="s">
        <v>2697</v>
      </c>
      <c r="G14" s="2950"/>
      <c r="H14" s="2927"/>
      <c r="I14" s="2928"/>
      <c r="J14" s="3338"/>
      <c r="K14" s="3341"/>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48" t="s">
        <v>2700</v>
      </c>
      <c r="C15" s="3349"/>
      <c r="D15" s="2855">
        <f>ROUND(D6*E15,0)</f>
        <v>0</v>
      </c>
      <c r="E15" s="2856">
        <v>5.5E-2</v>
      </c>
      <c r="F15" s="2834" t="s">
        <v>2701</v>
      </c>
      <c r="G15" s="2950"/>
      <c r="H15" s="2927"/>
      <c r="I15" s="2928"/>
      <c r="J15" s="3338">
        <v>2</v>
      </c>
      <c r="K15" s="3339"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48" t="s">
        <v>2711</v>
      </c>
      <c r="C16" s="3349"/>
      <c r="D16" s="2900">
        <f>D6*E16</f>
        <v>0</v>
      </c>
      <c r="E16" s="2901"/>
      <c r="F16" s="2852" t="s">
        <v>2712</v>
      </c>
      <c r="G16" s="2950"/>
      <c r="H16" s="2927"/>
      <c r="I16" s="2928"/>
      <c r="J16" s="3338"/>
      <c r="K16" s="3340"/>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50" t="s">
        <v>2713</v>
      </c>
      <c r="C17" s="3351"/>
      <c r="D17" s="2861">
        <f>ROUND(D6*E17,0)</f>
        <v>0</v>
      </c>
      <c r="E17" s="2902"/>
      <c r="F17" s="2862" t="s">
        <v>2714</v>
      </c>
      <c r="G17" s="2997">
        <v>0.1</v>
      </c>
      <c r="H17" s="2927"/>
      <c r="I17" s="2928"/>
      <c r="J17" s="3338"/>
      <c r="K17" s="3340"/>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338"/>
      <c r="K18" s="3340"/>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338"/>
      <c r="K19" s="3341"/>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338">
        <v>3</v>
      </c>
      <c r="K20" s="3339"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338"/>
      <c r="K21" s="3340"/>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338"/>
      <c r="K22" s="3340"/>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338"/>
      <c r="K23" s="3340"/>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338"/>
      <c r="K24" s="3341"/>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342">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343"/>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344" t="s">
        <v>2750</v>
      </c>
      <c r="K32" s="3345"/>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46" t="s">
        <v>2754</v>
      </c>
      <c r="K33" s="3347"/>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46" t="s">
        <v>2756</v>
      </c>
      <c r="K34" s="3347"/>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338">
        <v>1</v>
      </c>
      <c r="K36" s="3339"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338"/>
      <c r="K37" s="3340"/>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338"/>
      <c r="K38" s="3340"/>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338"/>
      <c r="K39" s="3340"/>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338"/>
      <c r="K40" s="3341"/>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342">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343"/>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J31" sqref="J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17958128</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f ca="1">B24</f>
        <v>408129997</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60" t="s">
        <v>1973</v>
      </c>
      <c r="D4" s="3361"/>
      <c r="E4" s="3361"/>
      <c r="F4" s="3361"/>
      <c r="G4" s="3361"/>
      <c r="H4" s="3361"/>
      <c r="I4" s="3361"/>
      <c r="J4" s="3361"/>
      <c r="K4" s="3361"/>
      <c r="L4" s="3361"/>
      <c r="M4" s="3361"/>
      <c r="N4" s="3361"/>
      <c r="O4" s="3361"/>
      <c r="P4" s="3361"/>
      <c r="Q4" s="3361"/>
      <c r="R4" s="3361"/>
      <c r="S4" s="3362"/>
      <c r="T4" s="555" t="s">
        <v>1974</v>
      </c>
      <c r="U4" s="909"/>
      <c r="V4" s="909"/>
      <c r="X4" s="909"/>
      <c r="Y4" s="909"/>
    </row>
    <row r="5" spans="1:44" s="566" customFormat="1" ht="39.6">
      <c r="A5" s="913"/>
      <c r="B5" s="562" t="s">
        <v>1975</v>
      </c>
      <c r="C5" s="563" t="str">
        <f t="shared" ref="C5:L5" si="0">C6&amp;"(含)"&amp;"-"&amp;D6</f>
        <v>0(含)-300</v>
      </c>
      <c r="D5" s="564" t="str">
        <f t="shared" si="0"/>
        <v>300(含)-500</v>
      </c>
      <c r="E5" s="564" t="str">
        <f t="shared" si="0"/>
        <v>500(含)-1000</v>
      </c>
      <c r="F5" s="564" t="str">
        <f t="shared" si="0"/>
        <v>1000(含)-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300</v>
      </c>
      <c r="E6" s="1721">
        <v>500</v>
      </c>
      <c r="F6" s="1721">
        <v>1000</v>
      </c>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98</v>
      </c>
      <c r="D7" s="1678">
        <v>100</v>
      </c>
      <c r="E7" s="1678">
        <v>98</v>
      </c>
      <c r="F7" s="1678">
        <v>96</v>
      </c>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hidden="1"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hidden="1"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hidden="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hidden="1"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idden="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hidden="1"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idden="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hidden="1"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idden="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hidden="1"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idden="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hidden="1"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8" thickTop="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17958128</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f ca="1">ROUND(B23*10000/B25,0)</f>
        <v>408129997</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440.01</v>
      </c>
      <c r="C25" s="3357" t="s">
        <v>45</v>
      </c>
      <c r="D25" s="3358"/>
      <c r="E25" s="3358"/>
      <c r="F25" s="3358"/>
      <c r="G25" s="3358"/>
      <c r="H25" s="3358"/>
      <c r="I25" s="3358"/>
      <c r="J25" s="3358"/>
      <c r="K25" s="3358"/>
      <c r="L25" s="3358"/>
      <c r="M25" s="3358"/>
      <c r="N25" s="3358"/>
      <c r="O25" s="3358"/>
      <c r="P25" s="3358"/>
      <c r="Q25" s="3359"/>
      <c r="R25" s="12">
        <f ca="1">IF(C23="万元",ROUND(T25*10000/B25,0),ROUND(S25/B25,0))</f>
        <v>40813</v>
      </c>
      <c r="S25" s="12">
        <f ca="1">SUM(S27:S10000)</f>
        <v>17958128</v>
      </c>
      <c r="T25" s="12">
        <f ca="1">SUM(T27:T10000)</f>
        <v>1797</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t="str">
        <f>Sheet1!D6</f>
        <v>C-1007</v>
      </c>
      <c r="B27" s="576">
        <f>'数据-取费表'!E5</f>
        <v>83.02</v>
      </c>
      <c r="C27" s="820">
        <v>1</v>
      </c>
      <c r="D27" s="577"/>
      <c r="E27" s="820">
        <v>1</v>
      </c>
      <c r="F27" s="577"/>
      <c r="G27" s="820">
        <v>1</v>
      </c>
      <c r="H27" s="577"/>
      <c r="I27" s="820">
        <v>1</v>
      </c>
      <c r="J27" s="577"/>
      <c r="K27" s="820">
        <v>1</v>
      </c>
      <c r="L27" s="577"/>
      <c r="M27" s="820">
        <v>1</v>
      </c>
      <c r="N27" s="577"/>
      <c r="O27" s="820">
        <v>1</v>
      </c>
      <c r="P27" s="577"/>
      <c r="Q27" s="820">
        <v>1</v>
      </c>
      <c r="R27" s="575">
        <f ca="1">'结果表 (1修多)'!G20</f>
        <v>40813</v>
      </c>
      <c r="S27" s="576">
        <f ca="1">ROUND(R27*B27,0)</f>
        <v>3388295</v>
      </c>
      <c r="T27" s="576">
        <f ca="1">ROUND(R27*B27/10000,0)</f>
        <v>339</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t="str">
        <f>Sheet1!D7</f>
        <v>C-1008</v>
      </c>
      <c r="B28" s="19">
        <f>Sheet1!G7</f>
        <v>67.25</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40813</v>
      </c>
      <c r="S28" s="246">
        <f ca="1">ROUND(R28*B28,0)</f>
        <v>2744674</v>
      </c>
      <c r="T28" s="820">
        <f ca="1">ROUND(R28*B28/10000,0)</f>
        <v>274</v>
      </c>
      <c r="U28" s="2688">
        <f t="shared" ref="U28:U91" si="22">ROUND(W28*B28,0)</f>
        <v>0</v>
      </c>
      <c r="V28" s="2688">
        <f t="shared" ref="V28:V91" si="23">ROUND(W28*B28/10000,0)</f>
        <v>0</v>
      </c>
      <c r="W28" s="908"/>
      <c r="X28" s="2688">
        <f t="shared" ref="X28:X91" si="24">ROUND(Z28*B28,0)</f>
        <v>0</v>
      </c>
      <c r="Y28" s="2688">
        <f t="shared" ref="Y28:Y91" si="25">ROUND(Z28*B28/10000,0)</f>
        <v>0</v>
      </c>
      <c r="Z28" s="908"/>
    </row>
    <row r="29" spans="1:45">
      <c r="A29" s="31" t="str">
        <f>Sheet1!D8</f>
        <v>C-1009</v>
      </c>
      <c r="B29" s="19">
        <f>Sheet1!G8</f>
        <v>80.53</v>
      </c>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ca="1" si="26">IF(B29="",0,ROUND($R$27*C29*E29*G29*I29*K29*M29*O29*Q29,0))</f>
        <v>40813</v>
      </c>
      <c r="S29" s="246">
        <f t="shared" ref="S29:S92" ca="1" si="27">ROUND(R29*B29,0)</f>
        <v>3286671</v>
      </c>
      <c r="T29" s="820">
        <f t="shared" ref="T29:T92" ca="1" si="28">ROUND(R29*B29/10000,0)</f>
        <v>329</v>
      </c>
      <c r="U29" s="2688">
        <f t="shared" si="22"/>
        <v>0</v>
      </c>
      <c r="V29" s="2688">
        <f t="shared" si="23"/>
        <v>0</v>
      </c>
      <c r="W29" s="908"/>
      <c r="X29" s="2688">
        <f t="shared" si="24"/>
        <v>0</v>
      </c>
      <c r="Y29" s="2688">
        <f t="shared" si="25"/>
        <v>0</v>
      </c>
      <c r="Z29" s="908"/>
    </row>
    <row r="30" spans="1:45">
      <c r="A30" s="31" t="str">
        <f>Sheet1!D9</f>
        <v>C-1010</v>
      </c>
      <c r="B30" s="19">
        <f>Sheet1!G9</f>
        <v>66.59</v>
      </c>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ca="1" si="26"/>
        <v>40813</v>
      </c>
      <c r="S30" s="246">
        <f t="shared" ca="1" si="27"/>
        <v>2717738</v>
      </c>
      <c r="T30" s="820">
        <f t="shared" ca="1" si="28"/>
        <v>272</v>
      </c>
      <c r="U30" s="2688">
        <f t="shared" si="22"/>
        <v>0</v>
      </c>
      <c r="V30" s="2688">
        <f t="shared" si="23"/>
        <v>0</v>
      </c>
      <c r="W30" s="908"/>
      <c r="X30" s="2688">
        <f t="shared" si="24"/>
        <v>0</v>
      </c>
      <c r="Y30" s="2688">
        <f t="shared" si="25"/>
        <v>0</v>
      </c>
      <c r="Z30" s="908"/>
    </row>
    <row r="31" spans="1:45">
      <c r="A31" s="31" t="str">
        <f>Sheet1!D10</f>
        <v>C-1011</v>
      </c>
      <c r="B31" s="19">
        <f>Sheet1!G10</f>
        <v>65.069999999999993</v>
      </c>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ca="1" si="26"/>
        <v>40813</v>
      </c>
      <c r="S31" s="246">
        <f t="shared" ca="1" si="27"/>
        <v>2655702</v>
      </c>
      <c r="T31" s="820">
        <f t="shared" ca="1" si="28"/>
        <v>266</v>
      </c>
      <c r="U31" s="2688">
        <f t="shared" si="22"/>
        <v>0</v>
      </c>
      <c r="V31" s="2688">
        <f t="shared" si="23"/>
        <v>0</v>
      </c>
      <c r="W31" s="908"/>
      <c r="X31" s="2688">
        <f t="shared" si="24"/>
        <v>0</v>
      </c>
      <c r="Y31" s="2688">
        <f t="shared" si="25"/>
        <v>0</v>
      </c>
      <c r="Z31" s="908"/>
    </row>
    <row r="32" spans="1:45">
      <c r="A32" s="31" t="str">
        <f>Sheet1!D11</f>
        <v>C-1012</v>
      </c>
      <c r="B32" s="19">
        <f>Sheet1!G11</f>
        <v>77.55</v>
      </c>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ca="1" si="26"/>
        <v>40813</v>
      </c>
      <c r="S32" s="246">
        <f t="shared" ca="1" si="27"/>
        <v>3165048</v>
      </c>
      <c r="T32" s="820">
        <f t="shared" ca="1" si="28"/>
        <v>317</v>
      </c>
      <c r="U32" s="2688">
        <f t="shared" si="22"/>
        <v>0</v>
      </c>
      <c r="V32" s="2688">
        <f t="shared" si="23"/>
        <v>0</v>
      </c>
      <c r="W32" s="908"/>
      <c r="X32" s="2688">
        <f t="shared" si="24"/>
        <v>0</v>
      </c>
      <c r="Y32" s="2688">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8">
        <f t="shared" si="22"/>
        <v>0</v>
      </c>
      <c r="V33" s="2688">
        <f t="shared" si="23"/>
        <v>0</v>
      </c>
      <c r="W33" s="908"/>
      <c r="X33" s="2688">
        <f t="shared" si="24"/>
        <v>0</v>
      </c>
      <c r="Y33" s="2688">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8">
        <f t="shared" si="22"/>
        <v>0</v>
      </c>
      <c r="V34" s="2688">
        <f t="shared" si="23"/>
        <v>0</v>
      </c>
      <c r="W34" s="908"/>
      <c r="X34" s="2688">
        <f t="shared" si="24"/>
        <v>0</v>
      </c>
      <c r="Y34" s="2688">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8">
        <f t="shared" si="22"/>
        <v>0</v>
      </c>
      <c r="V35" s="2688">
        <f t="shared" si="23"/>
        <v>0</v>
      </c>
      <c r="W35" s="908"/>
      <c r="X35" s="2688">
        <f t="shared" si="24"/>
        <v>0</v>
      </c>
      <c r="Y35" s="2688">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8">
        <f t="shared" si="22"/>
        <v>0</v>
      </c>
      <c r="V36" s="2688">
        <f t="shared" si="23"/>
        <v>0</v>
      </c>
      <c r="W36" s="908"/>
      <c r="X36" s="2688">
        <f t="shared" si="24"/>
        <v>0</v>
      </c>
      <c r="Y36" s="2688">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8">
        <f t="shared" si="22"/>
        <v>0</v>
      </c>
      <c r="V37" s="2688">
        <f t="shared" si="23"/>
        <v>0</v>
      </c>
      <c r="W37" s="908"/>
      <c r="X37" s="2688">
        <f t="shared" si="24"/>
        <v>0</v>
      </c>
      <c r="Y37" s="2688">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8">
        <f t="shared" si="22"/>
        <v>0</v>
      </c>
      <c r="V38" s="2688">
        <f t="shared" si="23"/>
        <v>0</v>
      </c>
      <c r="W38" s="908"/>
      <c r="X38" s="2688">
        <f t="shared" si="24"/>
        <v>0</v>
      </c>
      <c r="Y38" s="2688">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8">
        <f t="shared" si="22"/>
        <v>0</v>
      </c>
      <c r="V39" s="2688">
        <f t="shared" si="23"/>
        <v>0</v>
      </c>
      <c r="W39" s="908"/>
      <c r="X39" s="2688">
        <f t="shared" si="24"/>
        <v>0</v>
      </c>
      <c r="Y39" s="2688">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8">
        <f t="shared" si="22"/>
        <v>0</v>
      </c>
      <c r="V40" s="2688">
        <f t="shared" si="23"/>
        <v>0</v>
      </c>
      <c r="W40" s="908"/>
      <c r="X40" s="2688">
        <f t="shared" si="24"/>
        <v>0</v>
      </c>
      <c r="Y40" s="2688">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8">
        <f t="shared" si="22"/>
        <v>0</v>
      </c>
      <c r="V41" s="2688">
        <f t="shared" si="23"/>
        <v>0</v>
      </c>
      <c r="W41" s="908"/>
      <c r="X41" s="2688">
        <f t="shared" si="24"/>
        <v>0</v>
      </c>
      <c r="Y41" s="2688">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8">
        <f t="shared" si="22"/>
        <v>0</v>
      </c>
      <c r="V42" s="2688">
        <f t="shared" si="23"/>
        <v>0</v>
      </c>
      <c r="W42" s="908"/>
      <c r="X42" s="2688">
        <f t="shared" si="24"/>
        <v>0</v>
      </c>
      <c r="Y42" s="2688">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8">
        <f t="shared" si="22"/>
        <v>0</v>
      </c>
      <c r="V43" s="2688">
        <f t="shared" si="23"/>
        <v>0</v>
      </c>
      <c r="W43" s="908"/>
      <c r="X43" s="2688">
        <f t="shared" si="24"/>
        <v>0</v>
      </c>
      <c r="Y43" s="2688">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8">
        <f t="shared" si="22"/>
        <v>0</v>
      </c>
      <c r="V44" s="2688">
        <f t="shared" si="23"/>
        <v>0</v>
      </c>
      <c r="W44" s="908"/>
      <c r="X44" s="2688">
        <f t="shared" si="24"/>
        <v>0</v>
      </c>
      <c r="Y44" s="2688">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8">
        <f t="shared" si="22"/>
        <v>0</v>
      </c>
      <c r="V45" s="2688">
        <f t="shared" si="23"/>
        <v>0</v>
      </c>
      <c r="W45" s="908"/>
      <c r="X45" s="2688">
        <f t="shared" si="24"/>
        <v>0</v>
      </c>
      <c r="Y45" s="2688">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8">
        <f t="shared" si="22"/>
        <v>0</v>
      </c>
      <c r="V46" s="2688">
        <f t="shared" si="23"/>
        <v>0</v>
      </c>
      <c r="W46" s="908"/>
      <c r="X46" s="2688">
        <f t="shared" si="24"/>
        <v>0</v>
      </c>
      <c r="Y46" s="2688">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8">
        <f t="shared" si="22"/>
        <v>0</v>
      </c>
      <c r="V47" s="2688">
        <f t="shared" si="23"/>
        <v>0</v>
      </c>
      <c r="W47" s="908"/>
      <c r="X47" s="2688">
        <f t="shared" si="24"/>
        <v>0</v>
      </c>
      <c r="Y47" s="2688">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8">
        <f t="shared" si="22"/>
        <v>0</v>
      </c>
      <c r="V48" s="2688">
        <f t="shared" si="23"/>
        <v>0</v>
      </c>
      <c r="W48" s="908"/>
      <c r="X48" s="2688">
        <f t="shared" si="24"/>
        <v>0</v>
      </c>
      <c r="Y48" s="2688">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8">
        <f t="shared" si="22"/>
        <v>0</v>
      </c>
      <c r="V49" s="2688">
        <f t="shared" si="23"/>
        <v>0</v>
      </c>
      <c r="W49" s="908"/>
      <c r="X49" s="2688">
        <f t="shared" si="24"/>
        <v>0</v>
      </c>
      <c r="Y49" s="2688">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8">
        <f t="shared" si="22"/>
        <v>0</v>
      </c>
      <c r="V50" s="2688">
        <f t="shared" si="23"/>
        <v>0</v>
      </c>
      <c r="W50" s="908"/>
      <c r="X50" s="2688">
        <f t="shared" si="24"/>
        <v>0</v>
      </c>
      <c r="Y50" s="2688">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8">
        <f t="shared" si="22"/>
        <v>0</v>
      </c>
      <c r="V51" s="2688">
        <f t="shared" si="23"/>
        <v>0</v>
      </c>
      <c r="W51" s="908"/>
      <c r="X51" s="2688">
        <f t="shared" si="24"/>
        <v>0</v>
      </c>
      <c r="Y51" s="2688">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8">
        <f t="shared" si="22"/>
        <v>0</v>
      </c>
      <c r="V52" s="2688">
        <f t="shared" si="23"/>
        <v>0</v>
      </c>
      <c r="W52" s="908"/>
      <c r="X52" s="2688">
        <f t="shared" si="24"/>
        <v>0</v>
      </c>
      <c r="Y52" s="2688">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8">
        <f t="shared" si="22"/>
        <v>0</v>
      </c>
      <c r="V53" s="2688">
        <f t="shared" si="23"/>
        <v>0</v>
      </c>
      <c r="W53" s="908"/>
      <c r="X53" s="2688">
        <f t="shared" si="24"/>
        <v>0</v>
      </c>
      <c r="Y53" s="2688">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8">
        <f t="shared" si="22"/>
        <v>0</v>
      </c>
      <c r="V54" s="2688">
        <f t="shared" si="23"/>
        <v>0</v>
      </c>
      <c r="W54" s="908"/>
      <c r="X54" s="2688">
        <f t="shared" si="24"/>
        <v>0</v>
      </c>
      <c r="Y54" s="2688">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8">
        <f t="shared" si="22"/>
        <v>0</v>
      </c>
      <c r="V55" s="2688">
        <f t="shared" si="23"/>
        <v>0</v>
      </c>
      <c r="W55" s="908"/>
      <c r="X55" s="2688">
        <f t="shared" si="24"/>
        <v>0</v>
      </c>
      <c r="Y55" s="2688">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8">
        <f t="shared" si="22"/>
        <v>0</v>
      </c>
      <c r="V56" s="2688">
        <f t="shared" si="23"/>
        <v>0</v>
      </c>
      <c r="W56" s="908"/>
      <c r="X56" s="2688">
        <f t="shared" si="24"/>
        <v>0</v>
      </c>
      <c r="Y56" s="2688">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8">
        <f t="shared" si="22"/>
        <v>0</v>
      </c>
      <c r="V57" s="2688">
        <f t="shared" si="23"/>
        <v>0</v>
      </c>
      <c r="W57" s="908"/>
      <c r="X57" s="2688">
        <f t="shared" si="24"/>
        <v>0</v>
      </c>
      <c r="Y57" s="2688">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8">
        <f t="shared" si="22"/>
        <v>0</v>
      </c>
      <c r="V58" s="2688">
        <f t="shared" si="23"/>
        <v>0</v>
      </c>
      <c r="W58" s="908"/>
      <c r="X58" s="2688">
        <f t="shared" si="24"/>
        <v>0</v>
      </c>
      <c r="Y58" s="2688">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8">
        <f t="shared" si="22"/>
        <v>0</v>
      </c>
      <c r="V59" s="2688">
        <f t="shared" si="23"/>
        <v>0</v>
      </c>
      <c r="W59" s="908"/>
      <c r="X59" s="2688">
        <f t="shared" si="24"/>
        <v>0</v>
      </c>
      <c r="Y59" s="2688">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8">
        <f t="shared" si="22"/>
        <v>0</v>
      </c>
      <c r="V60" s="2688">
        <f t="shared" si="23"/>
        <v>0</v>
      </c>
      <c r="W60" s="908"/>
      <c r="X60" s="2688">
        <f t="shared" si="24"/>
        <v>0</v>
      </c>
      <c r="Y60" s="2688">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8">
        <f t="shared" si="22"/>
        <v>0</v>
      </c>
      <c r="V61" s="2688">
        <f t="shared" si="23"/>
        <v>0</v>
      </c>
      <c r="W61" s="908"/>
      <c r="X61" s="2688">
        <f t="shared" si="24"/>
        <v>0</v>
      </c>
      <c r="Y61" s="2688">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8">
        <f t="shared" si="22"/>
        <v>0</v>
      </c>
      <c r="V62" s="2688">
        <f t="shared" si="23"/>
        <v>0</v>
      </c>
      <c r="W62" s="908"/>
      <c r="X62" s="2688">
        <f t="shared" si="24"/>
        <v>0</v>
      </c>
      <c r="Y62" s="2688">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8">
        <f t="shared" si="22"/>
        <v>0</v>
      </c>
      <c r="V63" s="2688">
        <f t="shared" si="23"/>
        <v>0</v>
      </c>
      <c r="W63" s="908"/>
      <c r="X63" s="2688">
        <f t="shared" si="24"/>
        <v>0</v>
      </c>
      <c r="Y63" s="2688">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8">
        <f t="shared" si="22"/>
        <v>0</v>
      </c>
      <c r="V64" s="2688">
        <f t="shared" si="23"/>
        <v>0</v>
      </c>
      <c r="W64" s="908"/>
      <c r="X64" s="2688">
        <f t="shared" si="24"/>
        <v>0</v>
      </c>
      <c r="Y64" s="2688">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8">
        <f t="shared" si="22"/>
        <v>0</v>
      </c>
      <c r="V65" s="2688">
        <f t="shared" si="23"/>
        <v>0</v>
      </c>
      <c r="W65" s="908"/>
      <c r="X65" s="2688">
        <f t="shared" si="24"/>
        <v>0</v>
      </c>
      <c r="Y65" s="2688">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8">
        <f t="shared" si="22"/>
        <v>0</v>
      </c>
      <c r="V66" s="2688">
        <f t="shared" si="23"/>
        <v>0</v>
      </c>
      <c r="W66" s="908"/>
      <c r="X66" s="2688">
        <f t="shared" si="24"/>
        <v>0</v>
      </c>
      <c r="Y66" s="2688">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8">
        <f t="shared" si="22"/>
        <v>0</v>
      </c>
      <c r="V67" s="2688">
        <f t="shared" si="23"/>
        <v>0</v>
      </c>
      <c r="W67" s="908"/>
      <c r="X67" s="2688">
        <f t="shared" si="24"/>
        <v>0</v>
      </c>
      <c r="Y67" s="2688">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8">
        <f t="shared" si="22"/>
        <v>0</v>
      </c>
      <c r="V68" s="2688">
        <f t="shared" si="23"/>
        <v>0</v>
      </c>
      <c r="W68" s="908"/>
      <c r="X68" s="2688">
        <f t="shared" si="24"/>
        <v>0</v>
      </c>
      <c r="Y68" s="2688">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8">
        <f t="shared" si="22"/>
        <v>0</v>
      </c>
      <c r="V69" s="2688">
        <f t="shared" si="23"/>
        <v>0</v>
      </c>
      <c r="W69" s="908"/>
      <c r="X69" s="2688">
        <f t="shared" si="24"/>
        <v>0</v>
      </c>
      <c r="Y69" s="2688">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8">
        <f t="shared" si="22"/>
        <v>0</v>
      </c>
      <c r="V70" s="2688">
        <f t="shared" si="23"/>
        <v>0</v>
      </c>
      <c r="W70" s="908"/>
      <c r="X70" s="2688">
        <f t="shared" si="24"/>
        <v>0</v>
      </c>
      <c r="Y70" s="2688">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8">
        <f t="shared" si="22"/>
        <v>0</v>
      </c>
      <c r="V71" s="2688">
        <f t="shared" si="23"/>
        <v>0</v>
      </c>
      <c r="W71" s="908"/>
      <c r="X71" s="2688">
        <f t="shared" si="24"/>
        <v>0</v>
      </c>
      <c r="Y71" s="2688">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8">
        <f t="shared" si="22"/>
        <v>0</v>
      </c>
      <c r="V72" s="2688">
        <f t="shared" si="23"/>
        <v>0</v>
      </c>
      <c r="W72" s="908"/>
      <c r="X72" s="2688">
        <f t="shared" si="24"/>
        <v>0</v>
      </c>
      <c r="Y72" s="2688">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8">
        <f t="shared" si="22"/>
        <v>0</v>
      </c>
      <c r="V73" s="2688">
        <f t="shared" si="23"/>
        <v>0</v>
      </c>
      <c r="W73" s="908"/>
      <c r="X73" s="2688">
        <f t="shared" si="24"/>
        <v>0</v>
      </c>
      <c r="Y73" s="2688">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8">
        <f t="shared" si="22"/>
        <v>0</v>
      </c>
      <c r="V74" s="2688">
        <f t="shared" si="23"/>
        <v>0</v>
      </c>
      <c r="W74" s="908"/>
      <c r="X74" s="2688">
        <f t="shared" si="24"/>
        <v>0</v>
      </c>
      <c r="Y74" s="2688">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8">
        <f t="shared" si="22"/>
        <v>0</v>
      </c>
      <c r="V75" s="2688">
        <f t="shared" si="23"/>
        <v>0</v>
      </c>
      <c r="W75" s="908"/>
      <c r="X75" s="2688">
        <f t="shared" si="24"/>
        <v>0</v>
      </c>
      <c r="Y75" s="2688">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8">
        <f t="shared" si="22"/>
        <v>0</v>
      </c>
      <c r="V76" s="2688">
        <f t="shared" si="23"/>
        <v>0</v>
      </c>
      <c r="W76" s="908"/>
      <c r="X76" s="2688">
        <f t="shared" si="24"/>
        <v>0</v>
      </c>
      <c r="Y76" s="2688">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8">
        <f t="shared" si="22"/>
        <v>0</v>
      </c>
      <c r="V77" s="2688">
        <f t="shared" si="23"/>
        <v>0</v>
      </c>
      <c r="W77" s="908"/>
      <c r="X77" s="2688">
        <f t="shared" si="24"/>
        <v>0</v>
      </c>
      <c r="Y77" s="2688">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8">
        <f t="shared" si="22"/>
        <v>0</v>
      </c>
      <c r="V78" s="2688">
        <f t="shared" si="23"/>
        <v>0</v>
      </c>
      <c r="W78" s="908"/>
      <c r="X78" s="2688">
        <f t="shared" si="24"/>
        <v>0</v>
      </c>
      <c r="Y78" s="2688">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8">
        <f t="shared" si="22"/>
        <v>0</v>
      </c>
      <c r="V79" s="2688">
        <f t="shared" si="23"/>
        <v>0</v>
      </c>
      <c r="W79" s="908"/>
      <c r="X79" s="2688">
        <f t="shared" si="24"/>
        <v>0</v>
      </c>
      <c r="Y79" s="2688">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8">
        <f t="shared" si="22"/>
        <v>0</v>
      </c>
      <c r="V80" s="2688">
        <f t="shared" si="23"/>
        <v>0</v>
      </c>
      <c r="W80" s="908"/>
      <c r="X80" s="2688">
        <f t="shared" si="24"/>
        <v>0</v>
      </c>
      <c r="Y80" s="2688">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8">
        <f t="shared" si="22"/>
        <v>0</v>
      </c>
      <c r="V81" s="2688">
        <f t="shared" si="23"/>
        <v>0</v>
      </c>
      <c r="W81" s="908"/>
      <c r="X81" s="2688">
        <f t="shared" si="24"/>
        <v>0</v>
      </c>
      <c r="Y81" s="2688">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8">
        <f t="shared" si="22"/>
        <v>0</v>
      </c>
      <c r="V82" s="2688">
        <f t="shared" si="23"/>
        <v>0</v>
      </c>
      <c r="W82" s="908"/>
      <c r="X82" s="2688">
        <f t="shared" si="24"/>
        <v>0</v>
      </c>
      <c r="Y82" s="2688">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8">
        <f t="shared" si="22"/>
        <v>0</v>
      </c>
      <c r="V83" s="2688">
        <f t="shared" si="23"/>
        <v>0</v>
      </c>
      <c r="W83" s="908"/>
      <c r="X83" s="2688">
        <f t="shared" si="24"/>
        <v>0</v>
      </c>
      <c r="Y83" s="2688">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8">
        <f t="shared" si="22"/>
        <v>0</v>
      </c>
      <c r="V84" s="2688">
        <f t="shared" si="23"/>
        <v>0</v>
      </c>
      <c r="W84" s="908"/>
      <c r="X84" s="2688">
        <f t="shared" si="24"/>
        <v>0</v>
      </c>
      <c r="Y84" s="2688">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8">
        <f t="shared" si="22"/>
        <v>0</v>
      </c>
      <c r="V85" s="2688">
        <f t="shared" si="23"/>
        <v>0</v>
      </c>
      <c r="W85" s="908"/>
      <c r="X85" s="2688">
        <f t="shared" si="24"/>
        <v>0</v>
      </c>
      <c r="Y85" s="2688">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8">
        <f t="shared" si="22"/>
        <v>0</v>
      </c>
      <c r="V86" s="2688">
        <f t="shared" si="23"/>
        <v>0</v>
      </c>
      <c r="W86" s="908"/>
      <c r="X86" s="2688">
        <f t="shared" si="24"/>
        <v>0</v>
      </c>
      <c r="Y86" s="2688">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8">
        <f t="shared" si="22"/>
        <v>0</v>
      </c>
      <c r="V87" s="2688">
        <f t="shared" si="23"/>
        <v>0</v>
      </c>
      <c r="W87" s="908"/>
      <c r="X87" s="2688">
        <f t="shared" si="24"/>
        <v>0</v>
      </c>
      <c r="Y87" s="2688">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8">
        <f t="shared" si="22"/>
        <v>0</v>
      </c>
      <c r="V88" s="2688">
        <f t="shared" si="23"/>
        <v>0</v>
      </c>
      <c r="W88" s="908"/>
      <c r="X88" s="2688">
        <f t="shared" si="24"/>
        <v>0</v>
      </c>
      <c r="Y88" s="2688">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8">
        <f t="shared" si="22"/>
        <v>0</v>
      </c>
      <c r="V89" s="2688">
        <f t="shared" si="23"/>
        <v>0</v>
      </c>
      <c r="W89" s="908"/>
      <c r="X89" s="2688">
        <f t="shared" si="24"/>
        <v>0</v>
      </c>
      <c r="Y89" s="2688">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8">
        <f t="shared" si="22"/>
        <v>0</v>
      </c>
      <c r="V90" s="2688">
        <f t="shared" si="23"/>
        <v>0</v>
      </c>
      <c r="W90" s="908"/>
      <c r="X90" s="2688">
        <f t="shared" si="24"/>
        <v>0</v>
      </c>
      <c r="Y90" s="2688">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8">
        <f t="shared" si="22"/>
        <v>0</v>
      </c>
      <c r="V91" s="2688">
        <f t="shared" si="23"/>
        <v>0</v>
      </c>
      <c r="W91" s="908"/>
      <c r="X91" s="2688">
        <f t="shared" si="24"/>
        <v>0</v>
      </c>
      <c r="Y91" s="2688">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8">
        <f t="shared" ref="U92:U155" si="37">ROUND(W92*B92,0)</f>
        <v>0</v>
      </c>
      <c r="V92" s="2688">
        <f t="shared" ref="V92:V155" si="38">ROUND(W92*B92/10000,0)</f>
        <v>0</v>
      </c>
      <c r="W92" s="908"/>
      <c r="X92" s="2688">
        <f t="shared" ref="X92:X155" si="39">ROUND(Z92*B92,0)</f>
        <v>0</v>
      </c>
      <c r="Y92" s="2688">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8">
        <f t="shared" si="37"/>
        <v>0</v>
      </c>
      <c r="V93" s="2688">
        <f t="shared" si="38"/>
        <v>0</v>
      </c>
      <c r="W93" s="908"/>
      <c r="X93" s="2688">
        <f t="shared" si="39"/>
        <v>0</v>
      </c>
      <c r="Y93" s="2688">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8">
        <f t="shared" si="37"/>
        <v>0</v>
      </c>
      <c r="V94" s="2688">
        <f t="shared" si="38"/>
        <v>0</v>
      </c>
      <c r="W94" s="908"/>
      <c r="X94" s="2688">
        <f t="shared" si="39"/>
        <v>0</v>
      </c>
      <c r="Y94" s="2688">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8">
        <f t="shared" si="37"/>
        <v>0</v>
      </c>
      <c r="V95" s="2688">
        <f t="shared" si="38"/>
        <v>0</v>
      </c>
      <c r="W95" s="908"/>
      <c r="X95" s="2688">
        <f t="shared" si="39"/>
        <v>0</v>
      </c>
      <c r="Y95" s="2688">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8">
        <f t="shared" si="37"/>
        <v>0</v>
      </c>
      <c r="V96" s="2688">
        <f t="shared" si="38"/>
        <v>0</v>
      </c>
      <c r="W96" s="908"/>
      <c r="X96" s="2688">
        <f t="shared" si="39"/>
        <v>0</v>
      </c>
      <c r="Y96" s="2688">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8">
        <f t="shared" si="37"/>
        <v>0</v>
      </c>
      <c r="V97" s="2688">
        <f t="shared" si="38"/>
        <v>0</v>
      </c>
      <c r="W97" s="908"/>
      <c r="X97" s="2688">
        <f t="shared" si="39"/>
        <v>0</v>
      </c>
      <c r="Y97" s="2688">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8">
        <f t="shared" si="37"/>
        <v>0</v>
      </c>
      <c r="V98" s="2688">
        <f t="shared" si="38"/>
        <v>0</v>
      </c>
      <c r="W98" s="908"/>
      <c r="X98" s="2688">
        <f t="shared" si="39"/>
        <v>0</v>
      </c>
      <c r="Y98" s="2688">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8">
        <f t="shared" si="37"/>
        <v>0</v>
      </c>
      <c r="V99" s="2688">
        <f t="shared" si="38"/>
        <v>0</v>
      </c>
      <c r="W99" s="908"/>
      <c r="X99" s="2688">
        <f t="shared" si="39"/>
        <v>0</v>
      </c>
      <c r="Y99" s="2688">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8">
        <f t="shared" si="37"/>
        <v>0</v>
      </c>
      <c r="V100" s="2688">
        <f t="shared" si="38"/>
        <v>0</v>
      </c>
      <c r="W100" s="908"/>
      <c r="X100" s="2688">
        <f t="shared" si="39"/>
        <v>0</v>
      </c>
      <c r="Y100" s="2688">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8">
        <f t="shared" si="37"/>
        <v>0</v>
      </c>
      <c r="V101" s="2688">
        <f t="shared" si="38"/>
        <v>0</v>
      </c>
      <c r="W101" s="908"/>
      <c r="X101" s="2688">
        <f t="shared" si="39"/>
        <v>0</v>
      </c>
      <c r="Y101" s="2688">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8">
        <f t="shared" si="37"/>
        <v>0</v>
      </c>
      <c r="V102" s="2688">
        <f t="shared" si="38"/>
        <v>0</v>
      </c>
      <c r="W102" s="908"/>
      <c r="X102" s="2688">
        <f t="shared" si="39"/>
        <v>0</v>
      </c>
      <c r="Y102" s="2688">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8">
        <f t="shared" si="37"/>
        <v>0</v>
      </c>
      <c r="V103" s="2688">
        <f t="shared" si="38"/>
        <v>0</v>
      </c>
      <c r="W103" s="908"/>
      <c r="X103" s="2688">
        <f t="shared" si="39"/>
        <v>0</v>
      </c>
      <c r="Y103" s="2688">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8">
        <f t="shared" si="37"/>
        <v>0</v>
      </c>
      <c r="V104" s="2688">
        <f t="shared" si="38"/>
        <v>0</v>
      </c>
      <c r="W104" s="908"/>
      <c r="X104" s="2688">
        <f t="shared" si="39"/>
        <v>0</v>
      </c>
      <c r="Y104" s="2688">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8">
        <f t="shared" si="37"/>
        <v>0</v>
      </c>
      <c r="V105" s="2688">
        <f t="shared" si="38"/>
        <v>0</v>
      </c>
      <c r="W105" s="908"/>
      <c r="X105" s="2688">
        <f t="shared" si="39"/>
        <v>0</v>
      </c>
      <c r="Y105" s="2688">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8">
        <f t="shared" si="37"/>
        <v>0</v>
      </c>
      <c r="V106" s="2688">
        <f t="shared" si="38"/>
        <v>0</v>
      </c>
      <c r="W106" s="908"/>
      <c r="X106" s="2688">
        <f t="shared" si="39"/>
        <v>0</v>
      </c>
      <c r="Y106" s="2688">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8">
        <f t="shared" si="37"/>
        <v>0</v>
      </c>
      <c r="V107" s="2688">
        <f t="shared" si="38"/>
        <v>0</v>
      </c>
      <c r="W107" s="908"/>
      <c r="X107" s="2688">
        <f t="shared" si="39"/>
        <v>0</v>
      </c>
      <c r="Y107" s="2688">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8">
        <f t="shared" si="37"/>
        <v>0</v>
      </c>
      <c r="V108" s="2688">
        <f t="shared" si="38"/>
        <v>0</v>
      </c>
      <c r="W108" s="908"/>
      <c r="X108" s="2688">
        <f t="shared" si="39"/>
        <v>0</v>
      </c>
      <c r="Y108" s="2688">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8">
        <f t="shared" si="37"/>
        <v>0</v>
      </c>
      <c r="V109" s="2688">
        <f t="shared" si="38"/>
        <v>0</v>
      </c>
      <c r="W109" s="908"/>
      <c r="X109" s="2688">
        <f t="shared" si="39"/>
        <v>0</v>
      </c>
      <c r="Y109" s="2688">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8">
        <f t="shared" si="37"/>
        <v>0</v>
      </c>
      <c r="V110" s="2688">
        <f t="shared" si="38"/>
        <v>0</v>
      </c>
      <c r="W110" s="908"/>
      <c r="X110" s="2688">
        <f t="shared" si="39"/>
        <v>0</v>
      </c>
      <c r="Y110" s="2688">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8">
        <f t="shared" si="37"/>
        <v>0</v>
      </c>
      <c r="V111" s="2688">
        <f t="shared" si="38"/>
        <v>0</v>
      </c>
      <c r="W111" s="908"/>
      <c r="X111" s="2688">
        <f t="shared" si="39"/>
        <v>0</v>
      </c>
      <c r="Y111" s="2688">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8">
        <f t="shared" si="37"/>
        <v>0</v>
      </c>
      <c r="V112" s="2688">
        <f t="shared" si="38"/>
        <v>0</v>
      </c>
      <c r="W112" s="908"/>
      <c r="X112" s="2688">
        <f t="shared" si="39"/>
        <v>0</v>
      </c>
      <c r="Y112" s="2688">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8">
        <f t="shared" si="37"/>
        <v>0</v>
      </c>
      <c r="V113" s="2688">
        <f t="shared" si="38"/>
        <v>0</v>
      </c>
      <c r="W113" s="908"/>
      <c r="X113" s="2688">
        <f t="shared" si="39"/>
        <v>0</v>
      </c>
      <c r="Y113" s="2688">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8">
        <f t="shared" si="37"/>
        <v>0</v>
      </c>
      <c r="V114" s="2688">
        <f t="shared" si="38"/>
        <v>0</v>
      </c>
      <c r="W114" s="908"/>
      <c r="X114" s="2688">
        <f t="shared" si="39"/>
        <v>0</v>
      </c>
      <c r="Y114" s="2688">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8">
        <f t="shared" si="37"/>
        <v>0</v>
      </c>
      <c r="V115" s="2688">
        <f t="shared" si="38"/>
        <v>0</v>
      </c>
      <c r="W115" s="908"/>
      <c r="X115" s="2688">
        <f t="shared" si="39"/>
        <v>0</v>
      </c>
      <c r="Y115" s="2688">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8">
        <f t="shared" si="37"/>
        <v>0</v>
      </c>
      <c r="V116" s="2688">
        <f t="shared" si="38"/>
        <v>0</v>
      </c>
      <c r="W116" s="908"/>
      <c r="X116" s="2688">
        <f t="shared" si="39"/>
        <v>0</v>
      </c>
      <c r="Y116" s="2688">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8">
        <f t="shared" si="37"/>
        <v>0</v>
      </c>
      <c r="V117" s="2688">
        <f t="shared" si="38"/>
        <v>0</v>
      </c>
      <c r="W117" s="908"/>
      <c r="X117" s="2688">
        <f t="shared" si="39"/>
        <v>0</v>
      </c>
      <c r="Y117" s="2688">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8">
        <f t="shared" si="37"/>
        <v>0</v>
      </c>
      <c r="V118" s="2688">
        <f t="shared" si="38"/>
        <v>0</v>
      </c>
      <c r="W118" s="908"/>
      <c r="X118" s="2688">
        <f t="shared" si="39"/>
        <v>0</v>
      </c>
      <c r="Y118" s="2688">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8">
        <f t="shared" si="37"/>
        <v>0</v>
      </c>
      <c r="V119" s="2688">
        <f t="shared" si="38"/>
        <v>0</v>
      </c>
      <c r="W119" s="908"/>
      <c r="X119" s="2688">
        <f t="shared" si="39"/>
        <v>0</v>
      </c>
      <c r="Y119" s="2688">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8">
        <f t="shared" si="37"/>
        <v>0</v>
      </c>
      <c r="V120" s="2688">
        <f t="shared" si="38"/>
        <v>0</v>
      </c>
      <c r="W120" s="908"/>
      <c r="X120" s="2688">
        <f t="shared" si="39"/>
        <v>0</v>
      </c>
      <c r="Y120" s="2688">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8">
        <f t="shared" si="37"/>
        <v>0</v>
      </c>
      <c r="V121" s="2688">
        <f t="shared" si="38"/>
        <v>0</v>
      </c>
      <c r="W121" s="908"/>
      <c r="X121" s="2688">
        <f t="shared" si="39"/>
        <v>0</v>
      </c>
      <c r="Y121" s="2688">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8">
        <f t="shared" si="37"/>
        <v>0</v>
      </c>
      <c r="V122" s="2688">
        <f t="shared" si="38"/>
        <v>0</v>
      </c>
      <c r="W122" s="908"/>
      <c r="X122" s="2688">
        <f t="shared" si="39"/>
        <v>0</v>
      </c>
      <c r="Y122" s="2688">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8">
        <f t="shared" si="37"/>
        <v>0</v>
      </c>
      <c r="V123" s="2688">
        <f t="shared" si="38"/>
        <v>0</v>
      </c>
      <c r="W123" s="908"/>
      <c r="X123" s="2688">
        <f t="shared" si="39"/>
        <v>0</v>
      </c>
      <c r="Y123" s="2688">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8">
        <f t="shared" si="37"/>
        <v>0</v>
      </c>
      <c r="V124" s="2688">
        <f t="shared" si="38"/>
        <v>0</v>
      </c>
      <c r="W124" s="908"/>
      <c r="X124" s="2688">
        <f t="shared" si="39"/>
        <v>0</v>
      </c>
      <c r="Y124" s="2688">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8">
        <f t="shared" si="37"/>
        <v>0</v>
      </c>
      <c r="V125" s="2688">
        <f t="shared" si="38"/>
        <v>0</v>
      </c>
      <c r="W125" s="908"/>
      <c r="X125" s="2688">
        <f t="shared" si="39"/>
        <v>0</v>
      </c>
      <c r="Y125" s="2688">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8">
        <f t="shared" si="37"/>
        <v>0</v>
      </c>
      <c r="V126" s="2688">
        <f t="shared" si="38"/>
        <v>0</v>
      </c>
      <c r="W126" s="908"/>
      <c r="X126" s="2688">
        <f t="shared" si="39"/>
        <v>0</v>
      </c>
      <c r="Y126" s="2688">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8">
        <f t="shared" si="37"/>
        <v>0</v>
      </c>
      <c r="V127" s="2688">
        <f t="shared" si="38"/>
        <v>0</v>
      </c>
      <c r="W127" s="908"/>
      <c r="X127" s="2688">
        <f t="shared" si="39"/>
        <v>0</v>
      </c>
      <c r="Y127" s="2688">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8">
        <f t="shared" si="37"/>
        <v>0</v>
      </c>
      <c r="V128" s="2688">
        <f t="shared" si="38"/>
        <v>0</v>
      </c>
      <c r="W128" s="908"/>
      <c r="X128" s="2688">
        <f t="shared" si="39"/>
        <v>0</v>
      </c>
      <c r="Y128" s="2688">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8">
        <f t="shared" si="37"/>
        <v>0</v>
      </c>
      <c r="V129" s="2688">
        <f t="shared" si="38"/>
        <v>0</v>
      </c>
      <c r="W129" s="908"/>
      <c r="X129" s="2688">
        <f t="shared" si="39"/>
        <v>0</v>
      </c>
      <c r="Y129" s="2688">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8">
        <f t="shared" si="37"/>
        <v>0</v>
      </c>
      <c r="V130" s="2688">
        <f t="shared" si="38"/>
        <v>0</v>
      </c>
      <c r="W130" s="908"/>
      <c r="X130" s="2688">
        <f t="shared" si="39"/>
        <v>0</v>
      </c>
      <c r="Y130" s="2688">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8">
        <f t="shared" si="37"/>
        <v>0</v>
      </c>
      <c r="V131" s="2688">
        <f t="shared" si="38"/>
        <v>0</v>
      </c>
      <c r="W131" s="908"/>
      <c r="X131" s="2688">
        <f t="shared" si="39"/>
        <v>0</v>
      </c>
      <c r="Y131" s="2688">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8">
        <f t="shared" si="37"/>
        <v>0</v>
      </c>
      <c r="V132" s="2688">
        <f t="shared" si="38"/>
        <v>0</v>
      </c>
      <c r="W132" s="908"/>
      <c r="X132" s="2688">
        <f t="shared" si="39"/>
        <v>0</v>
      </c>
      <c r="Y132" s="2688">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8">
        <f t="shared" si="37"/>
        <v>0</v>
      </c>
      <c r="V133" s="2688">
        <f t="shared" si="38"/>
        <v>0</v>
      </c>
      <c r="W133" s="908"/>
      <c r="X133" s="2688">
        <f t="shared" si="39"/>
        <v>0</v>
      </c>
      <c r="Y133" s="2688">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8">
        <f t="shared" si="37"/>
        <v>0</v>
      </c>
      <c r="V134" s="2688">
        <f t="shared" si="38"/>
        <v>0</v>
      </c>
      <c r="W134" s="908"/>
      <c r="X134" s="2688">
        <f t="shared" si="39"/>
        <v>0</v>
      </c>
      <c r="Y134" s="2688">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8">
        <f t="shared" si="37"/>
        <v>0</v>
      </c>
      <c r="V135" s="2688">
        <f t="shared" si="38"/>
        <v>0</v>
      </c>
      <c r="W135" s="908"/>
      <c r="X135" s="2688">
        <f t="shared" si="39"/>
        <v>0</v>
      </c>
      <c r="Y135" s="2688">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8">
        <f t="shared" si="37"/>
        <v>0</v>
      </c>
      <c r="V136" s="2688">
        <f t="shared" si="38"/>
        <v>0</v>
      </c>
      <c r="W136" s="908"/>
      <c r="X136" s="2688">
        <f t="shared" si="39"/>
        <v>0</v>
      </c>
      <c r="Y136" s="2688">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8">
        <f t="shared" si="37"/>
        <v>0</v>
      </c>
      <c r="V137" s="2688">
        <f t="shared" si="38"/>
        <v>0</v>
      </c>
      <c r="W137" s="908"/>
      <c r="X137" s="2688">
        <f t="shared" si="39"/>
        <v>0</v>
      </c>
      <c r="Y137" s="2688">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8">
        <f t="shared" si="37"/>
        <v>0</v>
      </c>
      <c r="V138" s="2688">
        <f t="shared" si="38"/>
        <v>0</v>
      </c>
      <c r="W138" s="908"/>
      <c r="X138" s="2688">
        <f t="shared" si="39"/>
        <v>0</v>
      </c>
      <c r="Y138" s="2688">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8">
        <f t="shared" si="37"/>
        <v>0</v>
      </c>
      <c r="V139" s="2688">
        <f t="shared" si="38"/>
        <v>0</v>
      </c>
      <c r="W139" s="908"/>
      <c r="X139" s="2688">
        <f t="shared" si="39"/>
        <v>0</v>
      </c>
      <c r="Y139" s="2688">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8">
        <f t="shared" si="37"/>
        <v>0</v>
      </c>
      <c r="V140" s="2688">
        <f t="shared" si="38"/>
        <v>0</v>
      </c>
      <c r="W140" s="908"/>
      <c r="X140" s="2688">
        <f t="shared" si="39"/>
        <v>0</v>
      </c>
      <c r="Y140" s="2688">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8">
        <f t="shared" si="37"/>
        <v>0</v>
      </c>
      <c r="V141" s="2688">
        <f t="shared" si="38"/>
        <v>0</v>
      </c>
      <c r="W141" s="908"/>
      <c r="X141" s="2688">
        <f t="shared" si="39"/>
        <v>0</v>
      </c>
      <c r="Y141" s="2688">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8">
        <f t="shared" si="37"/>
        <v>0</v>
      </c>
      <c r="V142" s="2688">
        <f t="shared" si="38"/>
        <v>0</v>
      </c>
      <c r="W142" s="908"/>
      <c r="X142" s="2688">
        <f t="shared" si="39"/>
        <v>0</v>
      </c>
      <c r="Y142" s="2688">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8">
        <f t="shared" si="37"/>
        <v>0</v>
      </c>
      <c r="V143" s="2688">
        <f t="shared" si="38"/>
        <v>0</v>
      </c>
      <c r="W143" s="908"/>
      <c r="X143" s="2688">
        <f t="shared" si="39"/>
        <v>0</v>
      </c>
      <c r="Y143" s="2688">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8">
        <f t="shared" si="37"/>
        <v>0</v>
      </c>
      <c r="V144" s="2688">
        <f t="shared" si="38"/>
        <v>0</v>
      </c>
      <c r="W144" s="908"/>
      <c r="X144" s="2688">
        <f t="shared" si="39"/>
        <v>0</v>
      </c>
      <c r="Y144" s="2688">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8">
        <f t="shared" si="37"/>
        <v>0</v>
      </c>
      <c r="V145" s="2688">
        <f t="shared" si="38"/>
        <v>0</v>
      </c>
      <c r="W145" s="908"/>
      <c r="X145" s="2688">
        <f t="shared" si="39"/>
        <v>0</v>
      </c>
      <c r="Y145" s="2688">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8">
        <f t="shared" si="37"/>
        <v>0</v>
      </c>
      <c r="V146" s="2688">
        <f t="shared" si="38"/>
        <v>0</v>
      </c>
      <c r="W146" s="908"/>
      <c r="X146" s="2688">
        <f t="shared" si="39"/>
        <v>0</v>
      </c>
      <c r="Y146" s="2688">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8">
        <f t="shared" si="37"/>
        <v>0</v>
      </c>
      <c r="V147" s="2688">
        <f t="shared" si="38"/>
        <v>0</v>
      </c>
      <c r="W147" s="908"/>
      <c r="X147" s="2688">
        <f t="shared" si="39"/>
        <v>0</v>
      </c>
      <c r="Y147" s="2688">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8">
        <f t="shared" si="37"/>
        <v>0</v>
      </c>
      <c r="V148" s="2688">
        <f t="shared" si="38"/>
        <v>0</v>
      </c>
      <c r="W148" s="908"/>
      <c r="X148" s="2688">
        <f t="shared" si="39"/>
        <v>0</v>
      </c>
      <c r="Y148" s="2688">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8">
        <f t="shared" si="37"/>
        <v>0</v>
      </c>
      <c r="V149" s="2688">
        <f t="shared" si="38"/>
        <v>0</v>
      </c>
      <c r="W149" s="908"/>
      <c r="X149" s="2688">
        <f t="shared" si="39"/>
        <v>0</v>
      </c>
      <c r="Y149" s="2688">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8">
        <f t="shared" si="37"/>
        <v>0</v>
      </c>
      <c r="V150" s="2688">
        <f t="shared" si="38"/>
        <v>0</v>
      </c>
      <c r="W150" s="908"/>
      <c r="X150" s="2688">
        <f t="shared" si="39"/>
        <v>0</v>
      </c>
      <c r="Y150" s="2688">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8">
        <f t="shared" si="37"/>
        <v>0</v>
      </c>
      <c r="V151" s="2688">
        <f t="shared" si="38"/>
        <v>0</v>
      </c>
      <c r="W151" s="908"/>
      <c r="X151" s="2688">
        <f t="shared" si="39"/>
        <v>0</v>
      </c>
      <c r="Y151" s="2688">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8">
        <f t="shared" si="37"/>
        <v>0</v>
      </c>
      <c r="V152" s="2688">
        <f t="shared" si="38"/>
        <v>0</v>
      </c>
      <c r="W152" s="908"/>
      <c r="X152" s="2688">
        <f t="shared" si="39"/>
        <v>0</v>
      </c>
      <c r="Y152" s="2688">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8">
        <f t="shared" si="37"/>
        <v>0</v>
      </c>
      <c r="V153" s="2688">
        <f t="shared" si="38"/>
        <v>0</v>
      </c>
      <c r="W153" s="908"/>
      <c r="X153" s="2688">
        <f t="shared" si="39"/>
        <v>0</v>
      </c>
      <c r="Y153" s="2688">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8">
        <f t="shared" si="37"/>
        <v>0</v>
      </c>
      <c r="V154" s="2688">
        <f t="shared" si="38"/>
        <v>0</v>
      </c>
      <c r="W154" s="908"/>
      <c r="X154" s="2688">
        <f t="shared" si="39"/>
        <v>0</v>
      </c>
      <c r="Y154" s="2688">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8">
        <f t="shared" si="37"/>
        <v>0</v>
      </c>
      <c r="V155" s="2688">
        <f t="shared" si="38"/>
        <v>0</v>
      </c>
      <c r="W155" s="908"/>
      <c r="X155" s="2688">
        <f t="shared" si="39"/>
        <v>0</v>
      </c>
      <c r="Y155" s="2688">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8">
        <f t="shared" ref="U156:U219" si="52">ROUND(W156*B156,0)</f>
        <v>0</v>
      </c>
      <c r="V156" s="2688">
        <f t="shared" ref="V156:V219" si="53">ROUND(W156*B156/10000,0)</f>
        <v>0</v>
      </c>
      <c r="W156" s="908"/>
      <c r="X156" s="2688">
        <f t="shared" ref="X156:X219" si="54">ROUND(Z156*B156,0)</f>
        <v>0</v>
      </c>
      <c r="Y156" s="2688">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8">
        <f t="shared" si="52"/>
        <v>0</v>
      </c>
      <c r="V157" s="2688">
        <f t="shared" si="53"/>
        <v>0</v>
      </c>
      <c r="W157" s="908"/>
      <c r="X157" s="2688">
        <f t="shared" si="54"/>
        <v>0</v>
      </c>
      <c r="Y157" s="2688">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8">
        <f t="shared" si="52"/>
        <v>0</v>
      </c>
      <c r="V158" s="2688">
        <f t="shared" si="53"/>
        <v>0</v>
      </c>
      <c r="W158" s="908"/>
      <c r="X158" s="2688">
        <f t="shared" si="54"/>
        <v>0</v>
      </c>
      <c r="Y158" s="2688">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8">
        <f t="shared" si="52"/>
        <v>0</v>
      </c>
      <c r="V159" s="2688">
        <f t="shared" si="53"/>
        <v>0</v>
      </c>
      <c r="W159" s="908"/>
      <c r="X159" s="2688">
        <f t="shared" si="54"/>
        <v>0</v>
      </c>
      <c r="Y159" s="2688">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8">
        <f t="shared" si="52"/>
        <v>0</v>
      </c>
      <c r="V160" s="2688">
        <f t="shared" si="53"/>
        <v>0</v>
      </c>
      <c r="W160" s="908"/>
      <c r="X160" s="2688">
        <f t="shared" si="54"/>
        <v>0</v>
      </c>
      <c r="Y160" s="2688">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8">
        <f t="shared" si="52"/>
        <v>0</v>
      </c>
      <c r="V161" s="2688">
        <f t="shared" si="53"/>
        <v>0</v>
      </c>
      <c r="W161" s="908"/>
      <c r="X161" s="2688">
        <f t="shared" si="54"/>
        <v>0</v>
      </c>
      <c r="Y161" s="2688">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8">
        <f t="shared" si="52"/>
        <v>0</v>
      </c>
      <c r="V162" s="2688">
        <f t="shared" si="53"/>
        <v>0</v>
      </c>
      <c r="W162" s="908"/>
      <c r="X162" s="2688">
        <f t="shared" si="54"/>
        <v>0</v>
      </c>
      <c r="Y162" s="2688">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8">
        <f t="shared" si="52"/>
        <v>0</v>
      </c>
      <c r="V163" s="2688">
        <f t="shared" si="53"/>
        <v>0</v>
      </c>
      <c r="W163" s="908"/>
      <c r="X163" s="2688">
        <f t="shared" si="54"/>
        <v>0</v>
      </c>
      <c r="Y163" s="2688">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8">
        <f t="shared" si="52"/>
        <v>0</v>
      </c>
      <c r="V164" s="2688">
        <f t="shared" si="53"/>
        <v>0</v>
      </c>
      <c r="W164" s="908"/>
      <c r="X164" s="2688">
        <f t="shared" si="54"/>
        <v>0</v>
      </c>
      <c r="Y164" s="2688">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8">
        <f t="shared" si="52"/>
        <v>0</v>
      </c>
      <c r="V165" s="2688">
        <f t="shared" si="53"/>
        <v>0</v>
      </c>
      <c r="W165" s="908"/>
      <c r="X165" s="2688">
        <f t="shared" si="54"/>
        <v>0</v>
      </c>
      <c r="Y165" s="2688">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8">
        <f t="shared" si="52"/>
        <v>0</v>
      </c>
      <c r="V166" s="2688">
        <f t="shared" si="53"/>
        <v>0</v>
      </c>
      <c r="W166" s="908"/>
      <c r="X166" s="2688">
        <f t="shared" si="54"/>
        <v>0</v>
      </c>
      <c r="Y166" s="2688">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8">
        <f t="shared" si="52"/>
        <v>0</v>
      </c>
      <c r="V167" s="2688">
        <f t="shared" si="53"/>
        <v>0</v>
      </c>
      <c r="W167" s="908"/>
      <c r="X167" s="2688">
        <f t="shared" si="54"/>
        <v>0</v>
      </c>
      <c r="Y167" s="2688">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8">
        <f t="shared" si="52"/>
        <v>0</v>
      </c>
      <c r="V168" s="2688">
        <f t="shared" si="53"/>
        <v>0</v>
      </c>
      <c r="W168" s="908"/>
      <c r="X168" s="2688">
        <f t="shared" si="54"/>
        <v>0</v>
      </c>
      <c r="Y168" s="2688">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8">
        <f t="shared" si="52"/>
        <v>0</v>
      </c>
      <c r="V169" s="2688">
        <f t="shared" si="53"/>
        <v>0</v>
      </c>
      <c r="W169" s="908"/>
      <c r="X169" s="2688">
        <f t="shared" si="54"/>
        <v>0</v>
      </c>
      <c r="Y169" s="2688">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8">
        <f t="shared" si="52"/>
        <v>0</v>
      </c>
      <c r="V170" s="2688">
        <f t="shared" si="53"/>
        <v>0</v>
      </c>
      <c r="W170" s="908"/>
      <c r="X170" s="2688">
        <f t="shared" si="54"/>
        <v>0</v>
      </c>
      <c r="Y170" s="2688">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8">
        <f t="shared" si="52"/>
        <v>0</v>
      </c>
      <c r="V171" s="2688">
        <f t="shared" si="53"/>
        <v>0</v>
      </c>
      <c r="W171" s="908"/>
      <c r="X171" s="2688">
        <f t="shared" si="54"/>
        <v>0</v>
      </c>
      <c r="Y171" s="2688">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8">
        <f t="shared" si="52"/>
        <v>0</v>
      </c>
      <c r="V172" s="2688">
        <f t="shared" si="53"/>
        <v>0</v>
      </c>
      <c r="W172" s="908"/>
      <c r="X172" s="2688">
        <f t="shared" si="54"/>
        <v>0</v>
      </c>
      <c r="Y172" s="2688">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8">
        <f t="shared" si="52"/>
        <v>0</v>
      </c>
      <c r="V173" s="2688">
        <f t="shared" si="53"/>
        <v>0</v>
      </c>
      <c r="W173" s="908"/>
      <c r="X173" s="2688">
        <f t="shared" si="54"/>
        <v>0</v>
      </c>
      <c r="Y173" s="2688">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8">
        <f t="shared" si="52"/>
        <v>0</v>
      </c>
      <c r="V174" s="2688">
        <f t="shared" si="53"/>
        <v>0</v>
      </c>
      <c r="W174" s="908"/>
      <c r="X174" s="2688">
        <f t="shared" si="54"/>
        <v>0</v>
      </c>
      <c r="Y174" s="2688">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8">
        <f t="shared" si="52"/>
        <v>0</v>
      </c>
      <c r="V175" s="2688">
        <f t="shared" si="53"/>
        <v>0</v>
      </c>
      <c r="W175" s="908"/>
      <c r="X175" s="2688">
        <f t="shared" si="54"/>
        <v>0</v>
      </c>
      <c r="Y175" s="2688">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8">
        <f t="shared" si="52"/>
        <v>0</v>
      </c>
      <c r="V176" s="2688">
        <f t="shared" si="53"/>
        <v>0</v>
      </c>
      <c r="W176" s="908"/>
      <c r="X176" s="2688">
        <f t="shared" si="54"/>
        <v>0</v>
      </c>
      <c r="Y176" s="2688">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8">
        <f t="shared" si="52"/>
        <v>0</v>
      </c>
      <c r="V177" s="2688">
        <f t="shared" si="53"/>
        <v>0</v>
      </c>
      <c r="W177" s="908"/>
      <c r="X177" s="2688">
        <f t="shared" si="54"/>
        <v>0</v>
      </c>
      <c r="Y177" s="2688">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8">
        <f t="shared" si="52"/>
        <v>0</v>
      </c>
      <c r="V178" s="2688">
        <f t="shared" si="53"/>
        <v>0</v>
      </c>
      <c r="W178" s="908"/>
      <c r="X178" s="2688">
        <f t="shared" si="54"/>
        <v>0</v>
      </c>
      <c r="Y178" s="2688">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8">
        <f t="shared" si="52"/>
        <v>0</v>
      </c>
      <c r="V179" s="2688">
        <f t="shared" si="53"/>
        <v>0</v>
      </c>
      <c r="W179" s="908"/>
      <c r="X179" s="2688">
        <f t="shared" si="54"/>
        <v>0</v>
      </c>
      <c r="Y179" s="2688">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8">
        <f t="shared" si="52"/>
        <v>0</v>
      </c>
      <c r="V180" s="2688">
        <f t="shared" si="53"/>
        <v>0</v>
      </c>
      <c r="W180" s="908"/>
      <c r="X180" s="2688">
        <f t="shared" si="54"/>
        <v>0</v>
      </c>
      <c r="Y180" s="2688">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8">
        <f t="shared" si="52"/>
        <v>0</v>
      </c>
      <c r="V181" s="2688">
        <f t="shared" si="53"/>
        <v>0</v>
      </c>
      <c r="W181" s="908"/>
      <c r="X181" s="2688">
        <f t="shared" si="54"/>
        <v>0</v>
      </c>
      <c r="Y181" s="2688">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8">
        <f t="shared" si="52"/>
        <v>0</v>
      </c>
      <c r="V182" s="2688">
        <f t="shared" si="53"/>
        <v>0</v>
      </c>
      <c r="W182" s="908"/>
      <c r="X182" s="2688">
        <f t="shared" si="54"/>
        <v>0</v>
      </c>
      <c r="Y182" s="2688">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8">
        <f t="shared" si="52"/>
        <v>0</v>
      </c>
      <c r="V183" s="2688">
        <f t="shared" si="53"/>
        <v>0</v>
      </c>
      <c r="W183" s="908"/>
      <c r="X183" s="2688">
        <f t="shared" si="54"/>
        <v>0</v>
      </c>
      <c r="Y183" s="2688">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8">
        <f t="shared" si="52"/>
        <v>0</v>
      </c>
      <c r="V184" s="2688">
        <f t="shared" si="53"/>
        <v>0</v>
      </c>
      <c r="W184" s="908"/>
      <c r="X184" s="2688">
        <f t="shared" si="54"/>
        <v>0</v>
      </c>
      <c r="Y184" s="2688">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8">
        <f t="shared" si="52"/>
        <v>0</v>
      </c>
      <c r="V185" s="2688">
        <f t="shared" si="53"/>
        <v>0</v>
      </c>
      <c r="W185" s="908"/>
      <c r="X185" s="2688">
        <f t="shared" si="54"/>
        <v>0</v>
      </c>
      <c r="Y185" s="2688">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8">
        <f t="shared" si="52"/>
        <v>0</v>
      </c>
      <c r="V186" s="2688">
        <f t="shared" si="53"/>
        <v>0</v>
      </c>
      <c r="W186" s="908"/>
      <c r="X186" s="2688">
        <f t="shared" si="54"/>
        <v>0</v>
      </c>
      <c r="Y186" s="2688">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8">
        <f t="shared" si="52"/>
        <v>0</v>
      </c>
      <c r="V187" s="2688">
        <f t="shared" si="53"/>
        <v>0</v>
      </c>
      <c r="W187" s="908"/>
      <c r="X187" s="2688">
        <f t="shared" si="54"/>
        <v>0</v>
      </c>
      <c r="Y187" s="2688">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8">
        <f t="shared" si="52"/>
        <v>0</v>
      </c>
      <c r="V188" s="2688">
        <f t="shared" si="53"/>
        <v>0</v>
      </c>
      <c r="W188" s="908"/>
      <c r="X188" s="2688">
        <f t="shared" si="54"/>
        <v>0</v>
      </c>
      <c r="Y188" s="2688">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8">
        <f t="shared" si="52"/>
        <v>0</v>
      </c>
      <c r="V189" s="2688">
        <f t="shared" si="53"/>
        <v>0</v>
      </c>
      <c r="W189" s="908"/>
      <c r="X189" s="2688">
        <f t="shared" si="54"/>
        <v>0</v>
      </c>
      <c r="Y189" s="2688">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8">
        <f t="shared" si="52"/>
        <v>0</v>
      </c>
      <c r="V190" s="2688">
        <f t="shared" si="53"/>
        <v>0</v>
      </c>
      <c r="W190" s="908"/>
      <c r="X190" s="2688">
        <f t="shared" si="54"/>
        <v>0</v>
      </c>
      <c r="Y190" s="2688">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8">
        <f t="shared" si="52"/>
        <v>0</v>
      </c>
      <c r="V191" s="2688">
        <f t="shared" si="53"/>
        <v>0</v>
      </c>
      <c r="W191" s="908"/>
      <c r="X191" s="2688">
        <f t="shared" si="54"/>
        <v>0</v>
      </c>
      <c r="Y191" s="2688">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8">
        <f t="shared" si="52"/>
        <v>0</v>
      </c>
      <c r="V192" s="2688">
        <f t="shared" si="53"/>
        <v>0</v>
      </c>
      <c r="W192" s="908"/>
      <c r="X192" s="2688">
        <f t="shared" si="54"/>
        <v>0</v>
      </c>
      <c r="Y192" s="2688">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8">
        <f t="shared" si="52"/>
        <v>0</v>
      </c>
      <c r="V193" s="2688">
        <f t="shared" si="53"/>
        <v>0</v>
      </c>
      <c r="W193" s="908"/>
      <c r="X193" s="2688">
        <f t="shared" si="54"/>
        <v>0</v>
      </c>
      <c r="Y193" s="2688">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8">
        <f t="shared" si="52"/>
        <v>0</v>
      </c>
      <c r="V194" s="2688">
        <f t="shared" si="53"/>
        <v>0</v>
      </c>
      <c r="W194" s="908"/>
      <c r="X194" s="2688">
        <f t="shared" si="54"/>
        <v>0</v>
      </c>
      <c r="Y194" s="2688">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8">
        <f t="shared" si="52"/>
        <v>0</v>
      </c>
      <c r="V195" s="2688">
        <f t="shared" si="53"/>
        <v>0</v>
      </c>
      <c r="W195" s="908"/>
      <c r="X195" s="2688">
        <f t="shared" si="54"/>
        <v>0</v>
      </c>
      <c r="Y195" s="2688">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8">
        <f t="shared" si="52"/>
        <v>0</v>
      </c>
      <c r="V196" s="2688">
        <f t="shared" si="53"/>
        <v>0</v>
      </c>
      <c r="W196" s="908"/>
      <c r="X196" s="2688">
        <f t="shared" si="54"/>
        <v>0</v>
      </c>
      <c r="Y196" s="2688">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8">
        <f t="shared" si="52"/>
        <v>0</v>
      </c>
      <c r="V197" s="2688">
        <f t="shared" si="53"/>
        <v>0</v>
      </c>
      <c r="W197" s="908"/>
      <c r="X197" s="2688">
        <f t="shared" si="54"/>
        <v>0</v>
      </c>
      <c r="Y197" s="2688">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8">
        <f t="shared" si="52"/>
        <v>0</v>
      </c>
      <c r="V198" s="2688">
        <f t="shared" si="53"/>
        <v>0</v>
      </c>
      <c r="W198" s="908"/>
      <c r="X198" s="2688">
        <f t="shared" si="54"/>
        <v>0</v>
      </c>
      <c r="Y198" s="2688">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8">
        <f t="shared" si="52"/>
        <v>0</v>
      </c>
      <c r="V199" s="2688">
        <f t="shared" si="53"/>
        <v>0</v>
      </c>
      <c r="W199" s="908"/>
      <c r="X199" s="2688">
        <f t="shared" si="54"/>
        <v>0</v>
      </c>
      <c r="Y199" s="2688">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8">
        <f t="shared" si="52"/>
        <v>0</v>
      </c>
      <c r="V200" s="2688">
        <f t="shared" si="53"/>
        <v>0</v>
      </c>
      <c r="W200" s="908"/>
      <c r="X200" s="2688">
        <f t="shared" si="54"/>
        <v>0</v>
      </c>
      <c r="Y200" s="2688">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8">
        <f t="shared" si="52"/>
        <v>0</v>
      </c>
      <c r="V201" s="2688">
        <f t="shared" si="53"/>
        <v>0</v>
      </c>
      <c r="W201" s="908"/>
      <c r="X201" s="2688">
        <f t="shared" si="54"/>
        <v>0</v>
      </c>
      <c r="Y201" s="2688">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8">
        <f t="shared" si="52"/>
        <v>0</v>
      </c>
      <c r="V202" s="2688">
        <f t="shared" si="53"/>
        <v>0</v>
      </c>
      <c r="W202" s="908"/>
      <c r="X202" s="2688">
        <f t="shared" si="54"/>
        <v>0</v>
      </c>
      <c r="Y202" s="2688">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8">
        <f t="shared" si="52"/>
        <v>0</v>
      </c>
      <c r="V203" s="2688">
        <f t="shared" si="53"/>
        <v>0</v>
      </c>
      <c r="W203" s="908"/>
      <c r="X203" s="2688">
        <f t="shared" si="54"/>
        <v>0</v>
      </c>
      <c r="Y203" s="2688">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8">
        <f t="shared" si="52"/>
        <v>0</v>
      </c>
      <c r="V204" s="2688">
        <f t="shared" si="53"/>
        <v>0</v>
      </c>
      <c r="W204" s="908"/>
      <c r="X204" s="2688">
        <f t="shared" si="54"/>
        <v>0</v>
      </c>
      <c r="Y204" s="2688">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8">
        <f t="shared" si="52"/>
        <v>0</v>
      </c>
      <c r="V205" s="2688">
        <f t="shared" si="53"/>
        <v>0</v>
      </c>
      <c r="W205" s="908"/>
      <c r="X205" s="2688">
        <f t="shared" si="54"/>
        <v>0</v>
      </c>
      <c r="Y205" s="2688">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8">
        <f t="shared" si="52"/>
        <v>0</v>
      </c>
      <c r="V206" s="2688">
        <f t="shared" si="53"/>
        <v>0</v>
      </c>
      <c r="W206" s="908"/>
      <c r="X206" s="2688">
        <f t="shared" si="54"/>
        <v>0</v>
      </c>
      <c r="Y206" s="2688">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8">
        <f t="shared" si="52"/>
        <v>0</v>
      </c>
      <c r="V207" s="2688">
        <f t="shared" si="53"/>
        <v>0</v>
      </c>
      <c r="W207" s="908"/>
      <c r="X207" s="2688">
        <f t="shared" si="54"/>
        <v>0</v>
      </c>
      <c r="Y207" s="2688">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8">
        <f t="shared" si="52"/>
        <v>0</v>
      </c>
      <c r="V208" s="2688">
        <f t="shared" si="53"/>
        <v>0</v>
      </c>
      <c r="W208" s="908"/>
      <c r="X208" s="2688">
        <f t="shared" si="54"/>
        <v>0</v>
      </c>
      <c r="Y208" s="2688">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8">
        <f t="shared" si="52"/>
        <v>0</v>
      </c>
      <c r="V209" s="2688">
        <f t="shared" si="53"/>
        <v>0</v>
      </c>
      <c r="W209" s="908"/>
      <c r="X209" s="2688">
        <f t="shared" si="54"/>
        <v>0</v>
      </c>
      <c r="Y209" s="2688">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8">
        <f t="shared" si="52"/>
        <v>0</v>
      </c>
      <c r="V210" s="2688">
        <f t="shared" si="53"/>
        <v>0</v>
      </c>
      <c r="W210" s="908"/>
      <c r="X210" s="2688">
        <f t="shared" si="54"/>
        <v>0</v>
      </c>
      <c r="Y210" s="2688">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8">
        <f t="shared" si="52"/>
        <v>0</v>
      </c>
      <c r="V211" s="2688">
        <f t="shared" si="53"/>
        <v>0</v>
      </c>
      <c r="W211" s="908"/>
      <c r="X211" s="2688">
        <f t="shared" si="54"/>
        <v>0</v>
      </c>
      <c r="Y211" s="2688">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8">
        <f t="shared" si="52"/>
        <v>0</v>
      </c>
      <c r="V212" s="2688">
        <f t="shared" si="53"/>
        <v>0</v>
      </c>
      <c r="W212" s="908"/>
      <c r="X212" s="2688">
        <f t="shared" si="54"/>
        <v>0</v>
      </c>
      <c r="Y212" s="2688">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8">
        <f t="shared" si="52"/>
        <v>0</v>
      </c>
      <c r="V213" s="2688">
        <f t="shared" si="53"/>
        <v>0</v>
      </c>
      <c r="W213" s="908"/>
      <c r="X213" s="2688">
        <f t="shared" si="54"/>
        <v>0</v>
      </c>
      <c r="Y213" s="2688">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8">
        <f t="shared" si="52"/>
        <v>0</v>
      </c>
      <c r="V214" s="2688">
        <f t="shared" si="53"/>
        <v>0</v>
      </c>
      <c r="W214" s="908"/>
      <c r="X214" s="2688">
        <f t="shared" si="54"/>
        <v>0</v>
      </c>
      <c r="Y214" s="2688">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8">
        <f t="shared" si="52"/>
        <v>0</v>
      </c>
      <c r="V215" s="2688">
        <f t="shared" si="53"/>
        <v>0</v>
      </c>
      <c r="W215" s="908"/>
      <c r="X215" s="2688">
        <f t="shared" si="54"/>
        <v>0</v>
      </c>
      <c r="Y215" s="2688">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8">
        <f t="shared" si="52"/>
        <v>0</v>
      </c>
      <c r="V216" s="2688">
        <f t="shared" si="53"/>
        <v>0</v>
      </c>
      <c r="W216" s="908"/>
      <c r="X216" s="2688">
        <f t="shared" si="54"/>
        <v>0</v>
      </c>
      <c r="Y216" s="2688">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8">
        <f t="shared" si="52"/>
        <v>0</v>
      </c>
      <c r="V217" s="2688">
        <f t="shared" si="53"/>
        <v>0</v>
      </c>
      <c r="W217" s="908"/>
      <c r="X217" s="2688">
        <f t="shared" si="54"/>
        <v>0</v>
      </c>
      <c r="Y217" s="2688">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8">
        <f t="shared" si="52"/>
        <v>0</v>
      </c>
      <c r="V218" s="2688">
        <f t="shared" si="53"/>
        <v>0</v>
      </c>
      <c r="W218" s="908"/>
      <c r="X218" s="2688">
        <f t="shared" si="54"/>
        <v>0</v>
      </c>
      <c r="Y218" s="2688">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8">
        <f t="shared" si="52"/>
        <v>0</v>
      </c>
      <c r="V219" s="2688">
        <f t="shared" si="53"/>
        <v>0</v>
      </c>
      <c r="W219" s="908"/>
      <c r="X219" s="2688">
        <f t="shared" si="54"/>
        <v>0</v>
      </c>
      <c r="Y219" s="2688">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8">
        <f t="shared" ref="U220:U283" si="67">ROUND(W220*B220,0)</f>
        <v>0</v>
      </c>
      <c r="V220" s="2688">
        <f t="shared" ref="V220:V283" si="68">ROUND(W220*B220/10000,0)</f>
        <v>0</v>
      </c>
      <c r="W220" s="908"/>
      <c r="X220" s="2688">
        <f t="shared" ref="X220:X283" si="69">ROUND(Z220*B220,0)</f>
        <v>0</v>
      </c>
      <c r="Y220" s="2688">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8">
        <f t="shared" si="67"/>
        <v>0</v>
      </c>
      <c r="V221" s="2688">
        <f t="shared" si="68"/>
        <v>0</v>
      </c>
      <c r="W221" s="908"/>
      <c r="X221" s="2688">
        <f t="shared" si="69"/>
        <v>0</v>
      </c>
      <c r="Y221" s="2688">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8">
        <f t="shared" si="67"/>
        <v>0</v>
      </c>
      <c r="V222" s="2688">
        <f t="shared" si="68"/>
        <v>0</v>
      </c>
      <c r="W222" s="908"/>
      <c r="X222" s="2688">
        <f t="shared" si="69"/>
        <v>0</v>
      </c>
      <c r="Y222" s="2688">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8">
        <f t="shared" si="67"/>
        <v>0</v>
      </c>
      <c r="V223" s="2688">
        <f t="shared" si="68"/>
        <v>0</v>
      </c>
      <c r="W223" s="908"/>
      <c r="X223" s="2688">
        <f t="shared" si="69"/>
        <v>0</v>
      </c>
      <c r="Y223" s="2688">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8">
        <f t="shared" si="67"/>
        <v>0</v>
      </c>
      <c r="V224" s="2688">
        <f t="shared" si="68"/>
        <v>0</v>
      </c>
      <c r="W224" s="908"/>
      <c r="X224" s="2688">
        <f t="shared" si="69"/>
        <v>0</v>
      </c>
      <c r="Y224" s="2688">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8">
        <f t="shared" si="67"/>
        <v>0</v>
      </c>
      <c r="V225" s="2688">
        <f t="shared" si="68"/>
        <v>0</v>
      </c>
      <c r="W225" s="908"/>
      <c r="X225" s="2688">
        <f t="shared" si="69"/>
        <v>0</v>
      </c>
      <c r="Y225" s="2688">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8">
        <f t="shared" si="67"/>
        <v>0</v>
      </c>
      <c r="V226" s="2688">
        <f t="shared" si="68"/>
        <v>0</v>
      </c>
      <c r="W226" s="908"/>
      <c r="X226" s="2688">
        <f t="shared" si="69"/>
        <v>0</v>
      </c>
      <c r="Y226" s="2688">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8">
        <f t="shared" si="67"/>
        <v>0</v>
      </c>
      <c r="V227" s="2688">
        <f t="shared" si="68"/>
        <v>0</v>
      </c>
      <c r="W227" s="908"/>
      <c r="X227" s="2688">
        <f t="shared" si="69"/>
        <v>0</v>
      </c>
      <c r="Y227" s="2688">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8">
        <f t="shared" si="67"/>
        <v>0</v>
      </c>
      <c r="V228" s="2688">
        <f t="shared" si="68"/>
        <v>0</v>
      </c>
      <c r="W228" s="908"/>
      <c r="X228" s="2688">
        <f t="shared" si="69"/>
        <v>0</v>
      </c>
      <c r="Y228" s="2688">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8">
        <f t="shared" si="67"/>
        <v>0</v>
      </c>
      <c r="V229" s="2688">
        <f t="shared" si="68"/>
        <v>0</v>
      </c>
      <c r="W229" s="908"/>
      <c r="X229" s="2688">
        <f t="shared" si="69"/>
        <v>0</v>
      </c>
      <c r="Y229" s="2688">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8">
        <f t="shared" si="67"/>
        <v>0</v>
      </c>
      <c r="V230" s="2688">
        <f t="shared" si="68"/>
        <v>0</v>
      </c>
      <c r="W230" s="908"/>
      <c r="X230" s="2688">
        <f t="shared" si="69"/>
        <v>0</v>
      </c>
      <c r="Y230" s="2688">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8">
        <f t="shared" si="67"/>
        <v>0</v>
      </c>
      <c r="V231" s="2688">
        <f t="shared" si="68"/>
        <v>0</v>
      </c>
      <c r="W231" s="908"/>
      <c r="X231" s="2688">
        <f t="shared" si="69"/>
        <v>0</v>
      </c>
      <c r="Y231" s="2688">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8">
        <f t="shared" si="67"/>
        <v>0</v>
      </c>
      <c r="V232" s="2688">
        <f t="shared" si="68"/>
        <v>0</v>
      </c>
      <c r="W232" s="908"/>
      <c r="X232" s="2688">
        <f t="shared" si="69"/>
        <v>0</v>
      </c>
      <c r="Y232" s="2688">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8">
        <f t="shared" si="67"/>
        <v>0</v>
      </c>
      <c r="V233" s="2688">
        <f t="shared" si="68"/>
        <v>0</v>
      </c>
      <c r="W233" s="908"/>
      <c r="X233" s="2688">
        <f t="shared" si="69"/>
        <v>0</v>
      </c>
      <c r="Y233" s="2688">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8">
        <f t="shared" si="67"/>
        <v>0</v>
      </c>
      <c r="V234" s="2688">
        <f t="shared" si="68"/>
        <v>0</v>
      </c>
      <c r="W234" s="908"/>
      <c r="X234" s="2688">
        <f t="shared" si="69"/>
        <v>0</v>
      </c>
      <c r="Y234" s="2688">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8">
        <f t="shared" si="67"/>
        <v>0</v>
      </c>
      <c r="V235" s="2688">
        <f t="shared" si="68"/>
        <v>0</v>
      </c>
      <c r="W235" s="908"/>
      <c r="X235" s="2688">
        <f t="shared" si="69"/>
        <v>0</v>
      </c>
      <c r="Y235" s="2688">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8">
        <f t="shared" si="67"/>
        <v>0</v>
      </c>
      <c r="V236" s="2688">
        <f t="shared" si="68"/>
        <v>0</v>
      </c>
      <c r="W236" s="908"/>
      <c r="X236" s="2688">
        <f t="shared" si="69"/>
        <v>0</v>
      </c>
      <c r="Y236" s="2688">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8">
        <f t="shared" si="67"/>
        <v>0</v>
      </c>
      <c r="V237" s="2688">
        <f t="shared" si="68"/>
        <v>0</v>
      </c>
      <c r="W237" s="908"/>
      <c r="X237" s="2688">
        <f t="shared" si="69"/>
        <v>0</v>
      </c>
      <c r="Y237" s="2688">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8">
        <f t="shared" si="67"/>
        <v>0</v>
      </c>
      <c r="V238" s="2688">
        <f t="shared" si="68"/>
        <v>0</v>
      </c>
      <c r="W238" s="908"/>
      <c r="X238" s="2688">
        <f t="shared" si="69"/>
        <v>0</v>
      </c>
      <c r="Y238" s="2688">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8">
        <f t="shared" si="67"/>
        <v>0</v>
      </c>
      <c r="V239" s="2688">
        <f t="shared" si="68"/>
        <v>0</v>
      </c>
      <c r="W239" s="908"/>
      <c r="X239" s="2688">
        <f t="shared" si="69"/>
        <v>0</v>
      </c>
      <c r="Y239" s="2688">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8">
        <f t="shared" si="67"/>
        <v>0</v>
      </c>
      <c r="V240" s="2688">
        <f t="shared" si="68"/>
        <v>0</v>
      </c>
      <c r="W240" s="908"/>
      <c r="X240" s="2688">
        <f t="shared" si="69"/>
        <v>0</v>
      </c>
      <c r="Y240" s="2688">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8">
        <f t="shared" si="67"/>
        <v>0</v>
      </c>
      <c r="V241" s="2688">
        <f t="shared" si="68"/>
        <v>0</v>
      </c>
      <c r="W241" s="908"/>
      <c r="X241" s="2688">
        <f t="shared" si="69"/>
        <v>0</v>
      </c>
      <c r="Y241" s="2688">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8">
        <f t="shared" si="67"/>
        <v>0</v>
      </c>
      <c r="V242" s="2688">
        <f t="shared" si="68"/>
        <v>0</v>
      </c>
      <c r="W242" s="908"/>
      <c r="X242" s="2688">
        <f t="shared" si="69"/>
        <v>0</v>
      </c>
      <c r="Y242" s="2688">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8">
        <f t="shared" si="67"/>
        <v>0</v>
      </c>
      <c r="V243" s="2688">
        <f t="shared" si="68"/>
        <v>0</v>
      </c>
      <c r="W243" s="908"/>
      <c r="X243" s="2688">
        <f t="shared" si="69"/>
        <v>0</v>
      </c>
      <c r="Y243" s="2688">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8">
        <f t="shared" si="67"/>
        <v>0</v>
      </c>
      <c r="V244" s="2688">
        <f t="shared" si="68"/>
        <v>0</v>
      </c>
      <c r="W244" s="908"/>
      <c r="X244" s="2688">
        <f t="shared" si="69"/>
        <v>0</v>
      </c>
      <c r="Y244" s="2688">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8">
        <f t="shared" si="67"/>
        <v>0</v>
      </c>
      <c r="V245" s="2688">
        <f t="shared" si="68"/>
        <v>0</v>
      </c>
      <c r="W245" s="908"/>
      <c r="X245" s="2688">
        <f t="shared" si="69"/>
        <v>0</v>
      </c>
      <c r="Y245" s="2688">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8">
        <f t="shared" si="67"/>
        <v>0</v>
      </c>
      <c r="V246" s="2688">
        <f t="shared" si="68"/>
        <v>0</v>
      </c>
      <c r="W246" s="908"/>
      <c r="X246" s="2688">
        <f t="shared" si="69"/>
        <v>0</v>
      </c>
      <c r="Y246" s="2688">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8">
        <f t="shared" si="67"/>
        <v>0</v>
      </c>
      <c r="V247" s="2688">
        <f t="shared" si="68"/>
        <v>0</v>
      </c>
      <c r="W247" s="908"/>
      <c r="X247" s="2688">
        <f t="shared" si="69"/>
        <v>0</v>
      </c>
      <c r="Y247" s="2688">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8">
        <f t="shared" si="67"/>
        <v>0</v>
      </c>
      <c r="V248" s="2688">
        <f t="shared" si="68"/>
        <v>0</v>
      </c>
      <c r="W248" s="908"/>
      <c r="X248" s="2688">
        <f t="shared" si="69"/>
        <v>0</v>
      </c>
      <c r="Y248" s="2688">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8">
        <f t="shared" si="67"/>
        <v>0</v>
      </c>
      <c r="V249" s="2688">
        <f t="shared" si="68"/>
        <v>0</v>
      </c>
      <c r="W249" s="908"/>
      <c r="X249" s="2688">
        <f t="shared" si="69"/>
        <v>0</v>
      </c>
      <c r="Y249" s="2688">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8">
        <f t="shared" si="67"/>
        <v>0</v>
      </c>
      <c r="V250" s="2688">
        <f t="shared" si="68"/>
        <v>0</v>
      </c>
      <c r="W250" s="908"/>
      <c r="X250" s="2688">
        <f t="shared" si="69"/>
        <v>0</v>
      </c>
      <c r="Y250" s="2688">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8">
        <f t="shared" si="67"/>
        <v>0</v>
      </c>
      <c r="V251" s="2688">
        <f t="shared" si="68"/>
        <v>0</v>
      </c>
      <c r="W251" s="908"/>
      <c r="X251" s="2688">
        <f t="shared" si="69"/>
        <v>0</v>
      </c>
      <c r="Y251" s="2688">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8">
        <f t="shared" si="67"/>
        <v>0</v>
      </c>
      <c r="V252" s="2688">
        <f t="shared" si="68"/>
        <v>0</v>
      </c>
      <c r="W252" s="908"/>
      <c r="X252" s="2688">
        <f t="shared" si="69"/>
        <v>0</v>
      </c>
      <c r="Y252" s="2688">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8">
        <f t="shared" si="67"/>
        <v>0</v>
      </c>
      <c r="V253" s="2688">
        <f t="shared" si="68"/>
        <v>0</v>
      </c>
      <c r="W253" s="908"/>
      <c r="X253" s="2688">
        <f t="shared" si="69"/>
        <v>0</v>
      </c>
      <c r="Y253" s="2688">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8">
        <f t="shared" si="67"/>
        <v>0</v>
      </c>
      <c r="V254" s="2688">
        <f t="shared" si="68"/>
        <v>0</v>
      </c>
      <c r="W254" s="908"/>
      <c r="X254" s="2688">
        <f t="shared" si="69"/>
        <v>0</v>
      </c>
      <c r="Y254" s="2688">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8">
        <f t="shared" si="67"/>
        <v>0</v>
      </c>
      <c r="V255" s="2688">
        <f t="shared" si="68"/>
        <v>0</v>
      </c>
      <c r="W255" s="908"/>
      <c r="X255" s="2688">
        <f t="shared" si="69"/>
        <v>0</v>
      </c>
      <c r="Y255" s="2688">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8">
        <f t="shared" si="67"/>
        <v>0</v>
      </c>
      <c r="V256" s="2688">
        <f t="shared" si="68"/>
        <v>0</v>
      </c>
      <c r="W256" s="908"/>
      <c r="X256" s="2688">
        <f t="shared" si="69"/>
        <v>0</v>
      </c>
      <c r="Y256" s="2688">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8">
        <f t="shared" si="67"/>
        <v>0</v>
      </c>
      <c r="V257" s="2688">
        <f t="shared" si="68"/>
        <v>0</v>
      </c>
      <c r="W257" s="908"/>
      <c r="X257" s="2688">
        <f t="shared" si="69"/>
        <v>0</v>
      </c>
      <c r="Y257" s="2688">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8">
        <f t="shared" si="67"/>
        <v>0</v>
      </c>
      <c r="V258" s="2688">
        <f t="shared" si="68"/>
        <v>0</v>
      </c>
      <c r="W258" s="908"/>
      <c r="X258" s="2688">
        <f t="shared" si="69"/>
        <v>0</v>
      </c>
      <c r="Y258" s="2688">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8">
        <f t="shared" si="67"/>
        <v>0</v>
      </c>
      <c r="V259" s="2688">
        <f t="shared" si="68"/>
        <v>0</v>
      </c>
      <c r="W259" s="908"/>
      <c r="X259" s="2688">
        <f t="shared" si="69"/>
        <v>0</v>
      </c>
      <c r="Y259" s="2688">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8">
        <f t="shared" si="67"/>
        <v>0</v>
      </c>
      <c r="V260" s="2688">
        <f t="shared" si="68"/>
        <v>0</v>
      </c>
      <c r="W260" s="908"/>
      <c r="X260" s="2688">
        <f t="shared" si="69"/>
        <v>0</v>
      </c>
      <c r="Y260" s="2688">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8">
        <f t="shared" si="67"/>
        <v>0</v>
      </c>
      <c r="V261" s="2688">
        <f t="shared" si="68"/>
        <v>0</v>
      </c>
      <c r="W261" s="908"/>
      <c r="X261" s="2688">
        <f t="shared" si="69"/>
        <v>0</v>
      </c>
      <c r="Y261" s="2688">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8">
        <f t="shared" si="67"/>
        <v>0</v>
      </c>
      <c r="V262" s="2688">
        <f t="shared" si="68"/>
        <v>0</v>
      </c>
      <c r="W262" s="908"/>
      <c r="X262" s="2688">
        <f t="shared" si="69"/>
        <v>0</v>
      </c>
      <c r="Y262" s="2688">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8">
        <f t="shared" si="67"/>
        <v>0</v>
      </c>
      <c r="V263" s="2688">
        <f t="shared" si="68"/>
        <v>0</v>
      </c>
      <c r="W263" s="908"/>
      <c r="X263" s="2688">
        <f t="shared" si="69"/>
        <v>0</v>
      </c>
      <c r="Y263" s="2688">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8">
        <f t="shared" si="67"/>
        <v>0</v>
      </c>
      <c r="V264" s="2688">
        <f t="shared" si="68"/>
        <v>0</v>
      </c>
      <c r="W264" s="908"/>
      <c r="X264" s="2688">
        <f t="shared" si="69"/>
        <v>0</v>
      </c>
      <c r="Y264" s="2688">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8">
        <f t="shared" si="67"/>
        <v>0</v>
      </c>
      <c r="V265" s="2688">
        <f t="shared" si="68"/>
        <v>0</v>
      </c>
      <c r="W265" s="908"/>
      <c r="X265" s="2688">
        <f t="shared" si="69"/>
        <v>0</v>
      </c>
      <c r="Y265" s="2688">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8">
        <f t="shared" si="67"/>
        <v>0</v>
      </c>
      <c r="V266" s="2688">
        <f t="shared" si="68"/>
        <v>0</v>
      </c>
      <c r="W266" s="908"/>
      <c r="X266" s="2688">
        <f t="shared" si="69"/>
        <v>0</v>
      </c>
      <c r="Y266" s="2688">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8">
        <f t="shared" si="67"/>
        <v>0</v>
      </c>
      <c r="V267" s="2688">
        <f t="shared" si="68"/>
        <v>0</v>
      </c>
      <c r="W267" s="908"/>
      <c r="X267" s="2688">
        <f t="shared" si="69"/>
        <v>0</v>
      </c>
      <c r="Y267" s="2688">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8">
        <f t="shared" si="67"/>
        <v>0</v>
      </c>
      <c r="V268" s="2688">
        <f t="shared" si="68"/>
        <v>0</v>
      </c>
      <c r="W268" s="908"/>
      <c r="X268" s="2688">
        <f t="shared" si="69"/>
        <v>0</v>
      </c>
      <c r="Y268" s="2688">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8">
        <f t="shared" si="67"/>
        <v>0</v>
      </c>
      <c r="V269" s="2688">
        <f t="shared" si="68"/>
        <v>0</v>
      </c>
      <c r="W269" s="908"/>
      <c r="X269" s="2688">
        <f t="shared" si="69"/>
        <v>0</v>
      </c>
      <c r="Y269" s="2688">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8">
        <f t="shared" si="67"/>
        <v>0</v>
      </c>
      <c r="V270" s="2688">
        <f t="shared" si="68"/>
        <v>0</v>
      </c>
      <c r="W270" s="908"/>
      <c r="X270" s="2688">
        <f t="shared" si="69"/>
        <v>0</v>
      </c>
      <c r="Y270" s="2688">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8">
        <f t="shared" si="67"/>
        <v>0</v>
      </c>
      <c r="V271" s="2688">
        <f t="shared" si="68"/>
        <v>0</v>
      </c>
      <c r="W271" s="908"/>
      <c r="X271" s="2688">
        <f t="shared" si="69"/>
        <v>0</v>
      </c>
      <c r="Y271" s="2688">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8">
        <f t="shared" si="67"/>
        <v>0</v>
      </c>
      <c r="V272" s="2688">
        <f t="shared" si="68"/>
        <v>0</v>
      </c>
      <c r="W272" s="908"/>
      <c r="X272" s="2688">
        <f t="shared" si="69"/>
        <v>0</v>
      </c>
      <c r="Y272" s="2688">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8">
        <f t="shared" si="67"/>
        <v>0</v>
      </c>
      <c r="V273" s="2688">
        <f t="shared" si="68"/>
        <v>0</v>
      </c>
      <c r="W273" s="908"/>
      <c r="X273" s="2688">
        <f t="shared" si="69"/>
        <v>0</v>
      </c>
      <c r="Y273" s="2688">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8">
        <f t="shared" si="67"/>
        <v>0</v>
      </c>
      <c r="V274" s="2688">
        <f t="shared" si="68"/>
        <v>0</v>
      </c>
      <c r="W274" s="908"/>
      <c r="X274" s="2688">
        <f t="shared" si="69"/>
        <v>0</v>
      </c>
      <c r="Y274" s="2688">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8">
        <f t="shared" si="67"/>
        <v>0</v>
      </c>
      <c r="V275" s="2688">
        <f t="shared" si="68"/>
        <v>0</v>
      </c>
      <c r="W275" s="908"/>
      <c r="X275" s="2688">
        <f t="shared" si="69"/>
        <v>0</v>
      </c>
      <c r="Y275" s="2688">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8">
        <f t="shared" si="67"/>
        <v>0</v>
      </c>
      <c r="V276" s="2688">
        <f t="shared" si="68"/>
        <v>0</v>
      </c>
      <c r="W276" s="908"/>
      <c r="X276" s="2688">
        <f t="shared" si="69"/>
        <v>0</v>
      </c>
      <c r="Y276" s="2688">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8">
        <f t="shared" si="67"/>
        <v>0</v>
      </c>
      <c r="V277" s="2688">
        <f t="shared" si="68"/>
        <v>0</v>
      </c>
      <c r="W277" s="908"/>
      <c r="X277" s="2688">
        <f t="shared" si="69"/>
        <v>0</v>
      </c>
      <c r="Y277" s="2688">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8">
        <f t="shared" si="67"/>
        <v>0</v>
      </c>
      <c r="V278" s="2688">
        <f t="shared" si="68"/>
        <v>0</v>
      </c>
      <c r="W278" s="908"/>
      <c r="X278" s="2688">
        <f t="shared" si="69"/>
        <v>0</v>
      </c>
      <c r="Y278" s="2688">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8">
        <f t="shared" si="67"/>
        <v>0</v>
      </c>
      <c r="V279" s="2688">
        <f t="shared" si="68"/>
        <v>0</v>
      </c>
      <c r="W279" s="908"/>
      <c r="X279" s="2688">
        <f t="shared" si="69"/>
        <v>0</v>
      </c>
      <c r="Y279" s="2688">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8">
        <f t="shared" si="67"/>
        <v>0</v>
      </c>
      <c r="V280" s="2688">
        <f t="shared" si="68"/>
        <v>0</v>
      </c>
      <c r="W280" s="908"/>
      <c r="X280" s="2688">
        <f t="shared" si="69"/>
        <v>0</v>
      </c>
      <c r="Y280" s="2688">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8">
        <f t="shared" si="67"/>
        <v>0</v>
      </c>
      <c r="V281" s="2688">
        <f t="shared" si="68"/>
        <v>0</v>
      </c>
      <c r="W281" s="908"/>
      <c r="X281" s="2688">
        <f t="shared" si="69"/>
        <v>0</v>
      </c>
      <c r="Y281" s="2688">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8">
        <f t="shared" si="67"/>
        <v>0</v>
      </c>
      <c r="V282" s="2688">
        <f t="shared" si="68"/>
        <v>0</v>
      </c>
      <c r="W282" s="908"/>
      <c r="X282" s="2688">
        <f t="shared" si="69"/>
        <v>0</v>
      </c>
      <c r="Y282" s="2688">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8">
        <f t="shared" si="67"/>
        <v>0</v>
      </c>
      <c r="V283" s="2688">
        <f t="shared" si="68"/>
        <v>0</v>
      </c>
      <c r="W283" s="908"/>
      <c r="X283" s="2688">
        <f t="shared" si="69"/>
        <v>0</v>
      </c>
      <c r="Y283" s="2688">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8">
        <f t="shared" ref="U284:U347" si="82">ROUND(W284*B284,0)</f>
        <v>0</v>
      </c>
      <c r="V284" s="2688">
        <f t="shared" ref="V284:V347" si="83">ROUND(W284*B284/10000,0)</f>
        <v>0</v>
      </c>
      <c r="W284" s="908"/>
      <c r="X284" s="2688">
        <f t="shared" ref="X284:X347" si="84">ROUND(Z284*B284,0)</f>
        <v>0</v>
      </c>
      <c r="Y284" s="2688">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8">
        <f t="shared" si="82"/>
        <v>0</v>
      </c>
      <c r="V285" s="2688">
        <f t="shared" si="83"/>
        <v>0</v>
      </c>
      <c r="W285" s="908"/>
      <c r="X285" s="2688">
        <f t="shared" si="84"/>
        <v>0</v>
      </c>
      <c r="Y285" s="2688">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8">
        <f t="shared" si="82"/>
        <v>0</v>
      </c>
      <c r="V286" s="2688">
        <f t="shared" si="83"/>
        <v>0</v>
      </c>
      <c r="W286" s="908"/>
      <c r="X286" s="2688">
        <f t="shared" si="84"/>
        <v>0</v>
      </c>
      <c r="Y286" s="2688">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8">
        <f t="shared" si="82"/>
        <v>0</v>
      </c>
      <c r="V287" s="2688">
        <f t="shared" si="83"/>
        <v>0</v>
      </c>
      <c r="W287" s="908"/>
      <c r="X287" s="2688">
        <f t="shared" si="84"/>
        <v>0</v>
      </c>
      <c r="Y287" s="2688">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8">
        <f t="shared" si="82"/>
        <v>0</v>
      </c>
      <c r="V288" s="2688">
        <f t="shared" si="83"/>
        <v>0</v>
      </c>
      <c r="W288" s="908"/>
      <c r="X288" s="2688">
        <f t="shared" si="84"/>
        <v>0</v>
      </c>
      <c r="Y288" s="2688">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8">
        <f t="shared" si="82"/>
        <v>0</v>
      </c>
      <c r="V289" s="2688">
        <f t="shared" si="83"/>
        <v>0</v>
      </c>
      <c r="W289" s="908"/>
      <c r="X289" s="2688">
        <f t="shared" si="84"/>
        <v>0</v>
      </c>
      <c r="Y289" s="2688">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8">
        <f t="shared" si="82"/>
        <v>0</v>
      </c>
      <c r="V290" s="2688">
        <f t="shared" si="83"/>
        <v>0</v>
      </c>
      <c r="W290" s="908"/>
      <c r="X290" s="2688">
        <f t="shared" si="84"/>
        <v>0</v>
      </c>
      <c r="Y290" s="2688">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8">
        <f t="shared" si="82"/>
        <v>0</v>
      </c>
      <c r="V291" s="2688">
        <f t="shared" si="83"/>
        <v>0</v>
      </c>
      <c r="W291" s="908"/>
      <c r="X291" s="2688">
        <f t="shared" si="84"/>
        <v>0</v>
      </c>
      <c r="Y291" s="2688">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8">
        <f t="shared" si="82"/>
        <v>0</v>
      </c>
      <c r="V292" s="2688">
        <f t="shared" si="83"/>
        <v>0</v>
      </c>
      <c r="W292" s="908"/>
      <c r="X292" s="2688">
        <f t="shared" si="84"/>
        <v>0</v>
      </c>
      <c r="Y292" s="2688">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8">
        <f t="shared" si="82"/>
        <v>0</v>
      </c>
      <c r="V293" s="2688">
        <f t="shared" si="83"/>
        <v>0</v>
      </c>
      <c r="W293" s="908"/>
      <c r="X293" s="2688">
        <f t="shared" si="84"/>
        <v>0</v>
      </c>
      <c r="Y293" s="2688">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8">
        <f t="shared" si="82"/>
        <v>0</v>
      </c>
      <c r="V294" s="2688">
        <f t="shared" si="83"/>
        <v>0</v>
      </c>
      <c r="W294" s="908"/>
      <c r="X294" s="2688">
        <f t="shared" si="84"/>
        <v>0</v>
      </c>
      <c r="Y294" s="2688">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8">
        <f t="shared" si="82"/>
        <v>0</v>
      </c>
      <c r="V295" s="2688">
        <f t="shared" si="83"/>
        <v>0</v>
      </c>
      <c r="W295" s="908"/>
      <c r="X295" s="2688">
        <f t="shared" si="84"/>
        <v>0</v>
      </c>
      <c r="Y295" s="2688">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8">
        <f t="shared" si="82"/>
        <v>0</v>
      </c>
      <c r="V296" s="2688">
        <f t="shared" si="83"/>
        <v>0</v>
      </c>
      <c r="W296" s="908"/>
      <c r="X296" s="2688">
        <f t="shared" si="84"/>
        <v>0</v>
      </c>
      <c r="Y296" s="2688">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8">
        <f t="shared" si="82"/>
        <v>0</v>
      </c>
      <c r="V297" s="2688">
        <f t="shared" si="83"/>
        <v>0</v>
      </c>
      <c r="W297" s="908"/>
      <c r="X297" s="2688">
        <f t="shared" si="84"/>
        <v>0</v>
      </c>
      <c r="Y297" s="2688">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8">
        <f t="shared" si="82"/>
        <v>0</v>
      </c>
      <c r="V298" s="2688">
        <f t="shared" si="83"/>
        <v>0</v>
      </c>
      <c r="W298" s="908"/>
      <c r="X298" s="2688">
        <f t="shared" si="84"/>
        <v>0</v>
      </c>
      <c r="Y298" s="2688">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8">
        <f t="shared" si="82"/>
        <v>0</v>
      </c>
      <c r="V299" s="2688">
        <f t="shared" si="83"/>
        <v>0</v>
      </c>
      <c r="W299" s="908"/>
      <c r="X299" s="2688">
        <f t="shared" si="84"/>
        <v>0</v>
      </c>
      <c r="Y299" s="2688">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8">
        <f t="shared" si="82"/>
        <v>0</v>
      </c>
      <c r="V300" s="2688">
        <f t="shared" si="83"/>
        <v>0</v>
      </c>
      <c r="W300" s="908"/>
      <c r="X300" s="2688">
        <f t="shared" si="84"/>
        <v>0</v>
      </c>
      <c r="Y300" s="2688">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8">
        <f t="shared" si="82"/>
        <v>0</v>
      </c>
      <c r="V301" s="2688">
        <f t="shared" si="83"/>
        <v>0</v>
      </c>
      <c r="W301" s="908"/>
      <c r="X301" s="2688">
        <f t="shared" si="84"/>
        <v>0</v>
      </c>
      <c r="Y301" s="2688">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8">
        <f t="shared" si="82"/>
        <v>0</v>
      </c>
      <c r="V302" s="2688">
        <f t="shared" si="83"/>
        <v>0</v>
      </c>
      <c r="W302" s="908"/>
      <c r="X302" s="2688">
        <f t="shared" si="84"/>
        <v>0</v>
      </c>
      <c r="Y302" s="2688">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8">
        <f t="shared" si="82"/>
        <v>0</v>
      </c>
      <c r="V303" s="2688">
        <f t="shared" si="83"/>
        <v>0</v>
      </c>
      <c r="W303" s="908"/>
      <c r="X303" s="2688">
        <f t="shared" si="84"/>
        <v>0</v>
      </c>
      <c r="Y303" s="2688">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8">
        <f t="shared" si="82"/>
        <v>0</v>
      </c>
      <c r="V304" s="2688">
        <f t="shared" si="83"/>
        <v>0</v>
      </c>
      <c r="W304" s="908"/>
      <c r="X304" s="2688">
        <f t="shared" si="84"/>
        <v>0</v>
      </c>
      <c r="Y304" s="2688">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8">
        <f t="shared" si="82"/>
        <v>0</v>
      </c>
      <c r="V305" s="2688">
        <f t="shared" si="83"/>
        <v>0</v>
      </c>
      <c r="W305" s="908"/>
      <c r="X305" s="2688">
        <f t="shared" si="84"/>
        <v>0</v>
      </c>
      <c r="Y305" s="2688">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8">
        <f t="shared" si="82"/>
        <v>0</v>
      </c>
      <c r="V306" s="2688">
        <f t="shared" si="83"/>
        <v>0</v>
      </c>
      <c r="W306" s="908"/>
      <c r="X306" s="2688">
        <f t="shared" si="84"/>
        <v>0</v>
      </c>
      <c r="Y306" s="2688">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8">
        <f t="shared" si="82"/>
        <v>0</v>
      </c>
      <c r="V307" s="2688">
        <f t="shared" si="83"/>
        <v>0</v>
      </c>
      <c r="W307" s="908"/>
      <c r="X307" s="2688">
        <f t="shared" si="84"/>
        <v>0</v>
      </c>
      <c r="Y307" s="2688">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8">
        <f t="shared" si="82"/>
        <v>0</v>
      </c>
      <c r="V308" s="2688">
        <f t="shared" si="83"/>
        <v>0</v>
      </c>
      <c r="W308" s="908"/>
      <c r="X308" s="2688">
        <f t="shared" si="84"/>
        <v>0</v>
      </c>
      <c r="Y308" s="2688">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8">
        <f t="shared" si="82"/>
        <v>0</v>
      </c>
      <c r="V309" s="2688">
        <f t="shared" si="83"/>
        <v>0</v>
      </c>
      <c r="W309" s="908"/>
      <c r="X309" s="2688">
        <f t="shared" si="84"/>
        <v>0</v>
      </c>
      <c r="Y309" s="2688">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8">
        <f t="shared" si="82"/>
        <v>0</v>
      </c>
      <c r="V310" s="2688">
        <f t="shared" si="83"/>
        <v>0</v>
      </c>
      <c r="W310" s="908"/>
      <c r="X310" s="2688">
        <f t="shared" si="84"/>
        <v>0</v>
      </c>
      <c r="Y310" s="2688">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8">
        <f t="shared" si="82"/>
        <v>0</v>
      </c>
      <c r="V311" s="2688">
        <f t="shared" si="83"/>
        <v>0</v>
      </c>
      <c r="W311" s="908"/>
      <c r="X311" s="2688">
        <f t="shared" si="84"/>
        <v>0</v>
      </c>
      <c r="Y311" s="2688">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8">
        <f t="shared" si="82"/>
        <v>0</v>
      </c>
      <c r="V312" s="2688">
        <f t="shared" si="83"/>
        <v>0</v>
      </c>
      <c r="W312" s="908"/>
      <c r="X312" s="2688">
        <f t="shared" si="84"/>
        <v>0</v>
      </c>
      <c r="Y312" s="2688">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8">
        <f t="shared" si="82"/>
        <v>0</v>
      </c>
      <c r="V313" s="2688">
        <f t="shared" si="83"/>
        <v>0</v>
      </c>
      <c r="W313" s="908"/>
      <c r="X313" s="2688">
        <f t="shared" si="84"/>
        <v>0</v>
      </c>
      <c r="Y313" s="2688">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8">
        <f t="shared" si="82"/>
        <v>0</v>
      </c>
      <c r="V314" s="2688">
        <f t="shared" si="83"/>
        <v>0</v>
      </c>
      <c r="W314" s="908"/>
      <c r="X314" s="2688">
        <f t="shared" si="84"/>
        <v>0</v>
      </c>
      <c r="Y314" s="2688">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8">
        <f t="shared" si="82"/>
        <v>0</v>
      </c>
      <c r="V315" s="2688">
        <f t="shared" si="83"/>
        <v>0</v>
      </c>
      <c r="W315" s="908"/>
      <c r="X315" s="2688">
        <f t="shared" si="84"/>
        <v>0</v>
      </c>
      <c r="Y315" s="2688">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8">
        <f t="shared" si="82"/>
        <v>0</v>
      </c>
      <c r="V316" s="2688">
        <f t="shared" si="83"/>
        <v>0</v>
      </c>
      <c r="W316" s="908"/>
      <c r="X316" s="2688">
        <f t="shared" si="84"/>
        <v>0</v>
      </c>
      <c r="Y316" s="2688">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8">
        <f t="shared" si="82"/>
        <v>0</v>
      </c>
      <c r="V317" s="2688">
        <f t="shared" si="83"/>
        <v>0</v>
      </c>
      <c r="W317" s="908"/>
      <c r="X317" s="2688">
        <f t="shared" si="84"/>
        <v>0</v>
      </c>
      <c r="Y317" s="2688">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8">
        <f t="shared" si="82"/>
        <v>0</v>
      </c>
      <c r="V318" s="2688">
        <f t="shared" si="83"/>
        <v>0</v>
      </c>
      <c r="W318" s="908"/>
      <c r="X318" s="2688">
        <f t="shared" si="84"/>
        <v>0</v>
      </c>
      <c r="Y318" s="2688">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8">
        <f t="shared" si="82"/>
        <v>0</v>
      </c>
      <c r="V319" s="2688">
        <f t="shared" si="83"/>
        <v>0</v>
      </c>
      <c r="W319" s="908"/>
      <c r="X319" s="2688">
        <f t="shared" si="84"/>
        <v>0</v>
      </c>
      <c r="Y319" s="2688">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8">
        <f t="shared" si="82"/>
        <v>0</v>
      </c>
      <c r="V320" s="2688">
        <f t="shared" si="83"/>
        <v>0</v>
      </c>
      <c r="W320" s="908"/>
      <c r="X320" s="2688">
        <f t="shared" si="84"/>
        <v>0</v>
      </c>
      <c r="Y320" s="2688">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8">
        <f t="shared" si="82"/>
        <v>0</v>
      </c>
      <c r="V321" s="2688">
        <f t="shared" si="83"/>
        <v>0</v>
      </c>
      <c r="W321" s="908"/>
      <c r="X321" s="2688">
        <f t="shared" si="84"/>
        <v>0</v>
      </c>
      <c r="Y321" s="2688">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8">
        <f t="shared" si="82"/>
        <v>0</v>
      </c>
      <c r="V322" s="2688">
        <f t="shared" si="83"/>
        <v>0</v>
      </c>
      <c r="W322" s="908"/>
      <c r="X322" s="2688">
        <f t="shared" si="84"/>
        <v>0</v>
      </c>
      <c r="Y322" s="2688">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8">
        <f t="shared" si="82"/>
        <v>0</v>
      </c>
      <c r="V323" s="2688">
        <f t="shared" si="83"/>
        <v>0</v>
      </c>
      <c r="W323" s="908"/>
      <c r="X323" s="2688">
        <f t="shared" si="84"/>
        <v>0</v>
      </c>
      <c r="Y323" s="2688">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8">
        <f t="shared" si="82"/>
        <v>0</v>
      </c>
      <c r="V324" s="2688">
        <f t="shared" si="83"/>
        <v>0</v>
      </c>
      <c r="W324" s="908"/>
      <c r="X324" s="2688">
        <f t="shared" si="84"/>
        <v>0</v>
      </c>
      <c r="Y324" s="2688">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8">
        <f t="shared" si="82"/>
        <v>0</v>
      </c>
      <c r="V325" s="2688">
        <f t="shared" si="83"/>
        <v>0</v>
      </c>
      <c r="W325" s="908"/>
      <c r="X325" s="2688">
        <f t="shared" si="84"/>
        <v>0</v>
      </c>
      <c r="Y325" s="2688">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8">
        <f t="shared" si="82"/>
        <v>0</v>
      </c>
      <c r="V326" s="2688">
        <f t="shared" si="83"/>
        <v>0</v>
      </c>
      <c r="W326" s="908"/>
      <c r="X326" s="2688">
        <f t="shared" si="84"/>
        <v>0</v>
      </c>
      <c r="Y326" s="2688">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8">
        <f t="shared" si="82"/>
        <v>0</v>
      </c>
      <c r="V327" s="2688">
        <f t="shared" si="83"/>
        <v>0</v>
      </c>
      <c r="W327" s="908"/>
      <c r="X327" s="2688">
        <f t="shared" si="84"/>
        <v>0</v>
      </c>
      <c r="Y327" s="2688">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8">
        <f t="shared" si="82"/>
        <v>0</v>
      </c>
      <c r="V328" s="2688">
        <f t="shared" si="83"/>
        <v>0</v>
      </c>
      <c r="W328" s="908"/>
      <c r="X328" s="2688">
        <f t="shared" si="84"/>
        <v>0</v>
      </c>
      <c r="Y328" s="2688">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8">
        <f t="shared" si="82"/>
        <v>0</v>
      </c>
      <c r="V329" s="2688">
        <f t="shared" si="83"/>
        <v>0</v>
      </c>
      <c r="W329" s="908"/>
      <c r="X329" s="2688">
        <f t="shared" si="84"/>
        <v>0</v>
      </c>
      <c r="Y329" s="2688">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8">
        <f t="shared" si="82"/>
        <v>0</v>
      </c>
      <c r="V330" s="2688">
        <f t="shared" si="83"/>
        <v>0</v>
      </c>
      <c r="W330" s="908"/>
      <c r="X330" s="2688">
        <f t="shared" si="84"/>
        <v>0</v>
      </c>
      <c r="Y330" s="2688">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8">
        <f t="shared" si="82"/>
        <v>0</v>
      </c>
      <c r="V331" s="2688">
        <f t="shared" si="83"/>
        <v>0</v>
      </c>
      <c r="W331" s="908"/>
      <c r="X331" s="2688">
        <f t="shared" si="84"/>
        <v>0</v>
      </c>
      <c r="Y331" s="2688">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8">
        <f t="shared" si="82"/>
        <v>0</v>
      </c>
      <c r="V332" s="2688">
        <f t="shared" si="83"/>
        <v>0</v>
      </c>
      <c r="W332" s="908"/>
      <c r="X332" s="2688">
        <f t="shared" si="84"/>
        <v>0</v>
      </c>
      <c r="Y332" s="2688">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8">
        <f t="shared" si="82"/>
        <v>0</v>
      </c>
      <c r="V333" s="2688">
        <f t="shared" si="83"/>
        <v>0</v>
      </c>
      <c r="W333" s="908"/>
      <c r="X333" s="2688">
        <f t="shared" si="84"/>
        <v>0</v>
      </c>
      <c r="Y333" s="2688">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8">
        <f t="shared" si="82"/>
        <v>0</v>
      </c>
      <c r="V334" s="2688">
        <f t="shared" si="83"/>
        <v>0</v>
      </c>
      <c r="W334" s="908"/>
      <c r="X334" s="2688">
        <f t="shared" si="84"/>
        <v>0</v>
      </c>
      <c r="Y334" s="2688">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8">
        <f t="shared" si="82"/>
        <v>0</v>
      </c>
      <c r="V335" s="2688">
        <f t="shared" si="83"/>
        <v>0</v>
      </c>
      <c r="W335" s="908"/>
      <c r="X335" s="2688">
        <f t="shared" si="84"/>
        <v>0</v>
      </c>
      <c r="Y335" s="2688">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8">
        <f t="shared" si="82"/>
        <v>0</v>
      </c>
      <c r="V336" s="2688">
        <f t="shared" si="83"/>
        <v>0</v>
      </c>
      <c r="W336" s="908"/>
      <c r="X336" s="2688">
        <f t="shared" si="84"/>
        <v>0</v>
      </c>
      <c r="Y336" s="2688">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8">
        <f t="shared" si="82"/>
        <v>0</v>
      </c>
      <c r="V337" s="2688">
        <f t="shared" si="83"/>
        <v>0</v>
      </c>
      <c r="W337" s="908"/>
      <c r="X337" s="2688">
        <f t="shared" si="84"/>
        <v>0</v>
      </c>
      <c r="Y337" s="2688">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8">
        <f t="shared" si="82"/>
        <v>0</v>
      </c>
      <c r="V338" s="2688">
        <f t="shared" si="83"/>
        <v>0</v>
      </c>
      <c r="W338" s="908"/>
      <c r="X338" s="2688">
        <f t="shared" si="84"/>
        <v>0</v>
      </c>
      <c r="Y338" s="2688">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8">
        <f t="shared" si="82"/>
        <v>0</v>
      </c>
      <c r="V339" s="2688">
        <f t="shared" si="83"/>
        <v>0</v>
      </c>
      <c r="W339" s="908"/>
      <c r="X339" s="2688">
        <f t="shared" si="84"/>
        <v>0</v>
      </c>
      <c r="Y339" s="2688">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8">
        <f t="shared" si="82"/>
        <v>0</v>
      </c>
      <c r="V340" s="2688">
        <f t="shared" si="83"/>
        <v>0</v>
      </c>
      <c r="W340" s="908"/>
      <c r="X340" s="2688">
        <f t="shared" si="84"/>
        <v>0</v>
      </c>
      <c r="Y340" s="2688">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8">
        <f t="shared" si="82"/>
        <v>0</v>
      </c>
      <c r="V341" s="2688">
        <f t="shared" si="83"/>
        <v>0</v>
      </c>
      <c r="W341" s="908"/>
      <c r="X341" s="2688">
        <f t="shared" si="84"/>
        <v>0</v>
      </c>
      <c r="Y341" s="2688">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8">
        <f t="shared" si="82"/>
        <v>0</v>
      </c>
      <c r="V342" s="2688">
        <f t="shared" si="83"/>
        <v>0</v>
      </c>
      <c r="W342" s="908"/>
      <c r="X342" s="2688">
        <f t="shared" si="84"/>
        <v>0</v>
      </c>
      <c r="Y342" s="2688">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8">
        <f t="shared" si="82"/>
        <v>0</v>
      </c>
      <c r="V343" s="2688">
        <f t="shared" si="83"/>
        <v>0</v>
      </c>
      <c r="W343" s="908"/>
      <c r="X343" s="2688">
        <f t="shared" si="84"/>
        <v>0</v>
      </c>
      <c r="Y343" s="2688">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8">
        <f t="shared" si="82"/>
        <v>0</v>
      </c>
      <c r="V344" s="2688">
        <f t="shared" si="83"/>
        <v>0</v>
      </c>
      <c r="W344" s="908"/>
      <c r="X344" s="2688">
        <f t="shared" si="84"/>
        <v>0</v>
      </c>
      <c r="Y344" s="2688">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8">
        <f t="shared" si="82"/>
        <v>0</v>
      </c>
      <c r="V345" s="2688">
        <f t="shared" si="83"/>
        <v>0</v>
      </c>
      <c r="W345" s="908"/>
      <c r="X345" s="2688">
        <f t="shared" si="84"/>
        <v>0</v>
      </c>
      <c r="Y345" s="2688">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8">
        <f t="shared" si="82"/>
        <v>0</v>
      </c>
      <c r="V346" s="2688">
        <f t="shared" si="83"/>
        <v>0</v>
      </c>
      <c r="W346" s="908"/>
      <c r="X346" s="2688">
        <f t="shared" si="84"/>
        <v>0</v>
      </c>
      <c r="Y346" s="2688">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8">
        <f t="shared" si="82"/>
        <v>0</v>
      </c>
      <c r="V347" s="2688">
        <f t="shared" si="83"/>
        <v>0</v>
      </c>
      <c r="W347" s="908"/>
      <c r="X347" s="2688">
        <f t="shared" si="84"/>
        <v>0</v>
      </c>
      <c r="Y347" s="2688">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8">
        <f t="shared" ref="U348:U411" si="97">ROUND(W348*B348,0)</f>
        <v>0</v>
      </c>
      <c r="V348" s="2688">
        <f t="shared" ref="V348:V411" si="98">ROUND(W348*B348/10000,0)</f>
        <v>0</v>
      </c>
      <c r="W348" s="908"/>
      <c r="X348" s="2688">
        <f t="shared" ref="X348:X411" si="99">ROUND(Z348*B348,0)</f>
        <v>0</v>
      </c>
      <c r="Y348" s="2688">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8">
        <f t="shared" si="97"/>
        <v>0</v>
      </c>
      <c r="V349" s="2688">
        <f t="shared" si="98"/>
        <v>0</v>
      </c>
      <c r="W349" s="908"/>
      <c r="X349" s="2688">
        <f t="shared" si="99"/>
        <v>0</v>
      </c>
      <c r="Y349" s="2688">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8">
        <f t="shared" si="97"/>
        <v>0</v>
      </c>
      <c r="V350" s="2688">
        <f t="shared" si="98"/>
        <v>0</v>
      </c>
      <c r="W350" s="908"/>
      <c r="X350" s="2688">
        <f t="shared" si="99"/>
        <v>0</v>
      </c>
      <c r="Y350" s="2688">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8">
        <f t="shared" si="97"/>
        <v>0</v>
      </c>
      <c r="V351" s="2688">
        <f t="shared" si="98"/>
        <v>0</v>
      </c>
      <c r="W351" s="908"/>
      <c r="X351" s="2688">
        <f t="shared" si="99"/>
        <v>0</v>
      </c>
      <c r="Y351" s="2688">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8">
        <f t="shared" si="97"/>
        <v>0</v>
      </c>
      <c r="V352" s="2688">
        <f t="shared" si="98"/>
        <v>0</v>
      </c>
      <c r="W352" s="908"/>
      <c r="X352" s="2688">
        <f t="shared" si="99"/>
        <v>0</v>
      </c>
      <c r="Y352" s="2688">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8">
        <f t="shared" si="97"/>
        <v>0</v>
      </c>
      <c r="V353" s="2688">
        <f t="shared" si="98"/>
        <v>0</v>
      </c>
      <c r="W353" s="908"/>
      <c r="X353" s="2688">
        <f t="shared" si="99"/>
        <v>0</v>
      </c>
      <c r="Y353" s="2688">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8">
        <f t="shared" si="97"/>
        <v>0</v>
      </c>
      <c r="V354" s="2688">
        <f t="shared" si="98"/>
        <v>0</v>
      </c>
      <c r="W354" s="908"/>
      <c r="X354" s="2688">
        <f t="shared" si="99"/>
        <v>0</v>
      </c>
      <c r="Y354" s="2688">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8">
        <f t="shared" si="97"/>
        <v>0</v>
      </c>
      <c r="V355" s="2688">
        <f t="shared" si="98"/>
        <v>0</v>
      </c>
      <c r="W355" s="908"/>
      <c r="X355" s="2688">
        <f t="shared" si="99"/>
        <v>0</v>
      </c>
      <c r="Y355" s="2688">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8">
        <f t="shared" si="97"/>
        <v>0</v>
      </c>
      <c r="V356" s="2688">
        <f t="shared" si="98"/>
        <v>0</v>
      </c>
      <c r="W356" s="908"/>
      <c r="X356" s="2688">
        <f t="shared" si="99"/>
        <v>0</v>
      </c>
      <c r="Y356" s="2688">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8">
        <f t="shared" si="97"/>
        <v>0</v>
      </c>
      <c r="V357" s="2688">
        <f t="shared" si="98"/>
        <v>0</v>
      </c>
      <c r="W357" s="908"/>
      <c r="X357" s="2688">
        <f t="shared" si="99"/>
        <v>0</v>
      </c>
      <c r="Y357" s="2688">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8">
        <f t="shared" si="97"/>
        <v>0</v>
      </c>
      <c r="V358" s="2688">
        <f t="shared" si="98"/>
        <v>0</v>
      </c>
      <c r="W358" s="908"/>
      <c r="X358" s="2688">
        <f t="shared" si="99"/>
        <v>0</v>
      </c>
      <c r="Y358" s="2688">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8">
        <f t="shared" si="97"/>
        <v>0</v>
      </c>
      <c r="V359" s="2688">
        <f t="shared" si="98"/>
        <v>0</v>
      </c>
      <c r="W359" s="908"/>
      <c r="X359" s="2688">
        <f t="shared" si="99"/>
        <v>0</v>
      </c>
      <c r="Y359" s="2688">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8">
        <f t="shared" si="97"/>
        <v>0</v>
      </c>
      <c r="V360" s="2688">
        <f t="shared" si="98"/>
        <v>0</v>
      </c>
      <c r="W360" s="908"/>
      <c r="X360" s="2688">
        <f t="shared" si="99"/>
        <v>0</v>
      </c>
      <c r="Y360" s="2688">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8">
        <f t="shared" si="97"/>
        <v>0</v>
      </c>
      <c r="V361" s="2688">
        <f t="shared" si="98"/>
        <v>0</v>
      </c>
      <c r="W361" s="908"/>
      <c r="X361" s="2688">
        <f t="shared" si="99"/>
        <v>0</v>
      </c>
      <c r="Y361" s="2688">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8">
        <f t="shared" si="97"/>
        <v>0</v>
      </c>
      <c r="V362" s="2688">
        <f t="shared" si="98"/>
        <v>0</v>
      </c>
      <c r="W362" s="908"/>
      <c r="X362" s="2688">
        <f t="shared" si="99"/>
        <v>0</v>
      </c>
      <c r="Y362" s="2688">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8">
        <f t="shared" si="97"/>
        <v>0</v>
      </c>
      <c r="V363" s="2688">
        <f t="shared" si="98"/>
        <v>0</v>
      </c>
      <c r="W363" s="908"/>
      <c r="X363" s="2688">
        <f t="shared" si="99"/>
        <v>0</v>
      </c>
      <c r="Y363" s="2688">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8">
        <f t="shared" si="97"/>
        <v>0</v>
      </c>
      <c r="V364" s="2688">
        <f t="shared" si="98"/>
        <v>0</v>
      </c>
      <c r="W364" s="908"/>
      <c r="X364" s="2688">
        <f t="shared" si="99"/>
        <v>0</v>
      </c>
      <c r="Y364" s="2688">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8">
        <f t="shared" si="97"/>
        <v>0</v>
      </c>
      <c r="V365" s="2688">
        <f t="shared" si="98"/>
        <v>0</v>
      </c>
      <c r="W365" s="908"/>
      <c r="X365" s="2688">
        <f t="shared" si="99"/>
        <v>0</v>
      </c>
      <c r="Y365" s="2688">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8">
        <f t="shared" si="97"/>
        <v>0</v>
      </c>
      <c r="V366" s="2688">
        <f t="shared" si="98"/>
        <v>0</v>
      </c>
      <c r="W366" s="908"/>
      <c r="X366" s="2688">
        <f t="shared" si="99"/>
        <v>0</v>
      </c>
      <c r="Y366" s="2688">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8">
        <f t="shared" si="97"/>
        <v>0</v>
      </c>
      <c r="V367" s="2688">
        <f t="shared" si="98"/>
        <v>0</v>
      </c>
      <c r="W367" s="908"/>
      <c r="X367" s="2688">
        <f t="shared" si="99"/>
        <v>0</v>
      </c>
      <c r="Y367" s="2688">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8">
        <f t="shared" si="97"/>
        <v>0</v>
      </c>
      <c r="V368" s="2688">
        <f t="shared" si="98"/>
        <v>0</v>
      </c>
      <c r="W368" s="908"/>
      <c r="X368" s="2688">
        <f t="shared" si="99"/>
        <v>0</v>
      </c>
      <c r="Y368" s="2688">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8">
        <f t="shared" si="97"/>
        <v>0</v>
      </c>
      <c r="V369" s="2688">
        <f t="shared" si="98"/>
        <v>0</v>
      </c>
      <c r="W369" s="908"/>
      <c r="X369" s="2688">
        <f t="shared" si="99"/>
        <v>0</v>
      </c>
      <c r="Y369" s="2688">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8">
        <f t="shared" si="97"/>
        <v>0</v>
      </c>
      <c r="V370" s="2688">
        <f t="shared" si="98"/>
        <v>0</v>
      </c>
      <c r="W370" s="908"/>
      <c r="X370" s="2688">
        <f t="shared" si="99"/>
        <v>0</v>
      </c>
      <c r="Y370" s="2688">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8">
        <f t="shared" si="97"/>
        <v>0</v>
      </c>
      <c r="V371" s="2688">
        <f t="shared" si="98"/>
        <v>0</v>
      </c>
      <c r="W371" s="908"/>
      <c r="X371" s="2688">
        <f t="shared" si="99"/>
        <v>0</v>
      </c>
      <c r="Y371" s="2688">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8">
        <f t="shared" si="97"/>
        <v>0</v>
      </c>
      <c r="V372" s="2688">
        <f t="shared" si="98"/>
        <v>0</v>
      </c>
      <c r="W372" s="908"/>
      <c r="X372" s="2688">
        <f t="shared" si="99"/>
        <v>0</v>
      </c>
      <c r="Y372" s="2688">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8">
        <f t="shared" si="97"/>
        <v>0</v>
      </c>
      <c r="V373" s="2688">
        <f t="shared" si="98"/>
        <v>0</v>
      </c>
      <c r="W373" s="908"/>
      <c r="X373" s="2688">
        <f t="shared" si="99"/>
        <v>0</v>
      </c>
      <c r="Y373" s="2688">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8">
        <f t="shared" si="97"/>
        <v>0</v>
      </c>
      <c r="V374" s="2688">
        <f t="shared" si="98"/>
        <v>0</v>
      </c>
      <c r="W374" s="908"/>
      <c r="X374" s="2688">
        <f t="shared" si="99"/>
        <v>0</v>
      </c>
      <c r="Y374" s="2688">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8">
        <f t="shared" si="97"/>
        <v>0</v>
      </c>
      <c r="V375" s="2688">
        <f t="shared" si="98"/>
        <v>0</v>
      </c>
      <c r="W375" s="908"/>
      <c r="X375" s="2688">
        <f t="shared" si="99"/>
        <v>0</v>
      </c>
      <c r="Y375" s="2688">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8">
        <f t="shared" si="97"/>
        <v>0</v>
      </c>
      <c r="V376" s="2688">
        <f t="shared" si="98"/>
        <v>0</v>
      </c>
      <c r="W376" s="908"/>
      <c r="X376" s="2688">
        <f t="shared" si="99"/>
        <v>0</v>
      </c>
      <c r="Y376" s="2688">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8">
        <f t="shared" si="97"/>
        <v>0</v>
      </c>
      <c r="V377" s="2688">
        <f t="shared" si="98"/>
        <v>0</v>
      </c>
      <c r="W377" s="908"/>
      <c r="X377" s="2688">
        <f t="shared" si="99"/>
        <v>0</v>
      </c>
      <c r="Y377" s="2688">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8">
        <f t="shared" si="97"/>
        <v>0</v>
      </c>
      <c r="V378" s="2688">
        <f t="shared" si="98"/>
        <v>0</v>
      </c>
      <c r="W378" s="908"/>
      <c r="X378" s="2688">
        <f t="shared" si="99"/>
        <v>0</v>
      </c>
      <c r="Y378" s="2688">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8">
        <f t="shared" si="97"/>
        <v>0</v>
      </c>
      <c r="V379" s="2688">
        <f t="shared" si="98"/>
        <v>0</v>
      </c>
      <c r="W379" s="908"/>
      <c r="X379" s="2688">
        <f t="shared" si="99"/>
        <v>0</v>
      </c>
      <c r="Y379" s="2688">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8">
        <f t="shared" si="97"/>
        <v>0</v>
      </c>
      <c r="V380" s="2688">
        <f t="shared" si="98"/>
        <v>0</v>
      </c>
      <c r="W380" s="908"/>
      <c r="X380" s="2688">
        <f t="shared" si="99"/>
        <v>0</v>
      </c>
      <c r="Y380" s="2688">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8">
        <f t="shared" si="97"/>
        <v>0</v>
      </c>
      <c r="V381" s="2688">
        <f t="shared" si="98"/>
        <v>0</v>
      </c>
      <c r="W381" s="908"/>
      <c r="X381" s="2688">
        <f t="shared" si="99"/>
        <v>0</v>
      </c>
      <c r="Y381" s="2688">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8">
        <f t="shared" si="97"/>
        <v>0</v>
      </c>
      <c r="V382" s="2688">
        <f t="shared" si="98"/>
        <v>0</v>
      </c>
      <c r="W382" s="908"/>
      <c r="X382" s="2688">
        <f t="shared" si="99"/>
        <v>0</v>
      </c>
      <c r="Y382" s="2688">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8">
        <f t="shared" si="97"/>
        <v>0</v>
      </c>
      <c r="V383" s="2688">
        <f t="shared" si="98"/>
        <v>0</v>
      </c>
      <c r="W383" s="908"/>
      <c r="X383" s="2688">
        <f t="shared" si="99"/>
        <v>0</v>
      </c>
      <c r="Y383" s="2688">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8">
        <f t="shared" si="97"/>
        <v>0</v>
      </c>
      <c r="V384" s="2688">
        <f t="shared" si="98"/>
        <v>0</v>
      </c>
      <c r="W384" s="908"/>
      <c r="X384" s="2688">
        <f t="shared" si="99"/>
        <v>0</v>
      </c>
      <c r="Y384" s="2688">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8">
        <f t="shared" si="97"/>
        <v>0</v>
      </c>
      <c r="V385" s="2688">
        <f t="shared" si="98"/>
        <v>0</v>
      </c>
      <c r="W385" s="908"/>
      <c r="X385" s="2688">
        <f t="shared" si="99"/>
        <v>0</v>
      </c>
      <c r="Y385" s="2688">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8">
        <f t="shared" si="97"/>
        <v>0</v>
      </c>
      <c r="V386" s="2688">
        <f t="shared" si="98"/>
        <v>0</v>
      </c>
      <c r="W386" s="908"/>
      <c r="X386" s="2688">
        <f t="shared" si="99"/>
        <v>0</v>
      </c>
      <c r="Y386" s="2688">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8">
        <f t="shared" si="97"/>
        <v>0</v>
      </c>
      <c r="V387" s="2688">
        <f t="shared" si="98"/>
        <v>0</v>
      </c>
      <c r="W387" s="908"/>
      <c r="X387" s="2688">
        <f t="shared" si="99"/>
        <v>0</v>
      </c>
      <c r="Y387" s="2688">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8">
        <f t="shared" si="97"/>
        <v>0</v>
      </c>
      <c r="V388" s="2688">
        <f t="shared" si="98"/>
        <v>0</v>
      </c>
      <c r="W388" s="908"/>
      <c r="X388" s="2688">
        <f t="shared" si="99"/>
        <v>0</v>
      </c>
      <c r="Y388" s="2688">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8">
        <f t="shared" si="97"/>
        <v>0</v>
      </c>
      <c r="V389" s="2688">
        <f t="shared" si="98"/>
        <v>0</v>
      </c>
      <c r="W389" s="908"/>
      <c r="X389" s="2688">
        <f t="shared" si="99"/>
        <v>0</v>
      </c>
      <c r="Y389" s="2688">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8">
        <f t="shared" si="97"/>
        <v>0</v>
      </c>
      <c r="V390" s="2688">
        <f t="shared" si="98"/>
        <v>0</v>
      </c>
      <c r="W390" s="908"/>
      <c r="X390" s="2688">
        <f t="shared" si="99"/>
        <v>0</v>
      </c>
      <c r="Y390" s="2688">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8">
        <f t="shared" si="97"/>
        <v>0</v>
      </c>
      <c r="V391" s="2688">
        <f t="shared" si="98"/>
        <v>0</v>
      </c>
      <c r="W391" s="908"/>
      <c r="X391" s="2688">
        <f t="shared" si="99"/>
        <v>0</v>
      </c>
      <c r="Y391" s="2688">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8">
        <f t="shared" si="97"/>
        <v>0</v>
      </c>
      <c r="V392" s="2688">
        <f t="shared" si="98"/>
        <v>0</v>
      </c>
      <c r="W392" s="908"/>
      <c r="X392" s="2688">
        <f t="shared" si="99"/>
        <v>0</v>
      </c>
      <c r="Y392" s="2688">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8">
        <f t="shared" si="97"/>
        <v>0</v>
      </c>
      <c r="V393" s="2688">
        <f t="shared" si="98"/>
        <v>0</v>
      </c>
      <c r="W393" s="908"/>
      <c r="X393" s="2688">
        <f t="shared" si="99"/>
        <v>0</v>
      </c>
      <c r="Y393" s="2688">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8">
        <f t="shared" si="97"/>
        <v>0</v>
      </c>
      <c r="V394" s="2688">
        <f t="shared" si="98"/>
        <v>0</v>
      </c>
      <c r="W394" s="908"/>
      <c r="X394" s="2688">
        <f t="shared" si="99"/>
        <v>0</v>
      </c>
      <c r="Y394" s="2688">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8">
        <f t="shared" si="97"/>
        <v>0</v>
      </c>
      <c r="V395" s="2688">
        <f t="shared" si="98"/>
        <v>0</v>
      </c>
      <c r="W395" s="908"/>
      <c r="X395" s="2688">
        <f t="shared" si="99"/>
        <v>0</v>
      </c>
      <c r="Y395" s="2688">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8">
        <f t="shared" si="97"/>
        <v>0</v>
      </c>
      <c r="V396" s="2688">
        <f t="shared" si="98"/>
        <v>0</v>
      </c>
      <c r="W396" s="908"/>
      <c r="X396" s="2688">
        <f t="shared" si="99"/>
        <v>0</v>
      </c>
      <c r="Y396" s="2688">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8">
        <f t="shared" si="97"/>
        <v>0</v>
      </c>
      <c r="V397" s="2688">
        <f t="shared" si="98"/>
        <v>0</v>
      </c>
      <c r="W397" s="908"/>
      <c r="X397" s="2688">
        <f t="shared" si="99"/>
        <v>0</v>
      </c>
      <c r="Y397" s="2688">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8">
        <f t="shared" si="97"/>
        <v>0</v>
      </c>
      <c r="V398" s="2688">
        <f t="shared" si="98"/>
        <v>0</v>
      </c>
      <c r="W398" s="908"/>
      <c r="X398" s="2688">
        <f t="shared" si="99"/>
        <v>0</v>
      </c>
      <c r="Y398" s="2688">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8">
        <f t="shared" si="97"/>
        <v>0</v>
      </c>
      <c r="V399" s="2688">
        <f t="shared" si="98"/>
        <v>0</v>
      </c>
      <c r="W399" s="908"/>
      <c r="X399" s="2688">
        <f t="shared" si="99"/>
        <v>0</v>
      </c>
      <c r="Y399" s="2688">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8">
        <f t="shared" si="97"/>
        <v>0</v>
      </c>
      <c r="V400" s="2688">
        <f t="shared" si="98"/>
        <v>0</v>
      </c>
      <c r="W400" s="908"/>
      <c r="X400" s="2688">
        <f t="shared" si="99"/>
        <v>0</v>
      </c>
      <c r="Y400" s="2688">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8">
        <f t="shared" si="97"/>
        <v>0</v>
      </c>
      <c r="V401" s="2688">
        <f t="shared" si="98"/>
        <v>0</v>
      </c>
      <c r="W401" s="908"/>
      <c r="X401" s="2688">
        <f t="shared" si="99"/>
        <v>0</v>
      </c>
      <c r="Y401" s="2688">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8">
        <f t="shared" si="97"/>
        <v>0</v>
      </c>
      <c r="V402" s="2688">
        <f t="shared" si="98"/>
        <v>0</v>
      </c>
      <c r="W402" s="908"/>
      <c r="X402" s="2688">
        <f t="shared" si="99"/>
        <v>0</v>
      </c>
      <c r="Y402" s="2688">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8">
        <f t="shared" si="97"/>
        <v>0</v>
      </c>
      <c r="V403" s="2688">
        <f t="shared" si="98"/>
        <v>0</v>
      </c>
      <c r="W403" s="908"/>
      <c r="X403" s="2688">
        <f t="shared" si="99"/>
        <v>0</v>
      </c>
      <c r="Y403" s="2688">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8">
        <f t="shared" si="97"/>
        <v>0</v>
      </c>
      <c r="V404" s="2688">
        <f t="shared" si="98"/>
        <v>0</v>
      </c>
      <c r="W404" s="908"/>
      <c r="X404" s="2688">
        <f t="shared" si="99"/>
        <v>0</v>
      </c>
      <c r="Y404" s="2688">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8">
        <f t="shared" si="97"/>
        <v>0</v>
      </c>
      <c r="V405" s="2688">
        <f t="shared" si="98"/>
        <v>0</v>
      </c>
      <c r="W405" s="908"/>
      <c r="X405" s="2688">
        <f t="shared" si="99"/>
        <v>0</v>
      </c>
      <c r="Y405" s="2688">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8">
        <f t="shared" si="97"/>
        <v>0</v>
      </c>
      <c r="V406" s="2688">
        <f t="shared" si="98"/>
        <v>0</v>
      </c>
      <c r="W406" s="908"/>
      <c r="X406" s="2688">
        <f t="shared" si="99"/>
        <v>0</v>
      </c>
      <c r="Y406" s="2688">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8">
        <f t="shared" si="97"/>
        <v>0</v>
      </c>
      <c r="V407" s="2688">
        <f t="shared" si="98"/>
        <v>0</v>
      </c>
      <c r="W407" s="908"/>
      <c r="X407" s="2688">
        <f t="shared" si="99"/>
        <v>0</v>
      </c>
      <c r="Y407" s="2688">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8">
        <f t="shared" si="97"/>
        <v>0</v>
      </c>
      <c r="V408" s="2688">
        <f t="shared" si="98"/>
        <v>0</v>
      </c>
      <c r="W408" s="908"/>
      <c r="X408" s="2688">
        <f t="shared" si="99"/>
        <v>0</v>
      </c>
      <c r="Y408" s="2688">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8">
        <f t="shared" si="97"/>
        <v>0</v>
      </c>
      <c r="V409" s="2688">
        <f t="shared" si="98"/>
        <v>0</v>
      </c>
      <c r="W409" s="908"/>
      <c r="X409" s="2688">
        <f t="shared" si="99"/>
        <v>0</v>
      </c>
      <c r="Y409" s="2688">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8">
        <f t="shared" si="97"/>
        <v>0</v>
      </c>
      <c r="V410" s="2688">
        <f t="shared" si="98"/>
        <v>0</v>
      </c>
      <c r="W410" s="908"/>
      <c r="X410" s="2688">
        <f t="shared" si="99"/>
        <v>0</v>
      </c>
      <c r="Y410" s="2688">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8">
        <f t="shared" si="97"/>
        <v>0</v>
      </c>
      <c r="V411" s="2688">
        <f t="shared" si="98"/>
        <v>0</v>
      </c>
      <c r="W411" s="908"/>
      <c r="X411" s="2688">
        <f t="shared" si="99"/>
        <v>0</v>
      </c>
      <c r="Y411" s="2688">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8">
        <f t="shared" ref="U412:U475" si="112">ROUND(W412*B412,0)</f>
        <v>0</v>
      </c>
      <c r="V412" s="2688">
        <f t="shared" ref="V412:V475" si="113">ROUND(W412*B412/10000,0)</f>
        <v>0</v>
      </c>
      <c r="W412" s="908"/>
      <c r="X412" s="2688">
        <f t="shared" ref="X412:X475" si="114">ROUND(Z412*B412,0)</f>
        <v>0</v>
      </c>
      <c r="Y412" s="2688">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8">
        <f t="shared" si="112"/>
        <v>0</v>
      </c>
      <c r="V413" s="2688">
        <f t="shared" si="113"/>
        <v>0</v>
      </c>
      <c r="W413" s="908"/>
      <c r="X413" s="2688">
        <f t="shared" si="114"/>
        <v>0</v>
      </c>
      <c r="Y413" s="2688">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8">
        <f t="shared" si="112"/>
        <v>0</v>
      </c>
      <c r="V414" s="2688">
        <f t="shared" si="113"/>
        <v>0</v>
      </c>
      <c r="W414" s="908"/>
      <c r="X414" s="2688">
        <f t="shared" si="114"/>
        <v>0</v>
      </c>
      <c r="Y414" s="2688">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8">
        <f t="shared" si="112"/>
        <v>0</v>
      </c>
      <c r="V415" s="2688">
        <f t="shared" si="113"/>
        <v>0</v>
      </c>
      <c r="W415" s="908"/>
      <c r="X415" s="2688">
        <f t="shared" si="114"/>
        <v>0</v>
      </c>
      <c r="Y415" s="2688">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8">
        <f t="shared" si="112"/>
        <v>0</v>
      </c>
      <c r="V416" s="2688">
        <f t="shared" si="113"/>
        <v>0</v>
      </c>
      <c r="W416" s="908"/>
      <c r="X416" s="2688">
        <f t="shared" si="114"/>
        <v>0</v>
      </c>
      <c r="Y416" s="2688">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8">
        <f t="shared" si="112"/>
        <v>0</v>
      </c>
      <c r="V417" s="2688">
        <f t="shared" si="113"/>
        <v>0</v>
      </c>
      <c r="W417" s="908"/>
      <c r="X417" s="2688">
        <f t="shared" si="114"/>
        <v>0</v>
      </c>
      <c r="Y417" s="2688">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8">
        <f t="shared" si="112"/>
        <v>0</v>
      </c>
      <c r="V418" s="2688">
        <f t="shared" si="113"/>
        <v>0</v>
      </c>
      <c r="W418" s="908"/>
      <c r="X418" s="2688">
        <f t="shared" si="114"/>
        <v>0</v>
      </c>
      <c r="Y418" s="2688">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8">
        <f t="shared" si="112"/>
        <v>0</v>
      </c>
      <c r="V419" s="2688">
        <f t="shared" si="113"/>
        <v>0</v>
      </c>
      <c r="W419" s="908"/>
      <c r="X419" s="2688">
        <f t="shared" si="114"/>
        <v>0</v>
      </c>
      <c r="Y419" s="2688">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8">
        <f t="shared" si="112"/>
        <v>0</v>
      </c>
      <c r="V420" s="2688">
        <f t="shared" si="113"/>
        <v>0</v>
      </c>
      <c r="W420" s="908"/>
      <c r="X420" s="2688">
        <f t="shared" si="114"/>
        <v>0</v>
      </c>
      <c r="Y420" s="2688">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8">
        <f t="shared" si="112"/>
        <v>0</v>
      </c>
      <c r="V421" s="2688">
        <f t="shared" si="113"/>
        <v>0</v>
      </c>
      <c r="W421" s="908"/>
      <c r="X421" s="2688">
        <f t="shared" si="114"/>
        <v>0</v>
      </c>
      <c r="Y421" s="2688">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8">
        <f t="shared" si="112"/>
        <v>0</v>
      </c>
      <c r="V422" s="2688">
        <f t="shared" si="113"/>
        <v>0</v>
      </c>
      <c r="W422" s="908"/>
      <c r="X422" s="2688">
        <f t="shared" si="114"/>
        <v>0</v>
      </c>
      <c r="Y422" s="2688">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8">
        <f t="shared" si="112"/>
        <v>0</v>
      </c>
      <c r="V423" s="2688">
        <f t="shared" si="113"/>
        <v>0</v>
      </c>
      <c r="W423" s="908"/>
      <c r="X423" s="2688">
        <f t="shared" si="114"/>
        <v>0</v>
      </c>
      <c r="Y423" s="2688">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8">
        <f t="shared" si="112"/>
        <v>0</v>
      </c>
      <c r="V424" s="2688">
        <f t="shared" si="113"/>
        <v>0</v>
      </c>
      <c r="W424" s="908"/>
      <c r="X424" s="2688">
        <f t="shared" si="114"/>
        <v>0</v>
      </c>
      <c r="Y424" s="2688">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8">
        <f t="shared" si="112"/>
        <v>0</v>
      </c>
      <c r="V425" s="2688">
        <f t="shared" si="113"/>
        <v>0</v>
      </c>
      <c r="W425" s="908"/>
      <c r="X425" s="2688">
        <f t="shared" si="114"/>
        <v>0</v>
      </c>
      <c r="Y425" s="2688">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8">
        <f t="shared" si="112"/>
        <v>0</v>
      </c>
      <c r="V426" s="2688">
        <f t="shared" si="113"/>
        <v>0</v>
      </c>
      <c r="W426" s="908"/>
      <c r="X426" s="2688">
        <f t="shared" si="114"/>
        <v>0</v>
      </c>
      <c r="Y426" s="2688">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8">
        <f t="shared" si="112"/>
        <v>0</v>
      </c>
      <c r="V427" s="2688">
        <f t="shared" si="113"/>
        <v>0</v>
      </c>
      <c r="W427" s="908"/>
      <c r="X427" s="2688">
        <f t="shared" si="114"/>
        <v>0</v>
      </c>
      <c r="Y427" s="2688">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8">
        <f t="shared" si="112"/>
        <v>0</v>
      </c>
      <c r="V428" s="2688">
        <f t="shared" si="113"/>
        <v>0</v>
      </c>
      <c r="W428" s="908"/>
      <c r="X428" s="2688">
        <f t="shared" si="114"/>
        <v>0</v>
      </c>
      <c r="Y428" s="2688">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8">
        <f t="shared" si="112"/>
        <v>0</v>
      </c>
      <c r="V429" s="2688">
        <f t="shared" si="113"/>
        <v>0</v>
      </c>
      <c r="W429" s="908"/>
      <c r="X429" s="2688">
        <f t="shared" si="114"/>
        <v>0</v>
      </c>
      <c r="Y429" s="2688">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8">
        <f t="shared" si="112"/>
        <v>0</v>
      </c>
      <c r="V430" s="2688">
        <f t="shared" si="113"/>
        <v>0</v>
      </c>
      <c r="W430" s="908"/>
      <c r="X430" s="2688">
        <f t="shared" si="114"/>
        <v>0</v>
      </c>
      <c r="Y430" s="2688">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8">
        <f t="shared" si="112"/>
        <v>0</v>
      </c>
      <c r="V431" s="2688">
        <f t="shared" si="113"/>
        <v>0</v>
      </c>
      <c r="W431" s="908"/>
      <c r="X431" s="2688">
        <f t="shared" si="114"/>
        <v>0</v>
      </c>
      <c r="Y431" s="2688">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8">
        <f t="shared" si="112"/>
        <v>0</v>
      </c>
      <c r="V432" s="2688">
        <f t="shared" si="113"/>
        <v>0</v>
      </c>
      <c r="W432" s="908"/>
      <c r="X432" s="2688">
        <f t="shared" si="114"/>
        <v>0</v>
      </c>
      <c r="Y432" s="2688">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8">
        <f t="shared" si="112"/>
        <v>0</v>
      </c>
      <c r="V433" s="2688">
        <f t="shared" si="113"/>
        <v>0</v>
      </c>
      <c r="W433" s="908"/>
      <c r="X433" s="2688">
        <f t="shared" si="114"/>
        <v>0</v>
      </c>
      <c r="Y433" s="2688">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8">
        <f t="shared" si="112"/>
        <v>0</v>
      </c>
      <c r="V434" s="2688">
        <f t="shared" si="113"/>
        <v>0</v>
      </c>
      <c r="W434" s="908"/>
      <c r="X434" s="2688">
        <f t="shared" si="114"/>
        <v>0</v>
      </c>
      <c r="Y434" s="2688">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8">
        <f t="shared" si="112"/>
        <v>0</v>
      </c>
      <c r="V435" s="2688">
        <f t="shared" si="113"/>
        <v>0</v>
      </c>
      <c r="W435" s="908"/>
      <c r="X435" s="2688">
        <f t="shared" si="114"/>
        <v>0</v>
      </c>
      <c r="Y435" s="2688">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8">
        <f t="shared" si="112"/>
        <v>0</v>
      </c>
      <c r="V436" s="2688">
        <f t="shared" si="113"/>
        <v>0</v>
      </c>
      <c r="W436" s="908"/>
      <c r="X436" s="2688">
        <f t="shared" si="114"/>
        <v>0</v>
      </c>
      <c r="Y436" s="2688">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8">
        <f t="shared" si="112"/>
        <v>0</v>
      </c>
      <c r="V437" s="2688">
        <f t="shared" si="113"/>
        <v>0</v>
      </c>
      <c r="W437" s="908"/>
      <c r="X437" s="2688">
        <f t="shared" si="114"/>
        <v>0</v>
      </c>
      <c r="Y437" s="2688">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8">
        <f t="shared" si="112"/>
        <v>0</v>
      </c>
      <c r="V438" s="2688">
        <f t="shared" si="113"/>
        <v>0</v>
      </c>
      <c r="W438" s="908"/>
      <c r="X438" s="2688">
        <f t="shared" si="114"/>
        <v>0</v>
      </c>
      <c r="Y438" s="2688">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8">
        <f t="shared" si="112"/>
        <v>0</v>
      </c>
      <c r="V439" s="2688">
        <f t="shared" si="113"/>
        <v>0</v>
      </c>
      <c r="W439" s="908"/>
      <c r="X439" s="2688">
        <f t="shared" si="114"/>
        <v>0</v>
      </c>
      <c r="Y439" s="2688">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8">
        <f t="shared" si="112"/>
        <v>0</v>
      </c>
      <c r="V440" s="2688">
        <f t="shared" si="113"/>
        <v>0</v>
      </c>
      <c r="W440" s="908"/>
      <c r="X440" s="2688">
        <f t="shared" si="114"/>
        <v>0</v>
      </c>
      <c r="Y440" s="2688">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8">
        <f t="shared" si="112"/>
        <v>0</v>
      </c>
      <c r="V441" s="2688">
        <f t="shared" si="113"/>
        <v>0</v>
      </c>
      <c r="W441" s="908"/>
      <c r="X441" s="2688">
        <f t="shared" si="114"/>
        <v>0</v>
      </c>
      <c r="Y441" s="2688">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8">
        <f t="shared" si="112"/>
        <v>0</v>
      </c>
      <c r="V442" s="2688">
        <f t="shared" si="113"/>
        <v>0</v>
      </c>
      <c r="W442" s="908"/>
      <c r="X442" s="2688">
        <f t="shared" si="114"/>
        <v>0</v>
      </c>
      <c r="Y442" s="2688">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8">
        <f t="shared" si="112"/>
        <v>0</v>
      </c>
      <c r="V443" s="2688">
        <f t="shared" si="113"/>
        <v>0</v>
      </c>
      <c r="W443" s="908"/>
      <c r="X443" s="2688">
        <f t="shared" si="114"/>
        <v>0</v>
      </c>
      <c r="Y443" s="2688">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8">
        <f t="shared" si="112"/>
        <v>0</v>
      </c>
      <c r="V444" s="2688">
        <f t="shared" si="113"/>
        <v>0</v>
      </c>
      <c r="W444" s="908"/>
      <c r="X444" s="2688">
        <f t="shared" si="114"/>
        <v>0</v>
      </c>
      <c r="Y444" s="2688">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8">
        <f t="shared" si="112"/>
        <v>0</v>
      </c>
      <c r="V445" s="2688">
        <f t="shared" si="113"/>
        <v>0</v>
      </c>
      <c r="W445" s="908"/>
      <c r="X445" s="2688">
        <f t="shared" si="114"/>
        <v>0</v>
      </c>
      <c r="Y445" s="2688">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8">
        <f t="shared" si="112"/>
        <v>0</v>
      </c>
      <c r="V446" s="2688">
        <f t="shared" si="113"/>
        <v>0</v>
      </c>
      <c r="W446" s="908"/>
      <c r="X446" s="2688">
        <f t="shared" si="114"/>
        <v>0</v>
      </c>
      <c r="Y446" s="2688">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8">
        <f t="shared" si="112"/>
        <v>0</v>
      </c>
      <c r="V447" s="2688">
        <f t="shared" si="113"/>
        <v>0</v>
      </c>
      <c r="W447" s="908"/>
      <c r="X447" s="2688">
        <f t="shared" si="114"/>
        <v>0</v>
      </c>
      <c r="Y447" s="2688">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8">
        <f t="shared" si="112"/>
        <v>0</v>
      </c>
      <c r="V448" s="2688">
        <f t="shared" si="113"/>
        <v>0</v>
      </c>
      <c r="W448" s="908"/>
      <c r="X448" s="2688">
        <f t="shared" si="114"/>
        <v>0</v>
      </c>
      <c r="Y448" s="2688">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8">
        <f t="shared" si="112"/>
        <v>0</v>
      </c>
      <c r="V449" s="2688">
        <f t="shared" si="113"/>
        <v>0</v>
      </c>
      <c r="W449" s="908"/>
      <c r="X449" s="2688">
        <f t="shared" si="114"/>
        <v>0</v>
      </c>
      <c r="Y449" s="2688">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8">
        <f t="shared" si="112"/>
        <v>0</v>
      </c>
      <c r="V450" s="2688">
        <f t="shared" si="113"/>
        <v>0</v>
      </c>
      <c r="W450" s="908"/>
      <c r="X450" s="2688">
        <f t="shared" si="114"/>
        <v>0</v>
      </c>
      <c r="Y450" s="2688">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8">
        <f t="shared" si="112"/>
        <v>0</v>
      </c>
      <c r="V451" s="2688">
        <f t="shared" si="113"/>
        <v>0</v>
      </c>
      <c r="W451" s="908"/>
      <c r="X451" s="2688">
        <f t="shared" si="114"/>
        <v>0</v>
      </c>
      <c r="Y451" s="2688">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8">
        <f t="shared" si="112"/>
        <v>0</v>
      </c>
      <c r="V452" s="2688">
        <f t="shared" si="113"/>
        <v>0</v>
      </c>
      <c r="W452" s="908"/>
      <c r="X452" s="2688">
        <f t="shared" si="114"/>
        <v>0</v>
      </c>
      <c r="Y452" s="2688">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8">
        <f t="shared" si="112"/>
        <v>0</v>
      </c>
      <c r="V453" s="2688">
        <f t="shared" si="113"/>
        <v>0</v>
      </c>
      <c r="W453" s="908"/>
      <c r="X453" s="2688">
        <f t="shared" si="114"/>
        <v>0</v>
      </c>
      <c r="Y453" s="2688">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8">
        <f t="shared" si="112"/>
        <v>0</v>
      </c>
      <c r="V454" s="2688">
        <f t="shared" si="113"/>
        <v>0</v>
      </c>
      <c r="W454" s="908"/>
      <c r="X454" s="2688">
        <f t="shared" si="114"/>
        <v>0</v>
      </c>
      <c r="Y454" s="2688">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8">
        <f t="shared" si="112"/>
        <v>0</v>
      </c>
      <c r="V455" s="2688">
        <f t="shared" si="113"/>
        <v>0</v>
      </c>
      <c r="W455" s="908"/>
      <c r="X455" s="2688">
        <f t="shared" si="114"/>
        <v>0</v>
      </c>
      <c r="Y455" s="2688">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8">
        <f t="shared" si="112"/>
        <v>0</v>
      </c>
      <c r="V456" s="2688">
        <f t="shared" si="113"/>
        <v>0</v>
      </c>
      <c r="W456" s="908"/>
      <c r="X456" s="2688">
        <f t="shared" si="114"/>
        <v>0</v>
      </c>
      <c r="Y456" s="2688">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8">
        <f t="shared" si="112"/>
        <v>0</v>
      </c>
      <c r="V457" s="2688">
        <f t="shared" si="113"/>
        <v>0</v>
      </c>
      <c r="W457" s="908"/>
      <c r="X457" s="2688">
        <f t="shared" si="114"/>
        <v>0</v>
      </c>
      <c r="Y457" s="2688">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8">
        <f t="shared" si="112"/>
        <v>0</v>
      </c>
      <c r="V458" s="2688">
        <f t="shared" si="113"/>
        <v>0</v>
      </c>
      <c r="W458" s="908"/>
      <c r="X458" s="2688">
        <f t="shared" si="114"/>
        <v>0</v>
      </c>
      <c r="Y458" s="2688">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8">
        <f t="shared" si="112"/>
        <v>0</v>
      </c>
      <c r="V459" s="2688">
        <f t="shared" si="113"/>
        <v>0</v>
      </c>
      <c r="W459" s="908"/>
      <c r="X459" s="2688">
        <f t="shared" si="114"/>
        <v>0</v>
      </c>
      <c r="Y459" s="2688">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8">
        <f t="shared" si="112"/>
        <v>0</v>
      </c>
      <c r="V460" s="2688">
        <f t="shared" si="113"/>
        <v>0</v>
      </c>
      <c r="W460" s="908"/>
      <c r="X460" s="2688">
        <f t="shared" si="114"/>
        <v>0</v>
      </c>
      <c r="Y460" s="2688">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8">
        <f t="shared" si="112"/>
        <v>0</v>
      </c>
      <c r="V461" s="2688">
        <f t="shared" si="113"/>
        <v>0</v>
      </c>
      <c r="W461" s="908"/>
      <c r="X461" s="2688">
        <f t="shared" si="114"/>
        <v>0</v>
      </c>
      <c r="Y461" s="2688">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8">
        <f t="shared" si="112"/>
        <v>0</v>
      </c>
      <c r="V462" s="2688">
        <f t="shared" si="113"/>
        <v>0</v>
      </c>
      <c r="W462" s="908"/>
      <c r="X462" s="2688">
        <f t="shared" si="114"/>
        <v>0</v>
      </c>
      <c r="Y462" s="2688">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8">
        <f t="shared" si="112"/>
        <v>0</v>
      </c>
      <c r="V463" s="2688">
        <f t="shared" si="113"/>
        <v>0</v>
      </c>
      <c r="W463" s="908"/>
      <c r="X463" s="2688">
        <f t="shared" si="114"/>
        <v>0</v>
      </c>
      <c r="Y463" s="2688">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8">
        <f t="shared" si="112"/>
        <v>0</v>
      </c>
      <c r="V464" s="2688">
        <f t="shared" si="113"/>
        <v>0</v>
      </c>
      <c r="W464" s="908"/>
      <c r="X464" s="2688">
        <f t="shared" si="114"/>
        <v>0</v>
      </c>
      <c r="Y464" s="2688">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8">
        <f t="shared" si="112"/>
        <v>0</v>
      </c>
      <c r="V465" s="2688">
        <f t="shared" si="113"/>
        <v>0</v>
      </c>
      <c r="W465" s="908"/>
      <c r="X465" s="2688">
        <f t="shared" si="114"/>
        <v>0</v>
      </c>
      <c r="Y465" s="2688">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8">
        <f t="shared" si="112"/>
        <v>0</v>
      </c>
      <c r="V466" s="2688">
        <f t="shared" si="113"/>
        <v>0</v>
      </c>
      <c r="W466" s="908"/>
      <c r="X466" s="2688">
        <f t="shared" si="114"/>
        <v>0</v>
      </c>
      <c r="Y466" s="2688">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8">
        <f t="shared" si="112"/>
        <v>0</v>
      </c>
      <c r="V467" s="2688">
        <f t="shared" si="113"/>
        <v>0</v>
      </c>
      <c r="W467" s="908"/>
      <c r="X467" s="2688">
        <f t="shared" si="114"/>
        <v>0</v>
      </c>
      <c r="Y467" s="2688">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8">
        <f t="shared" si="112"/>
        <v>0</v>
      </c>
      <c r="V468" s="2688">
        <f t="shared" si="113"/>
        <v>0</v>
      </c>
      <c r="W468" s="908"/>
      <c r="X468" s="2688">
        <f t="shared" si="114"/>
        <v>0</v>
      </c>
      <c r="Y468" s="2688">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8">
        <f t="shared" si="112"/>
        <v>0</v>
      </c>
      <c r="V469" s="2688">
        <f t="shared" si="113"/>
        <v>0</v>
      </c>
      <c r="W469" s="908"/>
      <c r="X469" s="2688">
        <f t="shared" si="114"/>
        <v>0</v>
      </c>
      <c r="Y469" s="2688">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8">
        <f t="shared" si="112"/>
        <v>0</v>
      </c>
      <c r="V470" s="2688">
        <f t="shared" si="113"/>
        <v>0</v>
      </c>
      <c r="W470" s="908"/>
      <c r="X470" s="2688">
        <f t="shared" si="114"/>
        <v>0</v>
      </c>
      <c r="Y470" s="2688">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8">
        <f t="shared" si="112"/>
        <v>0</v>
      </c>
      <c r="V471" s="2688">
        <f t="shared" si="113"/>
        <v>0</v>
      </c>
      <c r="W471" s="908"/>
      <c r="X471" s="2688">
        <f t="shared" si="114"/>
        <v>0</v>
      </c>
      <c r="Y471" s="2688">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8">
        <f t="shared" si="112"/>
        <v>0</v>
      </c>
      <c r="V472" s="2688">
        <f t="shared" si="113"/>
        <v>0</v>
      </c>
      <c r="W472" s="908"/>
      <c r="X472" s="2688">
        <f t="shared" si="114"/>
        <v>0</v>
      </c>
      <c r="Y472" s="2688">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8">
        <f t="shared" si="112"/>
        <v>0</v>
      </c>
      <c r="V473" s="2688">
        <f t="shared" si="113"/>
        <v>0</v>
      </c>
      <c r="W473" s="908"/>
      <c r="X473" s="2688">
        <f t="shared" si="114"/>
        <v>0</v>
      </c>
      <c r="Y473" s="2688">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8">
        <f t="shared" si="112"/>
        <v>0</v>
      </c>
      <c r="V474" s="2688">
        <f t="shared" si="113"/>
        <v>0</v>
      </c>
      <c r="W474" s="908"/>
      <c r="X474" s="2688">
        <f t="shared" si="114"/>
        <v>0</v>
      </c>
      <c r="Y474" s="2688">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8">
        <f t="shared" si="112"/>
        <v>0</v>
      </c>
      <c r="V475" s="2688">
        <f t="shared" si="113"/>
        <v>0</v>
      </c>
      <c r="W475" s="908"/>
      <c r="X475" s="2688">
        <f t="shared" si="114"/>
        <v>0</v>
      </c>
      <c r="Y475" s="2688">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8">
        <f t="shared" ref="U476:U527" si="127">ROUND(W476*B476,0)</f>
        <v>0</v>
      </c>
      <c r="V476" s="2688">
        <f t="shared" ref="V476:V527" si="128">ROUND(W476*B476/10000,0)</f>
        <v>0</v>
      </c>
      <c r="W476" s="908"/>
      <c r="X476" s="2688">
        <f t="shared" ref="X476:X527" si="129">ROUND(Z476*B476,0)</f>
        <v>0</v>
      </c>
      <c r="Y476" s="2688">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8">
        <f t="shared" si="127"/>
        <v>0</v>
      </c>
      <c r="V477" s="2688">
        <f t="shared" si="128"/>
        <v>0</v>
      </c>
      <c r="W477" s="908"/>
      <c r="X477" s="2688">
        <f t="shared" si="129"/>
        <v>0</v>
      </c>
      <c r="Y477" s="2688">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8">
        <f t="shared" si="127"/>
        <v>0</v>
      </c>
      <c r="V478" s="2688">
        <f t="shared" si="128"/>
        <v>0</v>
      </c>
      <c r="W478" s="908"/>
      <c r="X478" s="2688">
        <f t="shared" si="129"/>
        <v>0</v>
      </c>
      <c r="Y478" s="2688">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8">
        <f t="shared" si="127"/>
        <v>0</v>
      </c>
      <c r="V479" s="2688">
        <f t="shared" si="128"/>
        <v>0</v>
      </c>
      <c r="W479" s="908"/>
      <c r="X479" s="2688">
        <f t="shared" si="129"/>
        <v>0</v>
      </c>
      <c r="Y479" s="2688">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8">
        <f t="shared" si="127"/>
        <v>0</v>
      </c>
      <c r="V480" s="2688">
        <f t="shared" si="128"/>
        <v>0</v>
      </c>
      <c r="W480" s="908"/>
      <c r="X480" s="2688">
        <f t="shared" si="129"/>
        <v>0</v>
      </c>
      <c r="Y480" s="2688">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8">
        <f t="shared" si="127"/>
        <v>0</v>
      </c>
      <c r="V481" s="2688">
        <f t="shared" si="128"/>
        <v>0</v>
      </c>
      <c r="W481" s="908"/>
      <c r="X481" s="2688">
        <f t="shared" si="129"/>
        <v>0</v>
      </c>
      <c r="Y481" s="2688">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8">
        <f t="shared" si="127"/>
        <v>0</v>
      </c>
      <c r="V482" s="2688">
        <f t="shared" si="128"/>
        <v>0</v>
      </c>
      <c r="W482" s="908"/>
      <c r="X482" s="2688">
        <f t="shared" si="129"/>
        <v>0</v>
      </c>
      <c r="Y482" s="2688">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8">
        <f t="shared" si="127"/>
        <v>0</v>
      </c>
      <c r="V483" s="2688">
        <f t="shared" si="128"/>
        <v>0</v>
      </c>
      <c r="W483" s="908"/>
      <c r="X483" s="2688">
        <f t="shared" si="129"/>
        <v>0</v>
      </c>
      <c r="Y483" s="2688">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8">
        <f t="shared" si="127"/>
        <v>0</v>
      </c>
      <c r="V484" s="2688">
        <f t="shared" si="128"/>
        <v>0</v>
      </c>
      <c r="W484" s="908"/>
      <c r="X484" s="2688">
        <f t="shared" si="129"/>
        <v>0</v>
      </c>
      <c r="Y484" s="2688">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8">
        <f t="shared" si="127"/>
        <v>0</v>
      </c>
      <c r="V485" s="2688">
        <f t="shared" si="128"/>
        <v>0</v>
      </c>
      <c r="W485" s="908"/>
      <c r="X485" s="2688">
        <f t="shared" si="129"/>
        <v>0</v>
      </c>
      <c r="Y485" s="2688">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8">
        <f t="shared" si="127"/>
        <v>0</v>
      </c>
      <c r="V486" s="2688">
        <f t="shared" si="128"/>
        <v>0</v>
      </c>
      <c r="W486" s="908"/>
      <c r="X486" s="2688">
        <f t="shared" si="129"/>
        <v>0</v>
      </c>
      <c r="Y486" s="2688">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8">
        <f t="shared" si="127"/>
        <v>0</v>
      </c>
      <c r="V487" s="2688">
        <f t="shared" si="128"/>
        <v>0</v>
      </c>
      <c r="W487" s="908"/>
      <c r="X487" s="2688">
        <f t="shared" si="129"/>
        <v>0</v>
      </c>
      <c r="Y487" s="2688">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8">
        <f t="shared" si="127"/>
        <v>0</v>
      </c>
      <c r="V488" s="2688">
        <f t="shared" si="128"/>
        <v>0</v>
      </c>
      <c r="W488" s="908"/>
      <c r="X488" s="2688">
        <f t="shared" si="129"/>
        <v>0</v>
      </c>
      <c r="Y488" s="2688">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8">
        <f t="shared" si="127"/>
        <v>0</v>
      </c>
      <c r="V489" s="2688">
        <f t="shared" si="128"/>
        <v>0</v>
      </c>
      <c r="W489" s="908"/>
      <c r="X489" s="2688">
        <f t="shared" si="129"/>
        <v>0</v>
      </c>
      <c r="Y489" s="2688">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8">
        <f t="shared" si="127"/>
        <v>0</v>
      </c>
      <c r="V490" s="2688">
        <f t="shared" si="128"/>
        <v>0</v>
      </c>
      <c r="W490" s="908"/>
      <c r="X490" s="2688">
        <f t="shared" si="129"/>
        <v>0</v>
      </c>
      <c r="Y490" s="2688">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8">
        <f t="shared" si="127"/>
        <v>0</v>
      </c>
      <c r="V491" s="2688">
        <f t="shared" si="128"/>
        <v>0</v>
      </c>
      <c r="W491" s="908"/>
      <c r="X491" s="2688">
        <f t="shared" si="129"/>
        <v>0</v>
      </c>
      <c r="Y491" s="2688">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8">
        <f t="shared" si="127"/>
        <v>0</v>
      </c>
      <c r="V492" s="2688">
        <f t="shared" si="128"/>
        <v>0</v>
      </c>
      <c r="W492" s="908"/>
      <c r="X492" s="2688">
        <f t="shared" si="129"/>
        <v>0</v>
      </c>
      <c r="Y492" s="2688">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8">
        <f t="shared" si="127"/>
        <v>0</v>
      </c>
      <c r="V493" s="2688">
        <f t="shared" si="128"/>
        <v>0</v>
      </c>
      <c r="W493" s="908"/>
      <c r="X493" s="2688">
        <f t="shared" si="129"/>
        <v>0</v>
      </c>
      <c r="Y493" s="2688">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8">
        <f t="shared" si="127"/>
        <v>0</v>
      </c>
      <c r="V494" s="2688">
        <f t="shared" si="128"/>
        <v>0</v>
      </c>
      <c r="W494" s="908"/>
      <c r="X494" s="2688">
        <f t="shared" si="129"/>
        <v>0</v>
      </c>
      <c r="Y494" s="2688">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8">
        <f t="shared" si="127"/>
        <v>0</v>
      </c>
      <c r="V495" s="2688">
        <f t="shared" si="128"/>
        <v>0</v>
      </c>
      <c r="W495" s="908"/>
      <c r="X495" s="2688">
        <f t="shared" si="129"/>
        <v>0</v>
      </c>
      <c r="Y495" s="2688">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8">
        <f t="shared" si="127"/>
        <v>0</v>
      </c>
      <c r="V496" s="2688">
        <f t="shared" si="128"/>
        <v>0</v>
      </c>
      <c r="W496" s="908"/>
      <c r="X496" s="2688">
        <f t="shared" si="129"/>
        <v>0</v>
      </c>
      <c r="Y496" s="2688">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8">
        <f t="shared" si="127"/>
        <v>0</v>
      </c>
      <c r="V497" s="2688">
        <f t="shared" si="128"/>
        <v>0</v>
      </c>
      <c r="W497" s="908"/>
      <c r="X497" s="2688">
        <f t="shared" si="129"/>
        <v>0</v>
      </c>
      <c r="Y497" s="2688">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8">
        <f t="shared" si="127"/>
        <v>0</v>
      </c>
      <c r="V498" s="2688">
        <f t="shared" si="128"/>
        <v>0</v>
      </c>
      <c r="W498" s="908"/>
      <c r="X498" s="2688">
        <f t="shared" si="129"/>
        <v>0</v>
      </c>
      <c r="Y498" s="2688">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8">
        <f t="shared" si="127"/>
        <v>0</v>
      </c>
      <c r="V499" s="2688">
        <f t="shared" si="128"/>
        <v>0</v>
      </c>
      <c r="W499" s="908"/>
      <c r="X499" s="2688">
        <f t="shared" si="129"/>
        <v>0</v>
      </c>
      <c r="Y499" s="2688">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8">
        <f t="shared" si="127"/>
        <v>0</v>
      </c>
      <c r="V500" s="2688">
        <f t="shared" si="128"/>
        <v>0</v>
      </c>
      <c r="W500" s="908"/>
      <c r="X500" s="2688">
        <f t="shared" si="129"/>
        <v>0</v>
      </c>
      <c r="Y500" s="2688">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8">
        <f t="shared" si="127"/>
        <v>0</v>
      </c>
      <c r="V501" s="2688">
        <f t="shared" si="128"/>
        <v>0</v>
      </c>
      <c r="W501" s="908"/>
      <c r="X501" s="2688">
        <f t="shared" si="129"/>
        <v>0</v>
      </c>
      <c r="Y501" s="2688">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8">
        <f t="shared" si="127"/>
        <v>0</v>
      </c>
      <c r="V502" s="2688">
        <f t="shared" si="128"/>
        <v>0</v>
      </c>
      <c r="W502" s="908"/>
      <c r="X502" s="2688">
        <f t="shared" si="129"/>
        <v>0</v>
      </c>
      <c r="Y502" s="2688">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8">
        <f t="shared" si="127"/>
        <v>0</v>
      </c>
      <c r="V503" s="2688">
        <f t="shared" si="128"/>
        <v>0</v>
      </c>
      <c r="W503" s="908"/>
      <c r="X503" s="2688">
        <f t="shared" si="129"/>
        <v>0</v>
      </c>
      <c r="Y503" s="2688">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8">
        <f t="shared" si="127"/>
        <v>0</v>
      </c>
      <c r="V504" s="2688">
        <f t="shared" si="128"/>
        <v>0</v>
      </c>
      <c r="W504" s="908"/>
      <c r="X504" s="2688">
        <f t="shared" si="129"/>
        <v>0</v>
      </c>
      <c r="Y504" s="2688">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8">
        <f t="shared" si="127"/>
        <v>0</v>
      </c>
      <c r="V505" s="2688">
        <f t="shared" si="128"/>
        <v>0</v>
      </c>
      <c r="W505" s="908"/>
      <c r="X505" s="2688">
        <f t="shared" si="129"/>
        <v>0</v>
      </c>
      <c r="Y505" s="2688">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8">
        <f t="shared" si="127"/>
        <v>0</v>
      </c>
      <c r="V506" s="2688">
        <f t="shared" si="128"/>
        <v>0</v>
      </c>
      <c r="W506" s="908"/>
      <c r="X506" s="2688">
        <f t="shared" si="129"/>
        <v>0</v>
      </c>
      <c r="Y506" s="2688">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8">
        <f t="shared" si="127"/>
        <v>0</v>
      </c>
      <c r="V507" s="2688">
        <f t="shared" si="128"/>
        <v>0</v>
      </c>
      <c r="W507" s="908"/>
      <c r="X507" s="2688">
        <f t="shared" si="129"/>
        <v>0</v>
      </c>
      <c r="Y507" s="2688">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8">
        <f t="shared" si="127"/>
        <v>0</v>
      </c>
      <c r="V508" s="2688">
        <f t="shared" si="128"/>
        <v>0</v>
      </c>
      <c r="W508" s="908"/>
      <c r="X508" s="2688">
        <f t="shared" si="129"/>
        <v>0</v>
      </c>
      <c r="Y508" s="2688">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8">
        <f t="shared" si="127"/>
        <v>0</v>
      </c>
      <c r="V509" s="2688">
        <f t="shared" si="128"/>
        <v>0</v>
      </c>
      <c r="W509" s="908"/>
      <c r="X509" s="2688">
        <f t="shared" si="129"/>
        <v>0</v>
      </c>
      <c r="Y509" s="2688">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8">
        <f t="shared" si="127"/>
        <v>0</v>
      </c>
      <c r="V510" s="2688">
        <f t="shared" si="128"/>
        <v>0</v>
      </c>
      <c r="W510" s="908"/>
      <c r="X510" s="2688">
        <f t="shared" si="129"/>
        <v>0</v>
      </c>
      <c r="Y510" s="2688">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8">
        <f t="shared" si="127"/>
        <v>0</v>
      </c>
      <c r="V511" s="2688">
        <f t="shared" si="128"/>
        <v>0</v>
      </c>
      <c r="W511" s="908"/>
      <c r="X511" s="2688">
        <f t="shared" si="129"/>
        <v>0</v>
      </c>
      <c r="Y511" s="2688">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8">
        <f t="shared" si="127"/>
        <v>0</v>
      </c>
      <c r="V512" s="2688">
        <f t="shared" si="128"/>
        <v>0</v>
      </c>
      <c r="W512" s="908"/>
      <c r="X512" s="2688">
        <f t="shared" si="129"/>
        <v>0</v>
      </c>
      <c r="Y512" s="2688">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8">
        <f t="shared" si="127"/>
        <v>0</v>
      </c>
      <c r="V513" s="2688">
        <f t="shared" si="128"/>
        <v>0</v>
      </c>
      <c r="W513" s="908"/>
      <c r="X513" s="2688">
        <f t="shared" si="129"/>
        <v>0</v>
      </c>
      <c r="Y513" s="2688">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8">
        <f t="shared" si="127"/>
        <v>0</v>
      </c>
      <c r="V514" s="2688">
        <f t="shared" si="128"/>
        <v>0</v>
      </c>
      <c r="W514" s="908"/>
      <c r="X514" s="2688">
        <f t="shared" si="129"/>
        <v>0</v>
      </c>
      <c r="Y514" s="2688">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8">
        <f t="shared" si="127"/>
        <v>0</v>
      </c>
      <c r="V515" s="2688">
        <f t="shared" si="128"/>
        <v>0</v>
      </c>
      <c r="W515" s="908"/>
      <c r="X515" s="2688">
        <f t="shared" si="129"/>
        <v>0</v>
      </c>
      <c r="Y515" s="2688">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8">
        <f t="shared" si="127"/>
        <v>0</v>
      </c>
      <c r="V516" s="2688">
        <f t="shared" si="128"/>
        <v>0</v>
      </c>
      <c r="W516" s="908"/>
      <c r="X516" s="2688">
        <f t="shared" si="129"/>
        <v>0</v>
      </c>
      <c r="Y516" s="2688">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8">
        <f t="shared" si="127"/>
        <v>0</v>
      </c>
      <c r="V517" s="2688">
        <f t="shared" si="128"/>
        <v>0</v>
      </c>
      <c r="W517" s="908"/>
      <c r="X517" s="2688">
        <f t="shared" si="129"/>
        <v>0</v>
      </c>
      <c r="Y517" s="2688">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8">
        <f t="shared" si="127"/>
        <v>0</v>
      </c>
      <c r="V518" s="2688">
        <f t="shared" si="128"/>
        <v>0</v>
      </c>
      <c r="W518" s="908"/>
      <c r="X518" s="2688">
        <f t="shared" si="129"/>
        <v>0</v>
      </c>
      <c r="Y518" s="2688">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8">
        <f t="shared" si="127"/>
        <v>0</v>
      </c>
      <c r="V519" s="2688">
        <f t="shared" si="128"/>
        <v>0</v>
      </c>
      <c r="W519" s="908"/>
      <c r="X519" s="2688">
        <f t="shared" si="129"/>
        <v>0</v>
      </c>
      <c r="Y519" s="2688">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8">
        <f t="shared" si="127"/>
        <v>0</v>
      </c>
      <c r="V520" s="2688">
        <f t="shared" si="128"/>
        <v>0</v>
      </c>
      <c r="W520" s="908"/>
      <c r="X520" s="2688">
        <f t="shared" si="129"/>
        <v>0</v>
      </c>
      <c r="Y520" s="2688">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8">
        <f t="shared" si="127"/>
        <v>0</v>
      </c>
      <c r="V521" s="2688">
        <f t="shared" si="128"/>
        <v>0</v>
      </c>
      <c r="W521" s="908"/>
      <c r="X521" s="2688">
        <f t="shared" si="129"/>
        <v>0</v>
      </c>
      <c r="Y521" s="2688">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8">
        <f t="shared" si="127"/>
        <v>0</v>
      </c>
      <c r="V522" s="2688">
        <f t="shared" si="128"/>
        <v>0</v>
      </c>
      <c r="W522" s="908"/>
      <c r="X522" s="2688">
        <f t="shared" si="129"/>
        <v>0</v>
      </c>
      <c r="Y522" s="2688">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8">
        <f t="shared" si="127"/>
        <v>0</v>
      </c>
      <c r="V523" s="2688">
        <f t="shared" si="128"/>
        <v>0</v>
      </c>
      <c r="W523" s="908"/>
      <c r="X523" s="2688">
        <f t="shared" si="129"/>
        <v>0</v>
      </c>
      <c r="Y523" s="2688">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8">
        <f t="shared" si="127"/>
        <v>0</v>
      </c>
      <c r="V524" s="2688">
        <f t="shared" si="128"/>
        <v>0</v>
      </c>
      <c r="W524" s="908"/>
      <c r="X524" s="2688">
        <f t="shared" si="129"/>
        <v>0</v>
      </c>
      <c r="Y524" s="2688">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8">
        <f t="shared" si="127"/>
        <v>0</v>
      </c>
      <c r="V525" s="2688">
        <f t="shared" si="128"/>
        <v>0</v>
      </c>
      <c r="W525" s="908"/>
      <c r="X525" s="2688">
        <f t="shared" si="129"/>
        <v>0</v>
      </c>
      <c r="Y525" s="2688">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8">
        <f t="shared" si="127"/>
        <v>0</v>
      </c>
      <c r="V526" s="2688">
        <f t="shared" si="128"/>
        <v>0</v>
      </c>
      <c r="W526" s="908"/>
      <c r="X526" s="2688">
        <f t="shared" si="129"/>
        <v>0</v>
      </c>
      <c r="Y526" s="2688">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8">
        <f t="shared" si="127"/>
        <v>0</v>
      </c>
      <c r="V527" s="2688">
        <f t="shared" si="128"/>
        <v>0</v>
      </c>
      <c r="W527" s="908"/>
      <c r="X527" s="2688">
        <f t="shared" si="129"/>
        <v>0</v>
      </c>
      <c r="Y527" s="2688">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440.01</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07" t="s">
        <v>2006</v>
      </c>
      <c r="D4" s="3308"/>
      <c r="E4" s="3309" t="s">
        <v>2007</v>
      </c>
      <c r="F4" s="3310"/>
      <c r="G4" s="3307" t="s">
        <v>2008</v>
      </c>
      <c r="H4" s="3308"/>
      <c r="I4" s="3307" t="s">
        <v>2009</v>
      </c>
      <c r="J4" s="3308"/>
      <c r="K4" s="150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64" t="s">
        <v>2012</v>
      </c>
      <c r="D5" s="3301"/>
      <c r="E5" s="3363" t="s">
        <v>2013</v>
      </c>
      <c r="F5" s="3325"/>
      <c r="G5" s="3364" t="s">
        <v>2014</v>
      </c>
      <c r="H5" s="3301"/>
      <c r="I5" s="3364" t="s">
        <v>2015</v>
      </c>
      <c r="J5" s="3301"/>
      <c r="K5" s="1505"/>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505"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44883</v>
      </c>
      <c r="D7" s="1511">
        <v>100</v>
      </c>
      <c r="E7" s="1512"/>
      <c r="F7" s="1513">
        <f>SUMIF(58:58,YEAR(E7)&amp;"-"&amp;MONTH(E7),59:59)</f>
        <v>0</v>
      </c>
      <c r="G7" s="1512"/>
      <c r="H7" s="1511">
        <f>SUMIF(58:58,YEAR(G7)&amp;"-"&amp;MONTH(G7),59:59)</f>
        <v>0</v>
      </c>
      <c r="I7" s="1512"/>
      <c r="J7" s="1511">
        <f>SUMIF(58:58,YEAR(I7)&amp;"-"&amp;MONTH(I7),59:59)</f>
        <v>0</v>
      </c>
      <c r="K7" s="1514"/>
      <c r="L7" s="2693"/>
      <c r="P7" s="3302" t="s">
        <v>2019</v>
      </c>
      <c r="Q7" s="3327"/>
      <c r="R7" s="1515" t="s">
        <v>34</v>
      </c>
      <c r="S7" s="1516">
        <f t="shared" ref="S7:S15" si="0">F7</f>
        <v>0</v>
      </c>
      <c r="T7" s="1515" t="s">
        <v>34</v>
      </c>
      <c r="U7" s="1516">
        <f t="shared" ref="U7:U15" si="1">H7</f>
        <v>0</v>
      </c>
      <c r="V7" s="1515" t="s">
        <v>34</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02" t="s">
        <v>2022</v>
      </c>
      <c r="Q8" s="3303"/>
      <c r="R8" s="1515" t="s">
        <v>34</v>
      </c>
      <c r="S8" s="1516">
        <f t="shared" si="0"/>
        <v>0</v>
      </c>
      <c r="T8" s="1515" t="s">
        <v>34</v>
      </c>
      <c r="U8" s="1516">
        <f t="shared" si="1"/>
        <v>0</v>
      </c>
      <c r="V8" s="1515" t="s">
        <v>34</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68"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68"/>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68"/>
      <c r="Q11" s="1471" t="str">
        <f t="shared" si="6"/>
        <v>容积率</v>
      </c>
      <c r="R11" s="1515" t="s">
        <v>28</v>
      </c>
      <c r="S11" s="1516" t="e">
        <f t="shared" si="0"/>
        <v>#N/A</v>
      </c>
      <c r="T11" s="1515" t="s">
        <v>28</v>
      </c>
      <c r="U11" s="1516" t="e">
        <f t="shared" si="1"/>
        <v>#N/A</v>
      </c>
      <c r="V11" s="1515" t="s">
        <v>28</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68"/>
      <c r="Q12" s="1471">
        <f t="shared" si="6"/>
        <v>111</v>
      </c>
      <c r="R12" s="1515" t="s">
        <v>28</v>
      </c>
      <c r="S12" s="1516">
        <f t="shared" si="0"/>
        <v>100</v>
      </c>
      <c r="T12" s="1515" t="s">
        <v>28</v>
      </c>
      <c r="U12" s="1516">
        <f t="shared" si="1"/>
        <v>100</v>
      </c>
      <c r="V12" s="1515" t="s">
        <v>28</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68"/>
      <c r="Q13" s="1471">
        <f t="shared" si="6"/>
        <v>111</v>
      </c>
      <c r="R13" s="1515" t="s">
        <v>28</v>
      </c>
      <c r="S13" s="1516">
        <f t="shared" si="0"/>
        <v>100</v>
      </c>
      <c r="T13" s="1515" t="s">
        <v>28</v>
      </c>
      <c r="U13" s="1516">
        <f t="shared" si="1"/>
        <v>100</v>
      </c>
      <c r="V13" s="1515" t="s">
        <v>28</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68"/>
      <c r="Q14" s="1471">
        <f t="shared" si="6"/>
        <v>111</v>
      </c>
      <c r="R14" s="1515" t="s">
        <v>28</v>
      </c>
      <c r="S14" s="1516">
        <f t="shared" si="0"/>
        <v>100</v>
      </c>
      <c r="T14" s="1515" t="s">
        <v>28</v>
      </c>
      <c r="U14" s="1516">
        <f t="shared" si="1"/>
        <v>100</v>
      </c>
      <c r="V14" s="1515" t="s">
        <v>28</v>
      </c>
      <c r="W14" s="1516">
        <f t="shared" si="2"/>
        <v>100</v>
      </c>
      <c r="X14" s="1517"/>
      <c r="Y14" s="3225"/>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69" t="s">
        <v>2030</v>
      </c>
      <c r="Q15" s="1453" t="str">
        <f t="shared" si="6"/>
        <v>居住社区成熟度</v>
      </c>
      <c r="R15" s="1557" t="s">
        <v>28</v>
      </c>
      <c r="S15" s="1558">
        <f t="shared" si="0"/>
        <v>100</v>
      </c>
      <c r="T15" s="1557" t="s">
        <v>28</v>
      </c>
      <c r="U15" s="1558">
        <f t="shared" si="1"/>
        <v>100</v>
      </c>
      <c r="V15" s="1557" t="s">
        <v>28</v>
      </c>
      <c r="W15" s="1558">
        <f t="shared" si="2"/>
        <v>100</v>
      </c>
      <c r="X15" s="1501"/>
      <c r="Y15" s="3328"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70"/>
      <c r="Q16" s="1453"/>
      <c r="R16" s="1557"/>
      <c r="S16" s="1558"/>
      <c r="T16" s="1557"/>
      <c r="U16" s="1558"/>
      <c r="V16" s="1557"/>
      <c r="W16" s="1558"/>
      <c r="X16" s="1501"/>
      <c r="Y16" s="3329"/>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70"/>
      <c r="Q17" s="1453" t="str">
        <f>B17</f>
        <v>交通便捷度</v>
      </c>
      <c r="R17" s="1557" t="s">
        <v>28</v>
      </c>
      <c r="S17" s="1558">
        <f>F17</f>
        <v>100</v>
      </c>
      <c r="T17" s="1557" t="s">
        <v>28</v>
      </c>
      <c r="U17" s="1558">
        <f>H17</f>
        <v>100</v>
      </c>
      <c r="V17" s="1557" t="s">
        <v>28</v>
      </c>
      <c r="W17" s="1558">
        <f>J17</f>
        <v>100</v>
      </c>
      <c r="X17" s="1501"/>
      <c r="Y17" s="3329"/>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70"/>
      <c r="Q18" s="1453"/>
      <c r="R18" s="1557"/>
      <c r="S18" s="1558"/>
      <c r="T18" s="1557"/>
      <c r="U18" s="1558"/>
      <c r="V18" s="1557"/>
      <c r="W18" s="1558"/>
      <c r="X18" s="1501"/>
      <c r="Y18" s="3329"/>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70"/>
      <c r="Q19" s="1453" t="str">
        <f>B19</f>
        <v>公共配套设施</v>
      </c>
      <c r="R19" s="1557" t="s">
        <v>28</v>
      </c>
      <c r="S19" s="1558">
        <f>F19</f>
        <v>100</v>
      </c>
      <c r="T19" s="1557" t="s">
        <v>28</v>
      </c>
      <c r="U19" s="1558">
        <f>H19</f>
        <v>100</v>
      </c>
      <c r="V19" s="1557" t="s">
        <v>28</v>
      </c>
      <c r="W19" s="1558">
        <f>J19</f>
        <v>100</v>
      </c>
      <c r="X19" s="1501"/>
      <c r="Y19" s="3329"/>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70"/>
      <c r="Q20" s="1453"/>
      <c r="R20" s="1557"/>
      <c r="S20" s="1558"/>
      <c r="T20" s="1557"/>
      <c r="U20" s="1558"/>
      <c r="V20" s="1557"/>
      <c r="W20" s="1558"/>
      <c r="X20" s="1501"/>
      <c r="Y20" s="3329"/>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70"/>
      <c r="Q21" s="1453" t="str">
        <f>B21</f>
        <v>基础设施水平</v>
      </c>
      <c r="R21" s="1557" t="s">
        <v>28</v>
      </c>
      <c r="S21" s="1558">
        <f>F21</f>
        <v>100</v>
      </c>
      <c r="T21" s="1557" t="s">
        <v>28</v>
      </c>
      <c r="U21" s="1558">
        <f>H21</f>
        <v>100</v>
      </c>
      <c r="V21" s="1557" t="s">
        <v>28</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70"/>
      <c r="Q22" s="1453"/>
      <c r="R22" s="1557"/>
      <c r="S22" s="1558"/>
      <c r="T22" s="1557"/>
      <c r="U22" s="1558"/>
      <c r="V22" s="1557"/>
      <c r="W22" s="1558"/>
      <c r="X22" s="1501"/>
      <c r="Y22" s="3329"/>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70"/>
      <c r="Q23" s="1453" t="str">
        <f>B23</f>
        <v>自然及人文环境</v>
      </c>
      <c r="R23" s="1557" t="s">
        <v>28</v>
      </c>
      <c r="S23" s="1558">
        <f>F23</f>
        <v>100</v>
      </c>
      <c r="T23" s="1557" t="s">
        <v>28</v>
      </c>
      <c r="U23" s="1558">
        <f>H23</f>
        <v>100</v>
      </c>
      <c r="V23" s="1557" t="s">
        <v>28</v>
      </c>
      <c r="W23" s="1558">
        <f>J23</f>
        <v>100</v>
      </c>
      <c r="X23" s="1501"/>
      <c r="Y23" s="3329"/>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70"/>
      <c r="Q24" s="1453"/>
      <c r="R24" s="1557"/>
      <c r="S24" s="1558"/>
      <c r="T24" s="1557"/>
      <c r="U24" s="1558"/>
      <c r="V24" s="1557"/>
      <c r="W24" s="1558"/>
      <c r="X24" s="1501"/>
      <c r="Y24" s="3329"/>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70"/>
      <c r="Q25" s="1453" t="str">
        <f t="shared" ref="Q25:Q46" si="11">B25</f>
        <v>楼层-1</v>
      </c>
      <c r="R25" s="1557" t="s">
        <v>28</v>
      </c>
      <c r="S25" s="1558">
        <f>F25</f>
        <v>100</v>
      </c>
      <c r="T25" s="1557" t="s">
        <v>28</v>
      </c>
      <c r="U25" s="1558">
        <f>H25</f>
        <v>100</v>
      </c>
      <c r="V25" s="1557" t="s">
        <v>28</v>
      </c>
      <c r="W25" s="1558">
        <f>J25</f>
        <v>100</v>
      </c>
      <c r="X25" s="1501"/>
      <c r="Y25" s="3329"/>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70"/>
      <c r="Q26" s="1453" t="str">
        <f t="shared" si="11"/>
        <v>朝向</v>
      </c>
      <c r="R26" s="1557" t="s">
        <v>28</v>
      </c>
      <c r="S26" s="1558">
        <f>F26</f>
        <v>100</v>
      </c>
      <c r="T26" s="1557" t="s">
        <v>28</v>
      </c>
      <c r="U26" s="1558">
        <f>H26</f>
        <v>100</v>
      </c>
      <c r="V26" s="1557" t="s">
        <v>28</v>
      </c>
      <c r="W26" s="1558">
        <f>J26</f>
        <v>100</v>
      </c>
      <c r="X26" s="1501"/>
      <c r="Y26" s="3329"/>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70"/>
      <c r="Q27" s="1471" t="str">
        <f t="shared" si="11"/>
        <v>道路级别</v>
      </c>
      <c r="R27" s="1515" t="s">
        <v>28</v>
      </c>
      <c r="S27" s="1516">
        <f>F27</f>
        <v>100</v>
      </c>
      <c r="T27" s="1515" t="s">
        <v>28</v>
      </c>
      <c r="U27" s="1516">
        <f>H27</f>
        <v>100</v>
      </c>
      <c r="V27" s="1515" t="s">
        <v>28</v>
      </c>
      <c r="W27" s="1516">
        <f>J27</f>
        <v>100</v>
      </c>
      <c r="X27" s="1517"/>
      <c r="Y27" s="3329"/>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70"/>
      <c r="Q28" s="1453">
        <f t="shared" si="11"/>
        <v>111</v>
      </c>
      <c r="R28" s="1557" t="s">
        <v>28</v>
      </c>
      <c r="S28" s="1558">
        <f t="shared" ref="S28:S46" si="12">F28</f>
        <v>100</v>
      </c>
      <c r="T28" s="1557" t="s">
        <v>28</v>
      </c>
      <c r="U28" s="1558">
        <f t="shared" ref="U28:U46" si="13">H28</f>
        <v>100</v>
      </c>
      <c r="V28" s="1557" t="s">
        <v>28</v>
      </c>
      <c r="W28" s="1558">
        <f t="shared" ref="W28:W46" si="14">J28</f>
        <v>100</v>
      </c>
      <c r="X28" s="1501"/>
      <c r="Y28" s="3329"/>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70"/>
      <c r="Q29" s="1453">
        <f t="shared" si="11"/>
        <v>111</v>
      </c>
      <c r="R29" s="1557" t="s">
        <v>28</v>
      </c>
      <c r="S29" s="1558">
        <f t="shared" si="12"/>
        <v>100</v>
      </c>
      <c r="T29" s="1557" t="s">
        <v>28</v>
      </c>
      <c r="U29" s="1558">
        <f t="shared" si="13"/>
        <v>100</v>
      </c>
      <c r="V29" s="1557" t="s">
        <v>28</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70"/>
      <c r="Q30" s="1453">
        <f t="shared" si="11"/>
        <v>111</v>
      </c>
      <c r="R30" s="1557" t="s">
        <v>28</v>
      </c>
      <c r="S30" s="1558">
        <f t="shared" si="12"/>
        <v>100</v>
      </c>
      <c r="T30" s="1557" t="s">
        <v>28</v>
      </c>
      <c r="U30" s="1558">
        <f t="shared" si="13"/>
        <v>100</v>
      </c>
      <c r="V30" s="1557" t="s">
        <v>28</v>
      </c>
      <c r="W30" s="1558">
        <f t="shared" si="14"/>
        <v>100</v>
      </c>
      <c r="X30" s="1501"/>
      <c r="Y30" s="3329"/>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70"/>
      <c r="Q31" s="1453">
        <f t="shared" si="11"/>
        <v>111</v>
      </c>
      <c r="R31" s="1557" t="s">
        <v>28</v>
      </c>
      <c r="S31" s="1558">
        <f t="shared" si="12"/>
        <v>100</v>
      </c>
      <c r="T31" s="1557" t="s">
        <v>28</v>
      </c>
      <c r="U31" s="1558">
        <f t="shared" si="13"/>
        <v>100</v>
      </c>
      <c r="V31" s="1557" t="s">
        <v>28</v>
      </c>
      <c r="W31" s="1558">
        <f t="shared" si="14"/>
        <v>100</v>
      </c>
      <c r="X31" s="1501"/>
      <c r="Y31" s="3329"/>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65" t="s">
        <v>2036</v>
      </c>
      <c r="Q32" s="1453" t="str">
        <f t="shared" si="11"/>
        <v>建筑类型</v>
      </c>
      <c r="R32" s="1557" t="s">
        <v>28</v>
      </c>
      <c r="S32" s="1558">
        <f t="shared" si="12"/>
        <v>100</v>
      </c>
      <c r="T32" s="1557" t="s">
        <v>28</v>
      </c>
      <c r="U32" s="1558">
        <f t="shared" si="13"/>
        <v>100</v>
      </c>
      <c r="V32" s="1557" t="s">
        <v>28</v>
      </c>
      <c r="W32" s="1558">
        <f t="shared" si="14"/>
        <v>100</v>
      </c>
      <c r="X32" s="1501"/>
      <c r="Y32" s="3331"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66"/>
      <c r="Q33" s="478" t="str">
        <f t="shared" si="11"/>
        <v>项目建筑规模</v>
      </c>
      <c r="R33" s="1596" t="s">
        <v>28</v>
      </c>
      <c r="S33" s="1597" t="e">
        <f t="shared" si="12"/>
        <v>#N/A</v>
      </c>
      <c r="T33" s="1596" t="s">
        <v>28</v>
      </c>
      <c r="U33" s="1597" t="e">
        <f t="shared" si="13"/>
        <v>#N/A</v>
      </c>
      <c r="V33" s="1596" t="s">
        <v>28</v>
      </c>
      <c r="W33" s="1597" t="e">
        <f t="shared" si="14"/>
        <v>#N/A</v>
      </c>
      <c r="X33" s="1598"/>
      <c r="Y33" s="333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66"/>
      <c r="Q34" s="1453" t="str">
        <f t="shared" si="11"/>
        <v>建筑结构</v>
      </c>
      <c r="R34" s="1557" t="s">
        <v>28</v>
      </c>
      <c r="S34" s="1558">
        <f t="shared" si="12"/>
        <v>100</v>
      </c>
      <c r="T34" s="1557" t="s">
        <v>28</v>
      </c>
      <c r="U34" s="1558">
        <f t="shared" si="13"/>
        <v>100</v>
      </c>
      <c r="V34" s="1557" t="s">
        <v>28</v>
      </c>
      <c r="W34" s="1558">
        <f t="shared" si="14"/>
        <v>100</v>
      </c>
      <c r="X34" s="1501"/>
      <c r="Y34" s="3331"/>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66"/>
      <c r="Q35" s="1453" t="str">
        <f t="shared" si="11"/>
        <v>建筑品质</v>
      </c>
      <c r="R35" s="1557" t="s">
        <v>28</v>
      </c>
      <c r="S35" s="1558">
        <f t="shared" si="12"/>
        <v>100</v>
      </c>
      <c r="T35" s="1557" t="s">
        <v>28</v>
      </c>
      <c r="U35" s="1558">
        <f t="shared" si="13"/>
        <v>100</v>
      </c>
      <c r="V35" s="1557" t="s">
        <v>28</v>
      </c>
      <c r="W35" s="1558">
        <f t="shared" si="14"/>
        <v>100</v>
      </c>
      <c r="X35" s="1501"/>
      <c r="Y35" s="3331"/>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66"/>
      <c r="Q36" s="1453" t="str">
        <f t="shared" si="11"/>
        <v>公共部分装修</v>
      </c>
      <c r="R36" s="1557" t="s">
        <v>28</v>
      </c>
      <c r="S36" s="1558">
        <f t="shared" si="12"/>
        <v>100</v>
      </c>
      <c r="T36" s="1557" t="s">
        <v>28</v>
      </c>
      <c r="U36" s="1558">
        <f t="shared" si="13"/>
        <v>100</v>
      </c>
      <c r="V36" s="1557" t="s">
        <v>28</v>
      </c>
      <c r="W36" s="1558">
        <f t="shared" si="14"/>
        <v>100</v>
      </c>
      <c r="X36" s="1501"/>
      <c r="Y36" s="3331"/>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66"/>
      <c r="Q37" s="1471" t="str">
        <f t="shared" si="11"/>
        <v>成新度</v>
      </c>
      <c r="R37" s="1515" t="s">
        <v>28</v>
      </c>
      <c r="S37" s="1516" t="e">
        <f t="shared" si="12"/>
        <v>#N/A</v>
      </c>
      <c r="T37" s="1515" t="s">
        <v>28</v>
      </c>
      <c r="U37" s="1516" t="e">
        <f t="shared" si="13"/>
        <v>#N/A</v>
      </c>
      <c r="V37" s="1515" t="s">
        <v>28</v>
      </c>
      <c r="W37" s="1516" t="e">
        <f t="shared" si="14"/>
        <v>#N/A</v>
      </c>
      <c r="X37" s="1517"/>
      <c r="Y37" s="3331"/>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66" t="s">
        <v>2036</v>
      </c>
      <c r="Q38" s="1453" t="str">
        <f t="shared" si="11"/>
        <v>物业管理</v>
      </c>
      <c r="R38" s="1557" t="s">
        <v>28</v>
      </c>
      <c r="S38" s="1558">
        <f t="shared" si="12"/>
        <v>100</v>
      </c>
      <c r="T38" s="1557" t="s">
        <v>28</v>
      </c>
      <c r="U38" s="1558">
        <f t="shared" si="13"/>
        <v>100</v>
      </c>
      <c r="V38" s="1557" t="s">
        <v>28</v>
      </c>
      <c r="W38" s="1558">
        <f t="shared" si="14"/>
        <v>100</v>
      </c>
      <c r="X38" s="1501"/>
      <c r="Y38" s="3331"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66"/>
      <c r="Q39" s="1453" t="str">
        <f t="shared" si="11"/>
        <v>市政基础设施</v>
      </c>
      <c r="R39" s="1557" t="s">
        <v>28</v>
      </c>
      <c r="S39" s="1558">
        <f t="shared" si="12"/>
        <v>100</v>
      </c>
      <c r="T39" s="1557" t="s">
        <v>28</v>
      </c>
      <c r="U39" s="1558">
        <f t="shared" si="13"/>
        <v>100</v>
      </c>
      <c r="V39" s="1557" t="s">
        <v>28</v>
      </c>
      <c r="W39" s="1558">
        <f t="shared" si="14"/>
        <v>100</v>
      </c>
      <c r="X39" s="1501"/>
      <c r="Y39" s="3331"/>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66"/>
      <c r="Q40" s="1453" t="str">
        <f t="shared" si="11"/>
        <v>房型</v>
      </c>
      <c r="R40" s="1557" t="s">
        <v>28</v>
      </c>
      <c r="S40" s="1558">
        <f t="shared" si="12"/>
        <v>100</v>
      </c>
      <c r="T40" s="1557" t="s">
        <v>28</v>
      </c>
      <c r="U40" s="1558">
        <f t="shared" si="13"/>
        <v>100</v>
      </c>
      <c r="V40" s="1557" t="s">
        <v>28</v>
      </c>
      <c r="W40" s="1558">
        <f t="shared" si="14"/>
        <v>100</v>
      </c>
      <c r="X40" s="1501"/>
      <c r="Y40" s="3331"/>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66"/>
      <c r="Q41" s="478" t="str">
        <f t="shared" si="11"/>
        <v>单套/主力户型建筑面积</v>
      </c>
      <c r="R41" s="1596" t="s">
        <v>28</v>
      </c>
      <c r="S41" s="1597">
        <f t="shared" si="12"/>
        <v>100</v>
      </c>
      <c r="T41" s="1596" t="s">
        <v>28</v>
      </c>
      <c r="U41" s="1597">
        <f t="shared" si="13"/>
        <v>100</v>
      </c>
      <c r="V41" s="1596" t="s">
        <v>28</v>
      </c>
      <c r="W41" s="1597">
        <f t="shared" si="14"/>
        <v>100</v>
      </c>
      <c r="X41" s="1598"/>
      <c r="Y41" s="3331"/>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66"/>
      <c r="Q42" s="1453" t="str">
        <f t="shared" si="11"/>
        <v>内部装修</v>
      </c>
      <c r="R42" s="1557" t="s">
        <v>28</v>
      </c>
      <c r="S42" s="1558">
        <f t="shared" si="12"/>
        <v>100</v>
      </c>
      <c r="T42" s="1557" t="s">
        <v>28</v>
      </c>
      <c r="U42" s="1558">
        <f t="shared" si="13"/>
        <v>100</v>
      </c>
      <c r="V42" s="1557" t="s">
        <v>28</v>
      </c>
      <c r="W42" s="1558">
        <f t="shared" si="14"/>
        <v>100</v>
      </c>
      <c r="X42" s="1501"/>
      <c r="Y42" s="3331"/>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66"/>
      <c r="Q43" s="1453" t="str">
        <f t="shared" si="11"/>
        <v>内部装修维护情况</v>
      </c>
      <c r="R43" s="1557" t="s">
        <v>28</v>
      </c>
      <c r="S43" s="1558">
        <f t="shared" si="12"/>
        <v>100</v>
      </c>
      <c r="T43" s="1557" t="s">
        <v>28</v>
      </c>
      <c r="U43" s="1558">
        <f t="shared" si="13"/>
        <v>100</v>
      </c>
      <c r="V43" s="1557" t="s">
        <v>28</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66"/>
      <c r="Q44" s="1471">
        <f t="shared" si="11"/>
        <v>111</v>
      </c>
      <c r="R44" s="1515" t="s">
        <v>28</v>
      </c>
      <c r="S44" s="1516">
        <f t="shared" si="12"/>
        <v>100</v>
      </c>
      <c r="T44" s="1515" t="s">
        <v>28</v>
      </c>
      <c r="U44" s="1516">
        <f t="shared" si="13"/>
        <v>100</v>
      </c>
      <c r="V44" s="1515" t="s">
        <v>28</v>
      </c>
      <c r="W44" s="1516">
        <f t="shared" si="14"/>
        <v>100</v>
      </c>
      <c r="X44" s="1517"/>
      <c r="Y44" s="333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66"/>
      <c r="Q45" s="1453">
        <f t="shared" si="11"/>
        <v>111</v>
      </c>
      <c r="R45" s="1557" t="s">
        <v>28</v>
      </c>
      <c r="S45" s="1558">
        <f t="shared" si="12"/>
        <v>100</v>
      </c>
      <c r="T45" s="1557" t="s">
        <v>28</v>
      </c>
      <c r="U45" s="1558">
        <f t="shared" si="13"/>
        <v>100</v>
      </c>
      <c r="V45" s="1557" t="s">
        <v>28</v>
      </c>
      <c r="W45" s="1558">
        <f t="shared" si="14"/>
        <v>100</v>
      </c>
      <c r="X45" s="1501"/>
      <c r="Y45" s="3331"/>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67"/>
      <c r="Q46" s="1453">
        <f t="shared" si="11"/>
        <v>111</v>
      </c>
      <c r="R46" s="1557" t="s">
        <v>27</v>
      </c>
      <c r="S46" s="1558">
        <f t="shared" si="12"/>
        <v>100</v>
      </c>
      <c r="T46" s="1557" t="s">
        <v>27</v>
      </c>
      <c r="U46" s="1558">
        <f t="shared" si="13"/>
        <v>100</v>
      </c>
      <c r="V46" s="1557" t="s">
        <v>27</v>
      </c>
      <c r="W46" s="1558">
        <f t="shared" si="14"/>
        <v>100</v>
      </c>
      <c r="X46" s="1501"/>
      <c r="Y46" s="3332"/>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299" t="str">
        <f>A48</f>
        <v>比较价值（元/平方米）</v>
      </c>
      <c r="Q48" s="3299"/>
      <c r="R48" s="3323" t="e">
        <f>IF(E1="售价",ROUND(PRODUCT(R47,AA7:AA46),0),ROUND(PRODUCT(R47,AA7:AA46),1))</f>
        <v>#DIV/0!</v>
      </c>
      <c r="S48" s="3323"/>
      <c r="T48" s="3371" t="e">
        <f>IF(E1="售价",ROUND(PRODUCT(T47,AB7:AB46),0),ROUND(PRODUCT(T47,AB7:AB46),1))</f>
        <v>#DIV/0!</v>
      </c>
      <c r="U48" s="3372"/>
      <c r="V48" s="3323" t="e">
        <f>IF(E1="售价",ROUND(PRODUCT(V47,AC7:AC46),0),ROUND(PRODUCT(V47,AC7:AC46),1))</f>
        <v>#DIV/0!</v>
      </c>
      <c r="W48" s="3323"/>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333" t="str">
        <f>A49</f>
        <v>估价对象XX用房的比较价值（楼面单价，元/平方米）</v>
      </c>
      <c r="Q49" s="3334"/>
      <c r="R49" s="3335" t="e">
        <f>IF(E1="售价",ROUND(IF(D48="简单平均",AVERAGE(R48:V48),R48*F48+T48*H48+V48*J48),0),ROUND(IF(D48="简单平均",AVERAGE(R48:V48),R48*F48+T48*H48+V48*J48),1))</f>
        <v>#DIV/0!</v>
      </c>
      <c r="S49" s="3335"/>
      <c r="T49" s="3335"/>
      <c r="U49" s="3335"/>
      <c r="V49" s="3335"/>
      <c r="W49" s="3335"/>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440.01</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23" t="s">
        <v>2008</v>
      </c>
      <c r="AC4" s="3304" t="s">
        <v>2009</v>
      </c>
    </row>
    <row r="5" spans="1:29">
      <c r="A5" s="1503"/>
      <c r="B5" s="1504"/>
      <c r="C5" s="3364" t="s">
        <v>2012</v>
      </c>
      <c r="D5" s="3301"/>
      <c r="E5" s="3363" t="s">
        <v>2013</v>
      </c>
      <c r="F5" s="3325"/>
      <c r="G5" s="3364" t="s">
        <v>2014</v>
      </c>
      <c r="H5" s="3301"/>
      <c r="I5" s="3364" t="s">
        <v>2015</v>
      </c>
      <c r="J5" s="3301"/>
      <c r="K5" s="1780"/>
      <c r="L5" s="2693"/>
      <c r="P5" s="3313"/>
      <c r="Q5" s="3314"/>
      <c r="R5" s="3319"/>
      <c r="S5" s="3320"/>
      <c r="T5" s="3319"/>
      <c r="U5" s="3320"/>
      <c r="V5" s="3323"/>
      <c r="W5" s="3323"/>
      <c r="X5" s="1501"/>
      <c r="Y5" s="3319"/>
      <c r="Z5" s="3320"/>
      <c r="AA5" s="3305"/>
      <c r="AB5" s="3323"/>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23"/>
      <c r="AC6" s="3306"/>
    </row>
    <row r="7" spans="1:29" s="1519" customFormat="1" ht="15" thickBot="1">
      <c r="A7" s="1508" t="s">
        <v>2018</v>
      </c>
      <c r="B7" s="1509"/>
      <c r="C7" s="1510">
        <f>'数据-取费表'!B2</f>
        <v>44883</v>
      </c>
      <c r="D7" s="1511">
        <v>100</v>
      </c>
      <c r="E7" s="1512"/>
      <c r="F7" s="1513">
        <f>SUMIF(58:58,YEAR(E7)&amp;"-"&amp;MONTH(E7),59:59)</f>
        <v>0</v>
      </c>
      <c r="G7" s="1512"/>
      <c r="H7" s="1511">
        <f>SUMIF(58:58,YEAR(G7)&amp;"-"&amp;MONTH(G7),59:59)</f>
        <v>0</v>
      </c>
      <c r="I7" s="1512"/>
      <c r="J7" s="1511">
        <f>SUMIF(58:58,YEAR(I7)&amp;"-"&amp;MONTH(I7),59:59)</f>
        <v>0</v>
      </c>
      <c r="K7" s="1782"/>
      <c r="L7" s="2693"/>
      <c r="P7" s="3302" t="s">
        <v>2019</v>
      </c>
      <c r="Q7" s="3327"/>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68"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68"/>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68"/>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68"/>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68"/>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68"/>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69" t="s">
        <v>2030</v>
      </c>
      <c r="Q15" s="1453" t="str">
        <f t="shared" si="6"/>
        <v>商业繁华度</v>
      </c>
      <c r="R15" s="1557" t="s">
        <v>25</v>
      </c>
      <c r="S15" s="1558">
        <f t="shared" si="0"/>
        <v>100</v>
      </c>
      <c r="T15" s="1557" t="s">
        <v>25</v>
      </c>
      <c r="U15" s="1558">
        <f t="shared" si="1"/>
        <v>100</v>
      </c>
      <c r="V15" s="1557" t="s">
        <v>25</v>
      </c>
      <c r="W15" s="1558">
        <f t="shared" si="2"/>
        <v>100</v>
      </c>
      <c r="X15" s="1501"/>
      <c r="Y15" s="3328"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70"/>
      <c r="Q16" s="1453"/>
      <c r="R16" s="1557"/>
      <c r="S16" s="1558"/>
      <c r="T16" s="1557"/>
      <c r="U16" s="1558"/>
      <c r="V16" s="1557"/>
      <c r="W16" s="1558"/>
      <c r="X16" s="1501"/>
      <c r="Y16" s="3329"/>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70"/>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70"/>
      <c r="Q18" s="1453"/>
      <c r="R18" s="1557"/>
      <c r="S18" s="1558"/>
      <c r="T18" s="1557"/>
      <c r="U18" s="1558"/>
      <c r="V18" s="1557"/>
      <c r="W18" s="1558"/>
      <c r="X18" s="1501"/>
      <c r="Y18" s="3329"/>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70"/>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70"/>
      <c r="Q20" s="1453"/>
      <c r="R20" s="1557"/>
      <c r="S20" s="1558"/>
      <c r="T20" s="1557"/>
      <c r="U20" s="1558"/>
      <c r="V20" s="1557"/>
      <c r="W20" s="1558"/>
      <c r="X20" s="1501"/>
      <c r="Y20" s="3329"/>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70"/>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70"/>
      <c r="Q22" s="1453"/>
      <c r="R22" s="1557"/>
      <c r="S22" s="1558"/>
      <c r="T22" s="1557"/>
      <c r="U22" s="1558"/>
      <c r="V22" s="1557"/>
      <c r="W22" s="1558"/>
      <c r="X22" s="1501"/>
      <c r="Y22" s="3329"/>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70"/>
      <c r="Q23" s="1453" t="str">
        <f>B23</f>
        <v>自然及人文环境</v>
      </c>
      <c r="R23" s="1557" t="s">
        <v>25</v>
      </c>
      <c r="S23" s="1558">
        <f>F23</f>
        <v>100</v>
      </c>
      <c r="T23" s="1557" t="s">
        <v>25</v>
      </c>
      <c r="U23" s="1558">
        <f>H23</f>
        <v>100</v>
      </c>
      <c r="V23" s="1557" t="s">
        <v>25</v>
      </c>
      <c r="W23" s="1558">
        <f>J23</f>
        <v>100</v>
      </c>
      <c r="X23" s="1501"/>
      <c r="Y23" s="3329"/>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70"/>
      <c r="Q24" s="1453"/>
      <c r="R24" s="1557"/>
      <c r="S24" s="1558"/>
      <c r="T24" s="1557"/>
      <c r="U24" s="1558"/>
      <c r="V24" s="1557"/>
      <c r="W24" s="1558"/>
      <c r="X24" s="1501"/>
      <c r="Y24" s="3329"/>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70"/>
      <c r="Q25" s="1453" t="str">
        <f t="shared" ref="Q25:Q46" si="11">B25</f>
        <v>临街状况</v>
      </c>
      <c r="R25" s="1557" t="s">
        <v>25</v>
      </c>
      <c r="S25" s="1558">
        <f>F25</f>
        <v>100</v>
      </c>
      <c r="T25" s="1557" t="s">
        <v>25</v>
      </c>
      <c r="U25" s="1558">
        <f>H25</f>
        <v>100</v>
      </c>
      <c r="V25" s="1557" t="s">
        <v>25</v>
      </c>
      <c r="W25" s="1558">
        <f>J25</f>
        <v>100</v>
      </c>
      <c r="X25" s="1501"/>
      <c r="Y25" s="3329"/>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70"/>
      <c r="Q26" s="1453" t="str">
        <f t="shared" si="11"/>
        <v>平面位置/可视性</v>
      </c>
      <c r="R26" s="1557" t="s">
        <v>25</v>
      </c>
      <c r="S26" s="1558">
        <f>F26</f>
        <v>100</v>
      </c>
      <c r="T26" s="1557" t="s">
        <v>25</v>
      </c>
      <c r="U26" s="1558">
        <f>H26</f>
        <v>100</v>
      </c>
      <c r="V26" s="1557" t="s">
        <v>25</v>
      </c>
      <c r="W26" s="1558">
        <f>J26</f>
        <v>100</v>
      </c>
      <c r="X26" s="1501"/>
      <c r="Y26" s="3329"/>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70"/>
      <c r="Q27" s="1471" t="str">
        <f t="shared" si="11"/>
        <v>人流量</v>
      </c>
      <c r="R27" s="1515" t="s">
        <v>25</v>
      </c>
      <c r="S27" s="1516">
        <f>F27</f>
        <v>100</v>
      </c>
      <c r="T27" s="1515" t="s">
        <v>25</v>
      </c>
      <c r="U27" s="1516">
        <f>H27</f>
        <v>100</v>
      </c>
      <c r="V27" s="1515" t="s">
        <v>25</v>
      </c>
      <c r="W27" s="1516">
        <f>J27</f>
        <v>100</v>
      </c>
      <c r="X27" s="1517"/>
      <c r="Y27" s="3329"/>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70"/>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29"/>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70"/>
      <c r="Q29" s="1453">
        <f t="shared" si="11"/>
        <v>111</v>
      </c>
      <c r="R29" s="1557" t="s">
        <v>25</v>
      </c>
      <c r="S29" s="1558">
        <f t="shared" si="12"/>
        <v>100</v>
      </c>
      <c r="T29" s="1557" t="s">
        <v>25</v>
      </c>
      <c r="U29" s="1558">
        <f t="shared" si="13"/>
        <v>100</v>
      </c>
      <c r="V29" s="1557" t="s">
        <v>25</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70"/>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70"/>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65" t="s">
        <v>2036</v>
      </c>
      <c r="Q32" s="1453" t="str">
        <f t="shared" si="11"/>
        <v>商业类型</v>
      </c>
      <c r="R32" s="1557" t="s">
        <v>25</v>
      </c>
      <c r="S32" s="1558">
        <f t="shared" si="12"/>
        <v>100</v>
      </c>
      <c r="T32" s="1557" t="s">
        <v>25</v>
      </c>
      <c r="U32" s="1558">
        <f t="shared" si="13"/>
        <v>100</v>
      </c>
      <c r="V32" s="1557" t="s">
        <v>25</v>
      </c>
      <c r="W32" s="1558">
        <f t="shared" si="14"/>
        <v>100</v>
      </c>
      <c r="X32" s="1501"/>
      <c r="Y32" s="3331"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66"/>
      <c r="Q33" s="478" t="str">
        <f t="shared" si="11"/>
        <v>项目建筑规模</v>
      </c>
      <c r="R33" s="1596" t="s">
        <v>25</v>
      </c>
      <c r="S33" s="1597" t="e">
        <f t="shared" si="12"/>
        <v>#N/A</v>
      </c>
      <c r="T33" s="1596" t="s">
        <v>25</v>
      </c>
      <c r="U33" s="1597" t="e">
        <f t="shared" si="13"/>
        <v>#N/A</v>
      </c>
      <c r="V33" s="1596" t="s">
        <v>25</v>
      </c>
      <c r="W33" s="1597" t="e">
        <f t="shared" si="14"/>
        <v>#N/A</v>
      </c>
      <c r="X33" s="1598"/>
      <c r="Y33" s="333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66"/>
      <c r="Q34" s="1453" t="str">
        <f t="shared" si="11"/>
        <v>建筑结构</v>
      </c>
      <c r="R34" s="1557" t="s">
        <v>25</v>
      </c>
      <c r="S34" s="1558">
        <f t="shared" si="12"/>
        <v>100</v>
      </c>
      <c r="T34" s="1557" t="s">
        <v>25</v>
      </c>
      <c r="U34" s="1558">
        <f t="shared" si="13"/>
        <v>100</v>
      </c>
      <c r="V34" s="1557" t="s">
        <v>25</v>
      </c>
      <c r="W34" s="1558">
        <f t="shared" si="14"/>
        <v>100</v>
      </c>
      <c r="X34" s="1501"/>
      <c r="Y34" s="3331"/>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66"/>
      <c r="Q35" s="1453" t="str">
        <f t="shared" si="11"/>
        <v>公共部分装修</v>
      </c>
      <c r="R35" s="1557" t="s">
        <v>25</v>
      </c>
      <c r="S35" s="1558">
        <f t="shared" si="12"/>
        <v>100</v>
      </c>
      <c r="T35" s="1557" t="s">
        <v>25</v>
      </c>
      <c r="U35" s="1558">
        <f t="shared" si="13"/>
        <v>100</v>
      </c>
      <c r="V35" s="1557" t="s">
        <v>25</v>
      </c>
      <c r="W35" s="1558">
        <f t="shared" si="14"/>
        <v>100</v>
      </c>
      <c r="X35" s="1501"/>
      <c r="Y35" s="3331"/>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66"/>
      <c r="Q36" s="1453" t="str">
        <f t="shared" si="11"/>
        <v>成新度</v>
      </c>
      <c r="R36" s="1557" t="s">
        <v>25</v>
      </c>
      <c r="S36" s="1558" t="e">
        <f t="shared" si="12"/>
        <v>#N/A</v>
      </c>
      <c r="T36" s="1557" t="s">
        <v>25</v>
      </c>
      <c r="U36" s="1558" t="e">
        <f t="shared" si="13"/>
        <v>#N/A</v>
      </c>
      <c r="V36" s="1557" t="s">
        <v>25</v>
      </c>
      <c r="W36" s="1558" t="e">
        <f t="shared" si="14"/>
        <v>#N/A</v>
      </c>
      <c r="X36" s="1501"/>
      <c r="Y36" s="3331"/>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66"/>
      <c r="Q37" s="1471" t="str">
        <f t="shared" si="11"/>
        <v>市政基础设施</v>
      </c>
      <c r="R37" s="1515" t="s">
        <v>25</v>
      </c>
      <c r="S37" s="1516">
        <f t="shared" si="12"/>
        <v>100</v>
      </c>
      <c r="T37" s="1515" t="s">
        <v>25</v>
      </c>
      <c r="U37" s="1516">
        <f t="shared" si="13"/>
        <v>100</v>
      </c>
      <c r="V37" s="1515" t="s">
        <v>25</v>
      </c>
      <c r="W37" s="1516">
        <f t="shared" si="14"/>
        <v>100</v>
      </c>
      <c r="X37" s="1517"/>
      <c r="Y37" s="3331"/>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66" t="s">
        <v>2036</v>
      </c>
      <c r="Q38" s="1453" t="str">
        <f t="shared" si="11"/>
        <v>业态</v>
      </c>
      <c r="R38" s="1557" t="s">
        <v>25</v>
      </c>
      <c r="S38" s="1558">
        <f t="shared" si="12"/>
        <v>100</v>
      </c>
      <c r="T38" s="1557" t="s">
        <v>25</v>
      </c>
      <c r="U38" s="1558">
        <f t="shared" si="13"/>
        <v>100</v>
      </c>
      <c r="V38" s="1557" t="s">
        <v>25</v>
      </c>
      <c r="W38" s="1558">
        <f t="shared" si="14"/>
        <v>100</v>
      </c>
      <c r="X38" s="1501"/>
      <c r="Y38" s="3331"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66"/>
      <c r="Q39" s="1453" t="str">
        <f t="shared" si="11"/>
        <v>层高</v>
      </c>
      <c r="R39" s="1557" t="s">
        <v>25</v>
      </c>
      <c r="S39" s="1558">
        <f t="shared" si="12"/>
        <v>100</v>
      </c>
      <c r="T39" s="1557" t="s">
        <v>25</v>
      </c>
      <c r="U39" s="1558">
        <f t="shared" si="13"/>
        <v>100</v>
      </c>
      <c r="V39" s="1557" t="s">
        <v>25</v>
      </c>
      <c r="W39" s="1558">
        <f t="shared" si="14"/>
        <v>100</v>
      </c>
      <c r="X39" s="1501"/>
      <c r="Y39" s="3331"/>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66"/>
      <c r="Q40" s="1453" t="str">
        <f t="shared" si="11"/>
        <v>单套建筑面积</v>
      </c>
      <c r="R40" s="1557" t="s">
        <v>25</v>
      </c>
      <c r="S40" s="1558">
        <f t="shared" si="12"/>
        <v>100</v>
      </c>
      <c r="T40" s="1557" t="s">
        <v>25</v>
      </c>
      <c r="U40" s="1558">
        <f t="shared" si="13"/>
        <v>100</v>
      </c>
      <c r="V40" s="1557" t="s">
        <v>25</v>
      </c>
      <c r="W40" s="1558">
        <f t="shared" si="14"/>
        <v>100</v>
      </c>
      <c r="X40" s="1501"/>
      <c r="Y40" s="3331"/>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66"/>
      <c r="Q41" s="478" t="str">
        <f t="shared" si="11"/>
        <v>进深比</v>
      </c>
      <c r="R41" s="1596" t="s">
        <v>25</v>
      </c>
      <c r="S41" s="1597">
        <f t="shared" si="12"/>
        <v>100</v>
      </c>
      <c r="T41" s="1596" t="s">
        <v>25</v>
      </c>
      <c r="U41" s="1597">
        <f t="shared" si="13"/>
        <v>100</v>
      </c>
      <c r="V41" s="1596" t="s">
        <v>25</v>
      </c>
      <c r="W41" s="1597">
        <f t="shared" si="14"/>
        <v>100</v>
      </c>
      <c r="X41" s="1598"/>
      <c r="Y41" s="3331"/>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66"/>
      <c r="Q42" s="1453" t="str">
        <f t="shared" si="11"/>
        <v>内部装修</v>
      </c>
      <c r="R42" s="1557" t="s">
        <v>25</v>
      </c>
      <c r="S42" s="1558">
        <f t="shared" si="12"/>
        <v>100</v>
      </c>
      <c r="T42" s="1557" t="s">
        <v>25</v>
      </c>
      <c r="U42" s="1558">
        <f t="shared" si="13"/>
        <v>100</v>
      </c>
      <c r="V42" s="1557" t="s">
        <v>25</v>
      </c>
      <c r="W42" s="1558">
        <f t="shared" si="14"/>
        <v>100</v>
      </c>
      <c r="X42" s="1501"/>
      <c r="Y42" s="3331"/>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66"/>
      <c r="Q43" s="1453" t="str">
        <f t="shared" si="11"/>
        <v>内部装修维护情况</v>
      </c>
      <c r="R43" s="1557" t="s">
        <v>25</v>
      </c>
      <c r="S43" s="1558">
        <f t="shared" si="12"/>
        <v>100</v>
      </c>
      <c r="T43" s="1557" t="s">
        <v>25</v>
      </c>
      <c r="U43" s="1558">
        <f t="shared" si="13"/>
        <v>100</v>
      </c>
      <c r="V43" s="1557" t="s">
        <v>25</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66"/>
      <c r="Q44" s="1471">
        <f t="shared" si="11"/>
        <v>111</v>
      </c>
      <c r="R44" s="1515" t="s">
        <v>25</v>
      </c>
      <c r="S44" s="1516">
        <f t="shared" si="12"/>
        <v>100</v>
      </c>
      <c r="T44" s="1515" t="s">
        <v>25</v>
      </c>
      <c r="U44" s="1516">
        <f t="shared" si="13"/>
        <v>100</v>
      </c>
      <c r="V44" s="1515" t="s">
        <v>25</v>
      </c>
      <c r="W44" s="1516">
        <f t="shared" si="14"/>
        <v>100</v>
      </c>
      <c r="X44" s="1517"/>
      <c r="Y44" s="333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66"/>
      <c r="Q45" s="1453">
        <f t="shared" si="11"/>
        <v>111</v>
      </c>
      <c r="R45" s="1557" t="s">
        <v>25</v>
      </c>
      <c r="S45" s="1558">
        <f t="shared" si="12"/>
        <v>100</v>
      </c>
      <c r="T45" s="1557" t="s">
        <v>25</v>
      </c>
      <c r="U45" s="1558">
        <f t="shared" si="13"/>
        <v>100</v>
      </c>
      <c r="V45" s="1557" t="s">
        <v>25</v>
      </c>
      <c r="W45" s="1558">
        <f t="shared" si="14"/>
        <v>100</v>
      </c>
      <c r="X45" s="1501"/>
      <c r="Y45" s="3331"/>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67"/>
      <c r="Q46" s="1453">
        <f t="shared" si="11"/>
        <v>111</v>
      </c>
      <c r="R46" s="1557" t="s">
        <v>25</v>
      </c>
      <c r="S46" s="1558">
        <f t="shared" si="12"/>
        <v>100</v>
      </c>
      <c r="T46" s="1557" t="s">
        <v>25</v>
      </c>
      <c r="U46" s="1558">
        <f t="shared" si="13"/>
        <v>100</v>
      </c>
      <c r="V46" s="1557" t="s">
        <v>25</v>
      </c>
      <c r="W46" s="1558">
        <f t="shared" si="14"/>
        <v>100</v>
      </c>
      <c r="X46" s="1501"/>
      <c r="Y46" s="3332"/>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299" t="str">
        <f>A48</f>
        <v>比较价值（元/平方米）</v>
      </c>
      <c r="Q48" s="3299"/>
      <c r="R48" s="3323" t="e">
        <f>IF(E1="售价",ROUND(PRODUCT(R47,AA7:AA46),0),ROUND(PRODUCT(R47,AA7:AA46),1))</f>
        <v>#DIV/0!</v>
      </c>
      <c r="S48" s="3323"/>
      <c r="T48" s="3323" t="e">
        <f>IF(E1="售价",ROUND(PRODUCT(T47,AB7:AB46),0),ROUND(PRODUCT(T47,AB7:AB46),1))</f>
        <v>#DIV/0!</v>
      </c>
      <c r="U48" s="3323"/>
      <c r="V48" s="3323" t="e">
        <f>IF(E1="售价",ROUND(PRODUCT(V47,AC7:AC46),0),ROUND(PRODUCT(V47,AC7:AC46),1))</f>
        <v>#DIV/0!</v>
      </c>
      <c r="W48" s="3323"/>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333" t="str">
        <f>A49</f>
        <v>估价对象XX用房的比较价值（楼面单价，元/平方米）</v>
      </c>
      <c r="Q49" s="3334"/>
      <c r="R49" s="3335" t="e">
        <f>IF(E1="售价",ROUND(IF(D48="简单平均",AVERAGE(R48:V48),R48*F48+T48*H48+V48*J48),0),ROUND(IF(D48="简单平均",AVERAGE(R48:V48),R48*F48+T48*H48+V48*J48),1))</f>
        <v>#DIV/0!</v>
      </c>
      <c r="S49" s="3335"/>
      <c r="T49" s="3335"/>
      <c r="U49" s="3335"/>
      <c r="V49" s="3335"/>
      <c r="W49" s="3335"/>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440.01</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5" t="s">
        <v>2006</v>
      </c>
      <c r="D4" s="3386"/>
      <c r="E4" s="3387" t="s">
        <v>2007</v>
      </c>
      <c r="F4" s="3388"/>
      <c r="G4" s="3385" t="s">
        <v>2008</v>
      </c>
      <c r="H4" s="3386"/>
      <c r="I4" s="3385" t="s">
        <v>2009</v>
      </c>
      <c r="J4" s="3386"/>
      <c r="K4" s="482" t="s">
        <v>2010</v>
      </c>
      <c r="L4" s="2715"/>
      <c r="P4" s="3389" t="s">
        <v>2011</v>
      </c>
      <c r="Q4" s="3390"/>
      <c r="R4" s="3395" t="s">
        <v>2007</v>
      </c>
      <c r="S4" s="3396"/>
      <c r="T4" s="3395" t="s">
        <v>2008</v>
      </c>
      <c r="U4" s="3396"/>
      <c r="V4" s="3401" t="s">
        <v>2009</v>
      </c>
      <c r="W4" s="3401"/>
      <c r="X4" s="1201"/>
      <c r="Y4" s="3395" t="s">
        <v>2011</v>
      </c>
      <c r="Z4" s="3396"/>
      <c r="AA4" s="3382" t="s">
        <v>2007</v>
      </c>
      <c r="AB4" s="3383" t="s">
        <v>2008</v>
      </c>
      <c r="AC4" s="3382" t="s">
        <v>2009</v>
      </c>
    </row>
    <row r="5" spans="1:29">
      <c r="A5" s="293"/>
      <c r="B5" s="294"/>
      <c r="C5" s="3378" t="s">
        <v>2012</v>
      </c>
      <c r="D5" s="3379"/>
      <c r="E5" s="3402" t="s">
        <v>2013</v>
      </c>
      <c r="F5" s="3403"/>
      <c r="G5" s="3378" t="s">
        <v>2014</v>
      </c>
      <c r="H5" s="3379"/>
      <c r="I5" s="3378" t="s">
        <v>2015</v>
      </c>
      <c r="J5" s="3379"/>
      <c r="K5" s="482"/>
      <c r="L5" s="2715"/>
      <c r="P5" s="3391"/>
      <c r="Q5" s="3392"/>
      <c r="R5" s="3397"/>
      <c r="S5" s="3398"/>
      <c r="T5" s="3397"/>
      <c r="U5" s="3398"/>
      <c r="V5" s="3401"/>
      <c r="W5" s="3401"/>
      <c r="X5" s="1201"/>
      <c r="Y5" s="3397"/>
      <c r="Z5" s="3398"/>
      <c r="AA5" s="3383"/>
      <c r="AB5" s="3383"/>
      <c r="AC5" s="3383"/>
    </row>
    <row r="6" spans="1:29" ht="15" thickBot="1">
      <c r="A6" s="295"/>
      <c r="B6" s="296"/>
      <c r="C6" s="3375" t="s">
        <v>2016</v>
      </c>
      <c r="D6" s="3376"/>
      <c r="E6" s="3373" t="s">
        <v>2016</v>
      </c>
      <c r="F6" s="3374"/>
      <c r="G6" s="3375" t="s">
        <v>2016</v>
      </c>
      <c r="H6" s="3376"/>
      <c r="I6" s="3375" t="s">
        <v>2016</v>
      </c>
      <c r="J6" s="3376"/>
      <c r="K6" s="482" t="s">
        <v>2017</v>
      </c>
      <c r="L6" s="2715"/>
      <c r="P6" s="3393"/>
      <c r="Q6" s="3394"/>
      <c r="R6" s="3397"/>
      <c r="S6" s="3398"/>
      <c r="T6" s="3399"/>
      <c r="U6" s="3400"/>
      <c r="V6" s="3401"/>
      <c r="W6" s="3401"/>
      <c r="X6" s="1201"/>
      <c r="Y6" s="3399"/>
      <c r="Z6" s="3400"/>
      <c r="AA6" s="3384"/>
      <c r="AB6" s="3384"/>
      <c r="AC6" s="3384"/>
    </row>
    <row r="7" spans="1:29" s="24" customFormat="1" ht="15" thickBot="1">
      <c r="A7" s="297" t="s">
        <v>2018</v>
      </c>
      <c r="B7" s="298"/>
      <c r="C7" s="299">
        <f>'数据-取费表'!B2</f>
        <v>44883</v>
      </c>
      <c r="D7" s="300">
        <v>100</v>
      </c>
      <c r="E7" s="301"/>
      <c r="F7" s="302">
        <f>SUMIF(52:52,YEAR(E7)&amp;"-"&amp;MONTH(E7),53:53)</f>
        <v>0</v>
      </c>
      <c r="G7" s="301"/>
      <c r="H7" s="300">
        <f>SUMIF(52:52,YEAR(G7)&amp;"-"&amp;MONTH(G7),53:53)</f>
        <v>0</v>
      </c>
      <c r="I7" s="301"/>
      <c r="J7" s="300">
        <f>SUMIF(52:52,YEAR(I7)&amp;"-"&amp;MONTH(I7),53:53)</f>
        <v>0</v>
      </c>
      <c r="K7" s="483"/>
      <c r="L7" s="2716"/>
      <c r="P7" s="3380" t="s">
        <v>2019</v>
      </c>
      <c r="Q7" s="3404"/>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77" t="s">
        <v>2025</v>
      </c>
      <c r="Q9" s="477" t="str">
        <f t="shared" ref="Q9:Q15" si="6">B9</f>
        <v>用途</v>
      </c>
      <c r="R9" s="600" t="s">
        <v>25</v>
      </c>
      <c r="S9" s="601">
        <f t="shared" si="0"/>
        <v>100</v>
      </c>
      <c r="T9" s="600" t="s">
        <v>25</v>
      </c>
      <c r="U9" s="601">
        <f t="shared" si="1"/>
        <v>100</v>
      </c>
      <c r="V9" s="600" t="s">
        <v>25</v>
      </c>
      <c r="W9" s="601">
        <f t="shared" si="2"/>
        <v>100</v>
      </c>
      <c r="X9" s="602"/>
      <c r="Y9" s="3407"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77"/>
      <c r="Q10" s="477" t="str">
        <f t="shared" si="6"/>
        <v>土地使用年限（年）</v>
      </c>
      <c r="R10" s="600" t="s">
        <v>25</v>
      </c>
      <c r="S10" s="601">
        <f t="shared" si="0"/>
        <v>100</v>
      </c>
      <c r="T10" s="600" t="s">
        <v>25</v>
      </c>
      <c r="U10" s="601">
        <f t="shared" si="1"/>
        <v>100</v>
      </c>
      <c r="V10" s="600" t="s">
        <v>25</v>
      </c>
      <c r="W10" s="601">
        <f t="shared" si="2"/>
        <v>100</v>
      </c>
      <c r="X10" s="602"/>
      <c r="Y10" s="3407"/>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77"/>
      <c r="Q11" s="477" t="str">
        <f t="shared" si="6"/>
        <v>容积率</v>
      </c>
      <c r="R11" s="600" t="s">
        <v>25</v>
      </c>
      <c r="S11" s="601" t="e">
        <f t="shared" si="0"/>
        <v>#N/A</v>
      </c>
      <c r="T11" s="600" t="s">
        <v>25</v>
      </c>
      <c r="U11" s="601" t="e">
        <f t="shared" si="1"/>
        <v>#N/A</v>
      </c>
      <c r="V11" s="600" t="s">
        <v>25</v>
      </c>
      <c r="W11" s="601" t="e">
        <f t="shared" si="2"/>
        <v>#N/A</v>
      </c>
      <c r="X11" s="602"/>
      <c r="Y11" s="3407"/>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77"/>
      <c r="Q12" s="477">
        <f t="shared" si="6"/>
        <v>111</v>
      </c>
      <c r="R12" s="600" t="s">
        <v>25</v>
      </c>
      <c r="S12" s="601">
        <f t="shared" si="0"/>
        <v>100</v>
      </c>
      <c r="T12" s="600" t="s">
        <v>25</v>
      </c>
      <c r="U12" s="601">
        <f t="shared" si="1"/>
        <v>100</v>
      </c>
      <c r="V12" s="600" t="s">
        <v>25</v>
      </c>
      <c r="W12" s="601">
        <f t="shared" si="2"/>
        <v>100</v>
      </c>
      <c r="X12" s="602"/>
      <c r="Y12" s="3407"/>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77"/>
      <c r="Q13" s="477">
        <f t="shared" si="6"/>
        <v>111</v>
      </c>
      <c r="R13" s="600" t="s">
        <v>25</v>
      </c>
      <c r="S13" s="601">
        <f t="shared" si="0"/>
        <v>100</v>
      </c>
      <c r="T13" s="600" t="s">
        <v>25</v>
      </c>
      <c r="U13" s="601">
        <f t="shared" si="1"/>
        <v>100</v>
      </c>
      <c r="V13" s="600" t="s">
        <v>25</v>
      </c>
      <c r="W13" s="601">
        <f t="shared" si="2"/>
        <v>100</v>
      </c>
      <c r="X13" s="602"/>
      <c r="Y13" s="3407"/>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77"/>
      <c r="Q14" s="477">
        <f t="shared" si="6"/>
        <v>111</v>
      </c>
      <c r="R14" s="600" t="s">
        <v>25</v>
      </c>
      <c r="S14" s="601">
        <f t="shared" si="0"/>
        <v>100</v>
      </c>
      <c r="T14" s="600" t="s">
        <v>25</v>
      </c>
      <c r="U14" s="601">
        <f t="shared" si="1"/>
        <v>100</v>
      </c>
      <c r="V14" s="600" t="s">
        <v>25</v>
      </c>
      <c r="W14" s="601">
        <f t="shared" si="2"/>
        <v>100</v>
      </c>
      <c r="X14" s="602"/>
      <c r="Y14" s="3407"/>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405" t="s">
        <v>2030</v>
      </c>
      <c r="Q15" s="635" t="str">
        <f t="shared" si="6"/>
        <v>产业集聚程度</v>
      </c>
      <c r="R15" s="603" t="s">
        <v>25</v>
      </c>
      <c r="S15" s="604">
        <f t="shared" si="0"/>
        <v>100</v>
      </c>
      <c r="T15" s="603" t="s">
        <v>25</v>
      </c>
      <c r="U15" s="604">
        <f t="shared" si="1"/>
        <v>100</v>
      </c>
      <c r="V15" s="603" t="s">
        <v>25</v>
      </c>
      <c r="W15" s="604">
        <f t="shared" si="2"/>
        <v>100</v>
      </c>
      <c r="X15" s="1201"/>
      <c r="Y15" s="3405"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406"/>
      <c r="Q16" s="635"/>
      <c r="R16" s="603"/>
      <c r="S16" s="604"/>
      <c r="T16" s="603"/>
      <c r="U16" s="604"/>
      <c r="V16" s="603"/>
      <c r="W16" s="604"/>
      <c r="X16" s="1201"/>
      <c r="Y16" s="3406"/>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406"/>
      <c r="Q17" s="635" t="str">
        <f>B17</f>
        <v>交通便捷度</v>
      </c>
      <c r="R17" s="603" t="s">
        <v>25</v>
      </c>
      <c r="S17" s="604">
        <f>F17</f>
        <v>100</v>
      </c>
      <c r="T17" s="603" t="s">
        <v>25</v>
      </c>
      <c r="U17" s="604">
        <f>H17</f>
        <v>100</v>
      </c>
      <c r="V17" s="603" t="s">
        <v>25</v>
      </c>
      <c r="W17" s="604">
        <f>J17</f>
        <v>100</v>
      </c>
      <c r="X17" s="1201"/>
      <c r="Y17" s="3406"/>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406"/>
      <c r="Q18" s="635"/>
      <c r="R18" s="603"/>
      <c r="S18" s="604"/>
      <c r="T18" s="603"/>
      <c r="U18" s="604"/>
      <c r="V18" s="603"/>
      <c r="W18" s="604"/>
      <c r="X18" s="1201"/>
      <c r="Y18" s="3406"/>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406"/>
      <c r="Q19" s="635" t="str">
        <f>B19</f>
        <v>公共配套设施</v>
      </c>
      <c r="R19" s="603" t="s">
        <v>25</v>
      </c>
      <c r="S19" s="604">
        <f>F19</f>
        <v>100</v>
      </c>
      <c r="T19" s="603" t="s">
        <v>25</v>
      </c>
      <c r="U19" s="604">
        <f>H19</f>
        <v>100</v>
      </c>
      <c r="V19" s="603" t="s">
        <v>25</v>
      </c>
      <c r="W19" s="604">
        <f>J19</f>
        <v>100</v>
      </c>
      <c r="X19" s="1201"/>
      <c r="Y19" s="3406"/>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406"/>
      <c r="Q20" s="635"/>
      <c r="R20" s="603"/>
      <c r="S20" s="604"/>
      <c r="T20" s="603"/>
      <c r="U20" s="604"/>
      <c r="V20" s="603"/>
      <c r="W20" s="604"/>
      <c r="X20" s="1201"/>
      <c r="Y20" s="3406"/>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406"/>
      <c r="Q21" s="635" t="str">
        <f>B21</f>
        <v>基础设施水平</v>
      </c>
      <c r="R21" s="603" t="s">
        <v>25</v>
      </c>
      <c r="S21" s="604">
        <f>F21</f>
        <v>100</v>
      </c>
      <c r="T21" s="603" t="s">
        <v>25</v>
      </c>
      <c r="U21" s="604">
        <f>H21</f>
        <v>100</v>
      </c>
      <c r="V21" s="603" t="s">
        <v>25</v>
      </c>
      <c r="W21" s="604">
        <f>J21</f>
        <v>100</v>
      </c>
      <c r="X21" s="1201"/>
      <c r="Y21" s="3406"/>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406"/>
      <c r="Q22" s="635"/>
      <c r="R22" s="603"/>
      <c r="S22" s="604"/>
      <c r="T22" s="603"/>
      <c r="U22" s="604"/>
      <c r="V22" s="603"/>
      <c r="W22" s="604"/>
      <c r="X22" s="1201"/>
      <c r="Y22" s="3406"/>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406"/>
      <c r="Q23" s="635" t="str">
        <f>B23</f>
        <v>环境质量</v>
      </c>
      <c r="R23" s="603" t="s">
        <v>25</v>
      </c>
      <c r="S23" s="604">
        <f>F23</f>
        <v>100</v>
      </c>
      <c r="T23" s="603" t="s">
        <v>25</v>
      </c>
      <c r="U23" s="604">
        <f>H23</f>
        <v>100</v>
      </c>
      <c r="V23" s="603" t="s">
        <v>25</v>
      </c>
      <c r="W23" s="604">
        <f>J23</f>
        <v>100</v>
      </c>
      <c r="X23" s="1201"/>
      <c r="Y23" s="3406"/>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406"/>
      <c r="Q24" s="635"/>
      <c r="R24" s="603"/>
      <c r="S24" s="604"/>
      <c r="T24" s="603"/>
      <c r="U24" s="604"/>
      <c r="V24" s="603"/>
      <c r="W24" s="604"/>
      <c r="X24" s="1201"/>
      <c r="Y24" s="3406"/>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406"/>
      <c r="Q25" s="635">
        <f>B25</f>
        <v>111</v>
      </c>
      <c r="R25" s="603" t="s">
        <v>25</v>
      </c>
      <c r="S25" s="604">
        <f>F25</f>
        <v>100</v>
      </c>
      <c r="T25" s="603" t="s">
        <v>25</v>
      </c>
      <c r="U25" s="604">
        <f>H25</f>
        <v>100</v>
      </c>
      <c r="V25" s="603" t="s">
        <v>25</v>
      </c>
      <c r="W25" s="604">
        <f>J25</f>
        <v>100</v>
      </c>
      <c r="X25" s="1201"/>
      <c r="Y25" s="3406"/>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406"/>
      <c r="Q26" s="635">
        <f t="shared" ref="Q26:Q40" si="11">B26</f>
        <v>111</v>
      </c>
      <c r="R26" s="603" t="s">
        <v>25</v>
      </c>
      <c r="S26" s="604">
        <f>F26</f>
        <v>100</v>
      </c>
      <c r="T26" s="603" t="s">
        <v>25</v>
      </c>
      <c r="U26" s="604">
        <f>H26</f>
        <v>100</v>
      </c>
      <c r="V26" s="603" t="s">
        <v>25</v>
      </c>
      <c r="W26" s="604">
        <f>J26</f>
        <v>100</v>
      </c>
      <c r="X26" s="1201"/>
      <c r="Y26" s="3406"/>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406"/>
      <c r="Q27" s="477">
        <f t="shared" si="11"/>
        <v>111</v>
      </c>
      <c r="R27" s="600" t="s">
        <v>25</v>
      </c>
      <c r="S27" s="601">
        <f>F27</f>
        <v>100</v>
      </c>
      <c r="T27" s="600" t="s">
        <v>25</v>
      </c>
      <c r="U27" s="601">
        <f>H27</f>
        <v>100</v>
      </c>
      <c r="V27" s="600" t="s">
        <v>25</v>
      </c>
      <c r="W27" s="601">
        <f>J27</f>
        <v>100</v>
      </c>
      <c r="X27" s="602"/>
      <c r="Y27" s="3406"/>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406"/>
      <c r="Q28" s="635">
        <f t="shared" si="11"/>
        <v>111</v>
      </c>
      <c r="R28" s="603" t="s">
        <v>25</v>
      </c>
      <c r="S28" s="604">
        <f t="shared" ref="S28:S40" si="12">F28</f>
        <v>100</v>
      </c>
      <c r="T28" s="603" t="s">
        <v>25</v>
      </c>
      <c r="U28" s="604">
        <f t="shared" ref="U28:U40" si="13">H28</f>
        <v>100</v>
      </c>
      <c r="V28" s="603" t="s">
        <v>25</v>
      </c>
      <c r="W28" s="604">
        <f t="shared" ref="W28:W40" si="14">J28</f>
        <v>100</v>
      </c>
      <c r="X28" s="1201"/>
      <c r="Y28" s="3406"/>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408" t="s">
        <v>2036</v>
      </c>
      <c r="Q29" s="635" t="str">
        <f t="shared" si="11"/>
        <v>建筑类型</v>
      </c>
      <c r="R29" s="603" t="s">
        <v>25</v>
      </c>
      <c r="S29" s="604">
        <f t="shared" si="12"/>
        <v>100</v>
      </c>
      <c r="T29" s="603" t="s">
        <v>25</v>
      </c>
      <c r="U29" s="604">
        <f t="shared" si="13"/>
        <v>100</v>
      </c>
      <c r="V29" s="603" t="s">
        <v>25</v>
      </c>
      <c r="W29" s="604">
        <f t="shared" si="14"/>
        <v>100</v>
      </c>
      <c r="X29" s="1201"/>
      <c r="Y29" s="3409"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409"/>
      <c r="Q30" s="605" t="str">
        <f t="shared" si="11"/>
        <v>项目建筑规模</v>
      </c>
      <c r="R30" s="606" t="s">
        <v>25</v>
      </c>
      <c r="S30" s="607" t="e">
        <f t="shared" si="12"/>
        <v>#N/A</v>
      </c>
      <c r="T30" s="606" t="s">
        <v>25</v>
      </c>
      <c r="U30" s="607" t="e">
        <f t="shared" si="13"/>
        <v>#N/A</v>
      </c>
      <c r="V30" s="606" t="s">
        <v>25</v>
      </c>
      <c r="W30" s="607" t="e">
        <f t="shared" si="14"/>
        <v>#N/A</v>
      </c>
      <c r="X30" s="608"/>
      <c r="Y30" s="3409"/>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409"/>
      <c r="Q31" s="635" t="str">
        <f t="shared" si="11"/>
        <v>建筑结构</v>
      </c>
      <c r="R31" s="603" t="s">
        <v>25</v>
      </c>
      <c r="S31" s="604">
        <f t="shared" si="12"/>
        <v>100</v>
      </c>
      <c r="T31" s="603" t="s">
        <v>25</v>
      </c>
      <c r="U31" s="604">
        <f t="shared" si="13"/>
        <v>100</v>
      </c>
      <c r="V31" s="603" t="s">
        <v>25</v>
      </c>
      <c r="W31" s="604">
        <f t="shared" si="14"/>
        <v>100</v>
      </c>
      <c r="X31" s="1201"/>
      <c r="Y31" s="3409"/>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409"/>
      <c r="Q32" s="635" t="str">
        <f t="shared" si="11"/>
        <v>公共部分装修</v>
      </c>
      <c r="R32" s="603" t="s">
        <v>25</v>
      </c>
      <c r="S32" s="604">
        <f t="shared" si="12"/>
        <v>100</v>
      </c>
      <c r="T32" s="603" t="s">
        <v>25</v>
      </c>
      <c r="U32" s="604">
        <f t="shared" si="13"/>
        <v>100</v>
      </c>
      <c r="V32" s="603" t="s">
        <v>25</v>
      </c>
      <c r="W32" s="604">
        <f t="shared" si="14"/>
        <v>100</v>
      </c>
      <c r="X32" s="1201"/>
      <c r="Y32" s="3409"/>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409"/>
      <c r="Q33" s="635" t="str">
        <f t="shared" si="11"/>
        <v>成新度</v>
      </c>
      <c r="R33" s="603" t="s">
        <v>25</v>
      </c>
      <c r="S33" s="604" t="e">
        <f t="shared" si="12"/>
        <v>#N/A</v>
      </c>
      <c r="T33" s="603" t="s">
        <v>25</v>
      </c>
      <c r="U33" s="604" t="e">
        <f t="shared" si="13"/>
        <v>#N/A</v>
      </c>
      <c r="V33" s="603" t="s">
        <v>25</v>
      </c>
      <c r="W33" s="604" t="e">
        <f t="shared" si="14"/>
        <v>#N/A</v>
      </c>
      <c r="X33" s="1201"/>
      <c r="Y33" s="3409"/>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409"/>
      <c r="Q34" s="477" t="str">
        <f t="shared" si="11"/>
        <v>物业管理</v>
      </c>
      <c r="R34" s="600" t="s">
        <v>25</v>
      </c>
      <c r="S34" s="601">
        <f t="shared" si="12"/>
        <v>100</v>
      </c>
      <c r="T34" s="600" t="s">
        <v>25</v>
      </c>
      <c r="U34" s="601">
        <f t="shared" si="13"/>
        <v>100</v>
      </c>
      <c r="V34" s="600" t="s">
        <v>25</v>
      </c>
      <c r="W34" s="601">
        <f t="shared" si="14"/>
        <v>100</v>
      </c>
      <c r="X34" s="602"/>
      <c r="Y34" s="3409"/>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409" t="s">
        <v>2036</v>
      </c>
      <c r="Q35" s="635" t="str">
        <f t="shared" si="11"/>
        <v>市政基础设施</v>
      </c>
      <c r="R35" s="603" t="s">
        <v>25</v>
      </c>
      <c r="S35" s="604">
        <f t="shared" si="12"/>
        <v>100</v>
      </c>
      <c r="T35" s="603" t="s">
        <v>25</v>
      </c>
      <c r="U35" s="604">
        <f t="shared" si="13"/>
        <v>100</v>
      </c>
      <c r="V35" s="603" t="s">
        <v>25</v>
      </c>
      <c r="W35" s="604">
        <f t="shared" si="14"/>
        <v>100</v>
      </c>
      <c r="X35" s="1201"/>
      <c r="Y35" s="3409"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409"/>
      <c r="Q36" s="635" t="str">
        <f t="shared" si="11"/>
        <v>内部装修</v>
      </c>
      <c r="R36" s="603" t="s">
        <v>25</v>
      </c>
      <c r="S36" s="604">
        <f t="shared" si="12"/>
        <v>100</v>
      </c>
      <c r="T36" s="603" t="s">
        <v>25</v>
      </c>
      <c r="U36" s="604">
        <f t="shared" si="13"/>
        <v>100</v>
      </c>
      <c r="V36" s="603" t="s">
        <v>25</v>
      </c>
      <c r="W36" s="604">
        <f t="shared" si="14"/>
        <v>100</v>
      </c>
      <c r="X36" s="1201"/>
      <c r="Y36" s="3409"/>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409"/>
      <c r="Q37" s="635" t="str">
        <f t="shared" si="11"/>
        <v>内部装修状况</v>
      </c>
      <c r="R37" s="603" t="s">
        <v>25</v>
      </c>
      <c r="S37" s="604">
        <f t="shared" si="12"/>
        <v>100</v>
      </c>
      <c r="T37" s="603" t="s">
        <v>25</v>
      </c>
      <c r="U37" s="604">
        <f t="shared" si="13"/>
        <v>100</v>
      </c>
      <c r="V37" s="603" t="s">
        <v>25</v>
      </c>
      <c r="W37" s="604">
        <f t="shared" si="14"/>
        <v>100</v>
      </c>
      <c r="X37" s="1201"/>
      <c r="Y37" s="3409"/>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409"/>
      <c r="Q38" s="605">
        <f t="shared" si="11"/>
        <v>111</v>
      </c>
      <c r="R38" s="606" t="s">
        <v>25</v>
      </c>
      <c r="S38" s="607">
        <f t="shared" si="12"/>
        <v>100</v>
      </c>
      <c r="T38" s="606" t="s">
        <v>25</v>
      </c>
      <c r="U38" s="607">
        <f t="shared" si="13"/>
        <v>100</v>
      </c>
      <c r="V38" s="606" t="s">
        <v>25</v>
      </c>
      <c r="W38" s="607">
        <f t="shared" si="14"/>
        <v>100</v>
      </c>
      <c r="X38" s="608"/>
      <c r="Y38" s="3409"/>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409"/>
      <c r="Q39" s="635">
        <f t="shared" si="11"/>
        <v>111</v>
      </c>
      <c r="R39" s="603" t="s">
        <v>25</v>
      </c>
      <c r="S39" s="604">
        <f t="shared" si="12"/>
        <v>100</v>
      </c>
      <c r="T39" s="603" t="s">
        <v>25</v>
      </c>
      <c r="U39" s="604">
        <f t="shared" si="13"/>
        <v>100</v>
      </c>
      <c r="V39" s="603" t="s">
        <v>25</v>
      </c>
      <c r="W39" s="604">
        <f t="shared" si="14"/>
        <v>100</v>
      </c>
      <c r="X39" s="1201"/>
      <c r="Y39" s="3409"/>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410"/>
      <c r="Q40" s="635">
        <f t="shared" si="11"/>
        <v>111</v>
      </c>
      <c r="R40" s="603" t="s">
        <v>25</v>
      </c>
      <c r="S40" s="604">
        <f t="shared" si="12"/>
        <v>100</v>
      </c>
      <c r="T40" s="603" t="s">
        <v>25</v>
      </c>
      <c r="U40" s="604">
        <f t="shared" si="13"/>
        <v>100</v>
      </c>
      <c r="V40" s="603" t="s">
        <v>25</v>
      </c>
      <c r="W40" s="604">
        <f t="shared" si="14"/>
        <v>100</v>
      </c>
      <c r="X40" s="1201"/>
      <c r="Y40" s="3410"/>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77" t="str">
        <f>A41</f>
        <v>成交单价（元/平方米）</v>
      </c>
      <c r="Q41" s="3377"/>
      <c r="R41" s="3401">
        <f>E41</f>
        <v>0</v>
      </c>
      <c r="S41" s="3401"/>
      <c r="T41" s="3401">
        <f>G41</f>
        <v>0</v>
      </c>
      <c r="U41" s="3401"/>
      <c r="V41" s="3401">
        <f>I41</f>
        <v>0</v>
      </c>
      <c r="W41" s="3401"/>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77" t="str">
        <f>A42</f>
        <v>比较价值（元/平方米）</v>
      </c>
      <c r="Q42" s="3377"/>
      <c r="R42" s="3401" t="e">
        <f>IF(E1="售价",ROUND(PRODUCT(R41,AA7:AA40),0),ROUND(PRODUCT(R41,AA7:AA40),1))</f>
        <v>#DIV/0!</v>
      </c>
      <c r="S42" s="3401"/>
      <c r="T42" s="3401" t="e">
        <f>IF(E1="售价",ROUND(PRODUCT(T41,AB7:AB40),0),ROUND(PRODUCT(T41,AB7:AB40),1))</f>
        <v>#DIV/0!</v>
      </c>
      <c r="U42" s="3401"/>
      <c r="V42" s="3401" t="e">
        <f>IF(E1="售价",ROUND(PRODUCT(V41,AC7:AC40),0),ROUND(PRODUCT(V41,AC7:AC40),1))</f>
        <v>#DIV/0!</v>
      </c>
      <c r="W42" s="3401"/>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411" t="str">
        <f>A43</f>
        <v>估价对象XX用房的比较价值（楼面单价，元/平方米）</v>
      </c>
      <c r="Q43" s="3412"/>
      <c r="R43" s="3413" t="e">
        <f>IF(E1="售价",ROUND(IF(D42="简单平均",AVERAGE(R42:V42),R42*F42+T42*H42+V42*J42),0),ROUND(IF(D42="简单平均",AVERAGE(R42:V42),R42*F42+T42*H42+V42*J42),1))</f>
        <v>#DIV/0!</v>
      </c>
      <c r="S43" s="3413"/>
      <c r="T43" s="3413"/>
      <c r="U43" s="3413"/>
      <c r="V43" s="3413"/>
      <c r="W43" s="3413"/>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2022-11</v>
      </c>
      <c r="D52" s="1061">
        <f>EDATE(C52,-1)</f>
        <v>44835</v>
      </c>
      <c r="E52" s="1062">
        <f t="shared" ref="E52:O52" si="16">EDATE(D52,-1)</f>
        <v>44805</v>
      </c>
      <c r="F52" s="1062">
        <f t="shared" si="16"/>
        <v>44774</v>
      </c>
      <c r="G52" s="1062">
        <f t="shared" si="16"/>
        <v>44743</v>
      </c>
      <c r="H52" s="1062">
        <f t="shared" si="16"/>
        <v>44713</v>
      </c>
      <c r="I52" s="1062">
        <f t="shared" si="16"/>
        <v>44682</v>
      </c>
      <c r="J52" s="1062">
        <f t="shared" si="16"/>
        <v>44652</v>
      </c>
      <c r="K52" s="1062">
        <f t="shared" si="16"/>
        <v>44621</v>
      </c>
      <c r="L52" s="1062">
        <f t="shared" si="16"/>
        <v>44593</v>
      </c>
      <c r="M52" s="1062">
        <f t="shared" si="16"/>
        <v>44562</v>
      </c>
      <c r="N52" s="1062">
        <f t="shared" si="16"/>
        <v>44531</v>
      </c>
      <c r="O52" s="1062">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440.01</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5" t="s">
        <v>2006</v>
      </c>
      <c r="D4" s="3386"/>
      <c r="E4" s="3387" t="s">
        <v>2007</v>
      </c>
      <c r="F4" s="3388"/>
      <c r="G4" s="3385" t="s">
        <v>2008</v>
      </c>
      <c r="H4" s="3386"/>
      <c r="I4" s="3385" t="s">
        <v>2009</v>
      </c>
      <c r="J4" s="3386"/>
      <c r="K4" s="482" t="s">
        <v>2010</v>
      </c>
      <c r="L4" s="2715"/>
      <c r="P4" s="3389" t="s">
        <v>2011</v>
      </c>
      <c r="Q4" s="3390"/>
      <c r="R4" s="3395" t="s">
        <v>2007</v>
      </c>
      <c r="S4" s="3396"/>
      <c r="T4" s="3395" t="s">
        <v>2008</v>
      </c>
      <c r="U4" s="3396"/>
      <c r="V4" s="3401" t="s">
        <v>2009</v>
      </c>
      <c r="W4" s="3401"/>
      <c r="X4" s="1201"/>
      <c r="Y4" s="3395" t="s">
        <v>2011</v>
      </c>
      <c r="Z4" s="3396"/>
      <c r="AA4" s="3382" t="s">
        <v>2007</v>
      </c>
      <c r="AB4" s="3383" t="s">
        <v>2008</v>
      </c>
      <c r="AC4" s="3382" t="s">
        <v>2009</v>
      </c>
    </row>
    <row r="5" spans="1:29">
      <c r="A5" s="293"/>
      <c r="B5" s="294"/>
      <c r="C5" s="3378" t="s">
        <v>2012</v>
      </c>
      <c r="D5" s="3379"/>
      <c r="E5" s="3402" t="s">
        <v>2013</v>
      </c>
      <c r="F5" s="3403"/>
      <c r="G5" s="3378" t="s">
        <v>2014</v>
      </c>
      <c r="H5" s="3379"/>
      <c r="I5" s="3378" t="s">
        <v>2015</v>
      </c>
      <c r="J5" s="3379"/>
      <c r="K5" s="482"/>
      <c r="L5" s="2715"/>
      <c r="P5" s="3391"/>
      <c r="Q5" s="3392"/>
      <c r="R5" s="3397"/>
      <c r="S5" s="3398"/>
      <c r="T5" s="3397"/>
      <c r="U5" s="3398"/>
      <c r="V5" s="3401"/>
      <c r="W5" s="3401"/>
      <c r="X5" s="1201"/>
      <c r="Y5" s="3397"/>
      <c r="Z5" s="3398"/>
      <c r="AA5" s="3383"/>
      <c r="AB5" s="3383"/>
      <c r="AC5" s="3383"/>
    </row>
    <row r="6" spans="1:29" ht="15" thickBot="1">
      <c r="A6" s="295"/>
      <c r="B6" s="296"/>
      <c r="C6" s="3375" t="s">
        <v>2016</v>
      </c>
      <c r="D6" s="3376"/>
      <c r="E6" s="3373" t="s">
        <v>2016</v>
      </c>
      <c r="F6" s="3374"/>
      <c r="G6" s="3375" t="s">
        <v>2016</v>
      </c>
      <c r="H6" s="3376"/>
      <c r="I6" s="3375" t="s">
        <v>2016</v>
      </c>
      <c r="J6" s="3376"/>
      <c r="K6" s="482" t="s">
        <v>2017</v>
      </c>
      <c r="L6" s="2715"/>
      <c r="P6" s="3393"/>
      <c r="Q6" s="3394"/>
      <c r="R6" s="3397"/>
      <c r="S6" s="3398"/>
      <c r="T6" s="3399"/>
      <c r="U6" s="3400"/>
      <c r="V6" s="3401"/>
      <c r="W6" s="3401"/>
      <c r="X6" s="1201"/>
      <c r="Y6" s="3399"/>
      <c r="Z6" s="3400"/>
      <c r="AA6" s="3384"/>
      <c r="AB6" s="3384"/>
      <c r="AC6" s="3384"/>
    </row>
    <row r="7" spans="1:29" s="24" customFormat="1" ht="15" thickBot="1">
      <c r="A7" s="297" t="s">
        <v>2018</v>
      </c>
      <c r="B7" s="298"/>
      <c r="C7" s="299">
        <f>'数据-取费表'!B2</f>
        <v>44883</v>
      </c>
      <c r="D7" s="300">
        <v>100</v>
      </c>
      <c r="E7" s="301"/>
      <c r="F7" s="302">
        <f>SUMIF(48:48,YEAR(E7)&amp;"-"&amp;MONTH(E7),49:49)</f>
        <v>0</v>
      </c>
      <c r="G7" s="301"/>
      <c r="H7" s="300">
        <f>SUMIF(48:48,YEAR(G7)&amp;"-"&amp;MONTH(G7),49:49)</f>
        <v>0</v>
      </c>
      <c r="I7" s="301"/>
      <c r="J7" s="300">
        <f>SUMIF(48:48,YEAR(I7)&amp;"-"&amp;MONTH(I7),49:49)</f>
        <v>0</v>
      </c>
      <c r="K7" s="483"/>
      <c r="L7" s="2716"/>
      <c r="P7" s="3380" t="s">
        <v>2019</v>
      </c>
      <c r="Q7" s="3404"/>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77" t="s">
        <v>2025</v>
      </c>
      <c r="Q9" s="477" t="str">
        <f t="shared" ref="Q9:Q14" si="6">B9</f>
        <v>用途</v>
      </c>
      <c r="R9" s="600" t="s">
        <v>25</v>
      </c>
      <c r="S9" s="601">
        <f t="shared" si="0"/>
        <v>100</v>
      </c>
      <c r="T9" s="600" t="s">
        <v>25</v>
      </c>
      <c r="U9" s="601">
        <f t="shared" si="1"/>
        <v>100</v>
      </c>
      <c r="V9" s="600" t="s">
        <v>25</v>
      </c>
      <c r="W9" s="601">
        <f t="shared" si="2"/>
        <v>100</v>
      </c>
      <c r="X9" s="602"/>
      <c r="Y9" s="3407"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77"/>
      <c r="Q10" s="477" t="str">
        <f t="shared" si="6"/>
        <v>土地使用年限（年）</v>
      </c>
      <c r="R10" s="600" t="s">
        <v>25</v>
      </c>
      <c r="S10" s="601">
        <f t="shared" si="0"/>
        <v>100</v>
      </c>
      <c r="T10" s="600" t="s">
        <v>25</v>
      </c>
      <c r="U10" s="601">
        <f t="shared" si="1"/>
        <v>100</v>
      </c>
      <c r="V10" s="600" t="s">
        <v>25</v>
      </c>
      <c r="W10" s="601">
        <f t="shared" si="2"/>
        <v>100</v>
      </c>
      <c r="X10" s="602"/>
      <c r="Y10" s="3407"/>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77"/>
      <c r="Q11" s="477">
        <f t="shared" si="6"/>
        <v>111</v>
      </c>
      <c r="R11" s="600" t="s">
        <v>25</v>
      </c>
      <c r="S11" s="601">
        <f t="shared" si="0"/>
        <v>100</v>
      </c>
      <c r="T11" s="600" t="s">
        <v>25</v>
      </c>
      <c r="U11" s="601">
        <f t="shared" si="1"/>
        <v>100</v>
      </c>
      <c r="V11" s="600" t="s">
        <v>25</v>
      </c>
      <c r="W11" s="601">
        <f t="shared" si="2"/>
        <v>100</v>
      </c>
      <c r="X11" s="602"/>
      <c r="Y11" s="3407"/>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77"/>
      <c r="Q12" s="477">
        <f t="shared" si="6"/>
        <v>111</v>
      </c>
      <c r="R12" s="600" t="s">
        <v>25</v>
      </c>
      <c r="S12" s="601">
        <f t="shared" si="0"/>
        <v>100</v>
      </c>
      <c r="T12" s="600" t="s">
        <v>25</v>
      </c>
      <c r="U12" s="601">
        <f t="shared" si="1"/>
        <v>100</v>
      </c>
      <c r="V12" s="600" t="s">
        <v>25</v>
      </c>
      <c r="W12" s="601">
        <f t="shared" si="2"/>
        <v>100</v>
      </c>
      <c r="X12" s="602"/>
      <c r="Y12" s="3407"/>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77"/>
      <c r="Q13" s="477">
        <f t="shared" si="6"/>
        <v>111</v>
      </c>
      <c r="R13" s="600" t="s">
        <v>25</v>
      </c>
      <c r="S13" s="601">
        <f t="shared" si="0"/>
        <v>100</v>
      </c>
      <c r="T13" s="600" t="s">
        <v>25</v>
      </c>
      <c r="U13" s="601">
        <f t="shared" si="1"/>
        <v>100</v>
      </c>
      <c r="V13" s="600" t="s">
        <v>25</v>
      </c>
      <c r="W13" s="601">
        <f t="shared" si="2"/>
        <v>100</v>
      </c>
      <c r="X13" s="602"/>
      <c r="Y13" s="3407"/>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405" t="s">
        <v>2030</v>
      </c>
      <c r="Q14" s="635" t="str">
        <f t="shared" si="6"/>
        <v>交通便捷度</v>
      </c>
      <c r="R14" s="603" t="s">
        <v>25</v>
      </c>
      <c r="S14" s="604">
        <f t="shared" si="0"/>
        <v>100</v>
      </c>
      <c r="T14" s="603" t="s">
        <v>25</v>
      </c>
      <c r="U14" s="604">
        <f t="shared" si="1"/>
        <v>100</v>
      </c>
      <c r="V14" s="603" t="s">
        <v>25</v>
      </c>
      <c r="W14" s="604">
        <f t="shared" si="2"/>
        <v>100</v>
      </c>
      <c r="X14" s="1201"/>
      <c r="Y14" s="3405"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406"/>
      <c r="Q15" s="635"/>
      <c r="R15" s="603"/>
      <c r="S15" s="604"/>
      <c r="T15" s="603"/>
      <c r="U15" s="604"/>
      <c r="V15" s="603"/>
      <c r="W15" s="604"/>
      <c r="X15" s="1201"/>
      <c r="Y15" s="3406"/>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406"/>
      <c r="Q16" s="635" t="str">
        <f>B16</f>
        <v>公共配套设施</v>
      </c>
      <c r="R16" s="603" t="s">
        <v>25</v>
      </c>
      <c r="S16" s="604">
        <f>F16</f>
        <v>100</v>
      </c>
      <c r="T16" s="603" t="s">
        <v>25</v>
      </c>
      <c r="U16" s="604">
        <f>H16</f>
        <v>100</v>
      </c>
      <c r="V16" s="603" t="s">
        <v>25</v>
      </c>
      <c r="W16" s="604">
        <f>J16</f>
        <v>100</v>
      </c>
      <c r="X16" s="1201"/>
      <c r="Y16" s="3406"/>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406"/>
      <c r="Q17" s="635"/>
      <c r="R17" s="603"/>
      <c r="S17" s="604"/>
      <c r="T17" s="603"/>
      <c r="U17" s="604"/>
      <c r="V17" s="603"/>
      <c r="W17" s="604"/>
      <c r="X17" s="1201"/>
      <c r="Y17" s="3406"/>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406"/>
      <c r="Q18" s="635" t="str">
        <f>B18</f>
        <v>基础设施水平</v>
      </c>
      <c r="R18" s="603" t="s">
        <v>25</v>
      </c>
      <c r="S18" s="604">
        <f>F18</f>
        <v>100</v>
      </c>
      <c r="T18" s="603" t="s">
        <v>25</v>
      </c>
      <c r="U18" s="604">
        <f>H18</f>
        <v>100</v>
      </c>
      <c r="V18" s="603" t="s">
        <v>25</v>
      </c>
      <c r="W18" s="604">
        <f>J18</f>
        <v>100</v>
      </c>
      <c r="X18" s="1201"/>
      <c r="Y18" s="3406"/>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406"/>
      <c r="Q19" s="635"/>
      <c r="R19" s="603"/>
      <c r="S19" s="604"/>
      <c r="T19" s="603"/>
      <c r="U19" s="604"/>
      <c r="V19" s="603"/>
      <c r="W19" s="604"/>
      <c r="X19" s="1201"/>
      <c r="Y19" s="3406"/>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406"/>
      <c r="Q20" s="635" t="str">
        <f>B20</f>
        <v>自然及人文环境</v>
      </c>
      <c r="R20" s="603" t="s">
        <v>25</v>
      </c>
      <c r="S20" s="604">
        <f>F20</f>
        <v>100</v>
      </c>
      <c r="T20" s="603" t="s">
        <v>25</v>
      </c>
      <c r="U20" s="604">
        <f>H20</f>
        <v>100</v>
      </c>
      <c r="V20" s="603" t="s">
        <v>25</v>
      </c>
      <c r="W20" s="604">
        <f>J20</f>
        <v>100</v>
      </c>
      <c r="X20" s="1201"/>
      <c r="Y20" s="3406"/>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406"/>
      <c r="Q21" s="635"/>
      <c r="R21" s="603"/>
      <c r="S21" s="604"/>
      <c r="T21" s="603"/>
      <c r="U21" s="604"/>
      <c r="V21" s="603"/>
      <c r="W21" s="604"/>
      <c r="X21" s="1201"/>
      <c r="Y21" s="3406"/>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406"/>
      <c r="Q22" s="635" t="str">
        <f>B22</f>
        <v>楼层</v>
      </c>
      <c r="R22" s="603" t="s">
        <v>25</v>
      </c>
      <c r="S22" s="604">
        <f>F22</f>
        <v>100</v>
      </c>
      <c r="T22" s="603" t="s">
        <v>25</v>
      </c>
      <c r="U22" s="604">
        <f>H22</f>
        <v>100</v>
      </c>
      <c r="V22" s="603" t="s">
        <v>25</v>
      </c>
      <c r="W22" s="604">
        <f>J22</f>
        <v>100</v>
      </c>
      <c r="X22" s="1201"/>
      <c r="Y22" s="3406"/>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406"/>
      <c r="Q23" s="635">
        <f>B23</f>
        <v>111</v>
      </c>
      <c r="R23" s="603" t="s">
        <v>25</v>
      </c>
      <c r="S23" s="604">
        <f>F23</f>
        <v>100</v>
      </c>
      <c r="T23" s="603" t="s">
        <v>25</v>
      </c>
      <c r="U23" s="604">
        <f>H23</f>
        <v>100</v>
      </c>
      <c r="V23" s="603" t="s">
        <v>25</v>
      </c>
      <c r="W23" s="604">
        <f>J23</f>
        <v>100</v>
      </c>
      <c r="X23" s="1201"/>
      <c r="Y23" s="3406"/>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406"/>
      <c r="Q24" s="635">
        <f t="shared" ref="Q24:Q36" si="11">B24</f>
        <v>111</v>
      </c>
      <c r="R24" s="603" t="s">
        <v>25</v>
      </c>
      <c r="S24" s="604">
        <f>F24</f>
        <v>100</v>
      </c>
      <c r="T24" s="603" t="s">
        <v>25</v>
      </c>
      <c r="U24" s="604">
        <f>H24</f>
        <v>100</v>
      </c>
      <c r="V24" s="603" t="s">
        <v>25</v>
      </c>
      <c r="W24" s="604">
        <f>J24</f>
        <v>100</v>
      </c>
      <c r="X24" s="1201"/>
      <c r="Y24" s="3406"/>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406"/>
      <c r="Q25" s="477">
        <f t="shared" si="11"/>
        <v>111</v>
      </c>
      <c r="R25" s="600" t="s">
        <v>25</v>
      </c>
      <c r="S25" s="601">
        <f>F25</f>
        <v>100</v>
      </c>
      <c r="T25" s="600" t="s">
        <v>25</v>
      </c>
      <c r="U25" s="601">
        <f>H25</f>
        <v>100</v>
      </c>
      <c r="V25" s="600" t="s">
        <v>25</v>
      </c>
      <c r="W25" s="601">
        <f>J25</f>
        <v>100</v>
      </c>
      <c r="X25" s="602"/>
      <c r="Y25" s="3406"/>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408"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9"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409"/>
      <c r="Q27" s="605" t="str">
        <f t="shared" si="11"/>
        <v>项目停车位配比</v>
      </c>
      <c r="R27" s="606" t="s">
        <v>25</v>
      </c>
      <c r="S27" s="607">
        <f t="shared" si="12"/>
        <v>100</v>
      </c>
      <c r="T27" s="606" t="s">
        <v>25</v>
      </c>
      <c r="U27" s="607">
        <f t="shared" si="13"/>
        <v>100</v>
      </c>
      <c r="V27" s="606" t="s">
        <v>25</v>
      </c>
      <c r="W27" s="607">
        <f t="shared" si="14"/>
        <v>100</v>
      </c>
      <c r="X27" s="608"/>
      <c r="Y27" s="3409"/>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409"/>
      <c r="Q28" s="635" t="str">
        <f t="shared" si="11"/>
        <v>公共部分装修</v>
      </c>
      <c r="R28" s="603" t="s">
        <v>25</v>
      </c>
      <c r="S28" s="604">
        <f t="shared" si="12"/>
        <v>100</v>
      </c>
      <c r="T28" s="603" t="s">
        <v>25</v>
      </c>
      <c r="U28" s="604">
        <f t="shared" si="13"/>
        <v>100</v>
      </c>
      <c r="V28" s="603" t="s">
        <v>25</v>
      </c>
      <c r="W28" s="604">
        <f t="shared" si="14"/>
        <v>100</v>
      </c>
      <c r="X28" s="1201"/>
      <c r="Y28" s="3409"/>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409"/>
      <c r="Q29" s="635" t="str">
        <f t="shared" si="11"/>
        <v>成新率</v>
      </c>
      <c r="R29" s="603" t="s">
        <v>25</v>
      </c>
      <c r="S29" s="604" t="e">
        <f t="shared" si="12"/>
        <v>#N/A</v>
      </c>
      <c r="T29" s="603" t="s">
        <v>25</v>
      </c>
      <c r="U29" s="604" t="e">
        <f t="shared" si="13"/>
        <v>#N/A</v>
      </c>
      <c r="V29" s="603" t="s">
        <v>25</v>
      </c>
      <c r="W29" s="604" t="e">
        <f t="shared" si="14"/>
        <v>#N/A</v>
      </c>
      <c r="X29" s="1201"/>
      <c r="Y29" s="3409"/>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409"/>
      <c r="Q30" s="635" t="str">
        <f t="shared" si="11"/>
        <v>物业等级</v>
      </c>
      <c r="R30" s="603" t="s">
        <v>25</v>
      </c>
      <c r="S30" s="604">
        <f t="shared" si="12"/>
        <v>100</v>
      </c>
      <c r="T30" s="603" t="s">
        <v>25</v>
      </c>
      <c r="U30" s="604">
        <f t="shared" si="13"/>
        <v>100</v>
      </c>
      <c r="V30" s="603" t="s">
        <v>25</v>
      </c>
      <c r="W30" s="604">
        <f t="shared" si="14"/>
        <v>100</v>
      </c>
      <c r="X30" s="1201"/>
      <c r="Y30" s="3409"/>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409"/>
      <c r="Q31" s="477" t="str">
        <f t="shared" si="11"/>
        <v>停车位面积</v>
      </c>
      <c r="R31" s="600" t="s">
        <v>25</v>
      </c>
      <c r="S31" s="601" t="e">
        <f t="shared" si="12"/>
        <v>#N/A</v>
      </c>
      <c r="T31" s="600" t="s">
        <v>25</v>
      </c>
      <c r="U31" s="601" t="e">
        <f t="shared" si="13"/>
        <v>#N/A</v>
      </c>
      <c r="V31" s="600" t="s">
        <v>25</v>
      </c>
      <c r="W31" s="601" t="e">
        <f t="shared" si="14"/>
        <v>#N/A</v>
      </c>
      <c r="X31" s="602"/>
      <c r="Y31" s="3409"/>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409" t="s">
        <v>2036</v>
      </c>
      <c r="Q32" s="635" t="str">
        <f t="shared" si="11"/>
        <v>车位类型</v>
      </c>
      <c r="R32" s="603" t="s">
        <v>25</v>
      </c>
      <c r="S32" s="604">
        <f t="shared" si="12"/>
        <v>100</v>
      </c>
      <c r="T32" s="603" t="s">
        <v>25</v>
      </c>
      <c r="U32" s="604">
        <f t="shared" si="13"/>
        <v>100</v>
      </c>
      <c r="V32" s="603" t="s">
        <v>25</v>
      </c>
      <c r="W32" s="604">
        <f t="shared" si="14"/>
        <v>100</v>
      </c>
      <c r="X32" s="1201"/>
      <c r="Y32" s="3409"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409"/>
      <c r="Q33" s="635" t="str">
        <f t="shared" si="11"/>
        <v>是否直接入户</v>
      </c>
      <c r="R33" s="603" t="s">
        <v>25</v>
      </c>
      <c r="S33" s="604">
        <f t="shared" si="12"/>
        <v>100</v>
      </c>
      <c r="T33" s="603" t="s">
        <v>25</v>
      </c>
      <c r="U33" s="604">
        <f t="shared" si="13"/>
        <v>100</v>
      </c>
      <c r="V33" s="603" t="s">
        <v>25</v>
      </c>
      <c r="W33" s="604">
        <f t="shared" si="14"/>
        <v>100</v>
      </c>
      <c r="X33" s="1201"/>
      <c r="Y33" s="3409"/>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409"/>
      <c r="Q34" s="635">
        <f t="shared" si="11"/>
        <v>111</v>
      </c>
      <c r="R34" s="603" t="s">
        <v>25</v>
      </c>
      <c r="S34" s="604">
        <f t="shared" si="12"/>
        <v>100</v>
      </c>
      <c r="T34" s="603" t="s">
        <v>25</v>
      </c>
      <c r="U34" s="604">
        <f t="shared" si="13"/>
        <v>100</v>
      </c>
      <c r="V34" s="603" t="s">
        <v>25</v>
      </c>
      <c r="W34" s="604">
        <f t="shared" si="14"/>
        <v>100</v>
      </c>
      <c r="X34" s="1201"/>
      <c r="Y34" s="3409"/>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409"/>
      <c r="Q35" s="605">
        <f t="shared" si="11"/>
        <v>111</v>
      </c>
      <c r="R35" s="606" t="s">
        <v>25</v>
      </c>
      <c r="S35" s="607">
        <f t="shared" si="12"/>
        <v>100</v>
      </c>
      <c r="T35" s="606" t="s">
        <v>25</v>
      </c>
      <c r="U35" s="607">
        <f t="shared" si="13"/>
        <v>100</v>
      </c>
      <c r="V35" s="606" t="s">
        <v>25</v>
      </c>
      <c r="W35" s="607">
        <f t="shared" si="14"/>
        <v>100</v>
      </c>
      <c r="X35" s="608"/>
      <c r="Y35" s="3409"/>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409"/>
      <c r="Q36" s="635">
        <f t="shared" si="11"/>
        <v>111</v>
      </c>
      <c r="R36" s="603" t="s">
        <v>25</v>
      </c>
      <c r="S36" s="604">
        <f t="shared" si="12"/>
        <v>100</v>
      </c>
      <c r="T36" s="603" t="s">
        <v>25</v>
      </c>
      <c r="U36" s="604">
        <f t="shared" si="13"/>
        <v>100</v>
      </c>
      <c r="V36" s="603" t="s">
        <v>25</v>
      </c>
      <c r="W36" s="604">
        <f t="shared" si="14"/>
        <v>100</v>
      </c>
      <c r="X36" s="1201"/>
      <c r="Y36" s="3409"/>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77" t="str">
        <f>A37</f>
        <v>成交单价</v>
      </c>
      <c r="Q37" s="3377"/>
      <c r="R37" s="3401">
        <f>E37</f>
        <v>0</v>
      </c>
      <c r="S37" s="3401"/>
      <c r="T37" s="3401">
        <f>G37</f>
        <v>0</v>
      </c>
      <c r="U37" s="3401"/>
      <c r="V37" s="3401">
        <f>I37</f>
        <v>0</v>
      </c>
      <c r="W37" s="3401"/>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77" t="str">
        <f>A38</f>
        <v>比较价值</v>
      </c>
      <c r="Q38" s="3377"/>
      <c r="R38" s="3401" t="e">
        <f>IF(E1="售价",ROUND(PRODUCT(R37,AA7:AA36),0),ROUND(PRODUCT(R37,AA7:AA36),1))</f>
        <v>#DIV/0!</v>
      </c>
      <c r="S38" s="3401"/>
      <c r="T38" s="3401" t="e">
        <f>IF(E1="售价",ROUND(PRODUCT(T37,AB7:AB36),0),ROUND(PRODUCT(T37,AB7:AB36),1))</f>
        <v>#DIV/0!</v>
      </c>
      <c r="U38" s="3401"/>
      <c r="V38" s="3401" t="e">
        <f>IF(E1="售价",ROUND(PRODUCT(V37,AC7:AC36),0),ROUND(PRODUCT(V37,AC7:AC36),1))</f>
        <v>#DIV/0!</v>
      </c>
      <c r="W38" s="3401"/>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411" t="str">
        <f>A39</f>
        <v>估价对象XX用房的比较价值（楼面单价，元/平方米）</v>
      </c>
      <c r="Q39" s="3412"/>
      <c r="R39" s="3413" t="e">
        <f>IF(E1="售价",ROUND(IF(D38="简单平均",AVERAGE(R38:W38),R38*F38+T38*H38+V38*J38),0),ROUND(IF(D38="简单平均",AVERAGE(R38:V38),R38*F38+T38*H38+V38*J38),1))</f>
        <v>#DIV/0!</v>
      </c>
      <c r="S39" s="3413"/>
      <c r="T39" s="3413"/>
      <c r="U39" s="3413"/>
      <c r="V39" s="3413"/>
      <c r="W39" s="3413"/>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2022-11</v>
      </c>
      <c r="D48" s="1061">
        <f>EDATE(C48,-1)</f>
        <v>44835</v>
      </c>
      <c r="E48" s="1061">
        <f t="shared" ref="E48:O48" si="16">EDATE(D48,-1)</f>
        <v>44805</v>
      </c>
      <c r="F48" s="1061">
        <f t="shared" si="16"/>
        <v>44774</v>
      </c>
      <c r="G48" s="1061">
        <f t="shared" si="16"/>
        <v>44743</v>
      </c>
      <c r="H48" s="1061">
        <f t="shared" si="16"/>
        <v>44713</v>
      </c>
      <c r="I48" s="1061">
        <f t="shared" si="16"/>
        <v>44682</v>
      </c>
      <c r="J48" s="1061">
        <f t="shared" si="16"/>
        <v>44652</v>
      </c>
      <c r="K48" s="1061">
        <f t="shared" si="16"/>
        <v>44621</v>
      </c>
      <c r="L48" s="1061">
        <f t="shared" si="16"/>
        <v>44593</v>
      </c>
      <c r="M48" s="1061">
        <f t="shared" si="16"/>
        <v>44562</v>
      </c>
      <c r="N48" s="1061">
        <f t="shared" si="16"/>
        <v>44531</v>
      </c>
      <c r="O48" s="1061">
        <f t="shared" si="16"/>
        <v>44501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440.01</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5" t="s">
        <v>2006</v>
      </c>
      <c r="D4" s="3386"/>
      <c r="E4" s="3387" t="s">
        <v>2007</v>
      </c>
      <c r="F4" s="3388"/>
      <c r="G4" s="3385" t="s">
        <v>2008</v>
      </c>
      <c r="H4" s="3386"/>
      <c r="I4" s="3385" t="s">
        <v>2009</v>
      </c>
      <c r="J4" s="3386"/>
      <c r="K4" s="482" t="s">
        <v>2010</v>
      </c>
      <c r="L4" s="2715"/>
      <c r="P4" s="3389" t="s">
        <v>2011</v>
      </c>
      <c r="Q4" s="3390"/>
      <c r="R4" s="3395" t="s">
        <v>2007</v>
      </c>
      <c r="S4" s="3396"/>
      <c r="T4" s="3395" t="s">
        <v>2008</v>
      </c>
      <c r="U4" s="3396"/>
      <c r="V4" s="3401" t="s">
        <v>2009</v>
      </c>
      <c r="W4" s="3401"/>
      <c r="X4" s="1201"/>
      <c r="Y4" s="3395" t="s">
        <v>2011</v>
      </c>
      <c r="Z4" s="3396"/>
      <c r="AA4" s="3382" t="s">
        <v>2007</v>
      </c>
      <c r="AB4" s="3383" t="s">
        <v>2008</v>
      </c>
      <c r="AC4" s="3382" t="s">
        <v>2009</v>
      </c>
    </row>
    <row r="5" spans="1:29">
      <c r="A5" s="293"/>
      <c r="B5" s="294"/>
      <c r="C5" s="3378" t="s">
        <v>2012</v>
      </c>
      <c r="D5" s="3379"/>
      <c r="E5" s="3402" t="s">
        <v>2013</v>
      </c>
      <c r="F5" s="3403"/>
      <c r="G5" s="3378" t="s">
        <v>2014</v>
      </c>
      <c r="H5" s="3379"/>
      <c r="I5" s="3378" t="s">
        <v>2015</v>
      </c>
      <c r="J5" s="3379"/>
      <c r="K5" s="482"/>
      <c r="L5" s="2715"/>
      <c r="P5" s="3391"/>
      <c r="Q5" s="3392"/>
      <c r="R5" s="3397"/>
      <c r="S5" s="3398"/>
      <c r="T5" s="3397"/>
      <c r="U5" s="3398"/>
      <c r="V5" s="3401"/>
      <c r="W5" s="3401"/>
      <c r="X5" s="1201"/>
      <c r="Y5" s="3397"/>
      <c r="Z5" s="3398"/>
      <c r="AA5" s="3383"/>
      <c r="AB5" s="3383"/>
      <c r="AC5" s="3383"/>
    </row>
    <row r="6" spans="1:29" ht="15" thickBot="1">
      <c r="A6" s="295"/>
      <c r="B6" s="296"/>
      <c r="C6" s="3375" t="s">
        <v>2016</v>
      </c>
      <c r="D6" s="3376"/>
      <c r="E6" s="3373" t="s">
        <v>2016</v>
      </c>
      <c r="F6" s="3374"/>
      <c r="G6" s="3375" t="s">
        <v>2016</v>
      </c>
      <c r="H6" s="3376"/>
      <c r="I6" s="3375" t="s">
        <v>2016</v>
      </c>
      <c r="J6" s="3376"/>
      <c r="K6" s="482" t="s">
        <v>2017</v>
      </c>
      <c r="L6" s="2715"/>
      <c r="P6" s="3393"/>
      <c r="Q6" s="3394"/>
      <c r="R6" s="3397"/>
      <c r="S6" s="3398"/>
      <c r="T6" s="3399"/>
      <c r="U6" s="3400"/>
      <c r="V6" s="3401"/>
      <c r="W6" s="3401"/>
      <c r="X6" s="1201"/>
      <c r="Y6" s="3399"/>
      <c r="Z6" s="3400"/>
      <c r="AA6" s="3384"/>
      <c r="AB6" s="3384"/>
      <c r="AC6" s="3384"/>
    </row>
    <row r="7" spans="1:29" s="24" customFormat="1" ht="15" thickBot="1">
      <c r="A7" s="297" t="s">
        <v>2018</v>
      </c>
      <c r="B7" s="298"/>
      <c r="C7" s="299">
        <f>'数据-取费表'!B2</f>
        <v>44883</v>
      </c>
      <c r="D7" s="300">
        <v>100</v>
      </c>
      <c r="E7" s="1413"/>
      <c r="F7" s="300">
        <f>SUMIF(46:46,YEAR(E7)&amp;"-"&amp;MONTH(E7),47:47)</f>
        <v>0</v>
      </c>
      <c r="G7" s="301"/>
      <c r="H7" s="300">
        <f>SUMIF(46:46,YEAR(G7)&amp;"-"&amp;MONTH(G7),47:47)</f>
        <v>0</v>
      </c>
      <c r="I7" s="301"/>
      <c r="J7" s="300">
        <f>SUMIF(46:46,YEAR(I7)&amp;"-"&amp;MONTH(I7),47:47)</f>
        <v>0</v>
      </c>
      <c r="K7" s="483"/>
      <c r="L7" s="2716"/>
      <c r="P7" s="3380" t="s">
        <v>2019</v>
      </c>
      <c r="Q7" s="3404"/>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77" t="s">
        <v>2025</v>
      </c>
      <c r="Q9" s="477" t="str">
        <f t="shared" ref="Q9:Q14" si="6">B9</f>
        <v>用途</v>
      </c>
      <c r="R9" s="600" t="s">
        <v>25</v>
      </c>
      <c r="S9" s="601">
        <f t="shared" si="0"/>
        <v>100</v>
      </c>
      <c r="T9" s="600" t="s">
        <v>25</v>
      </c>
      <c r="U9" s="601">
        <f t="shared" si="1"/>
        <v>100</v>
      </c>
      <c r="V9" s="600" t="s">
        <v>25</v>
      </c>
      <c r="W9" s="601">
        <f t="shared" si="2"/>
        <v>100</v>
      </c>
      <c r="X9" s="602"/>
      <c r="Y9" s="3407"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77"/>
      <c r="Q10" s="477" t="str">
        <f t="shared" si="6"/>
        <v>土地使用年限（年）</v>
      </c>
      <c r="R10" s="600" t="s">
        <v>25</v>
      </c>
      <c r="S10" s="601">
        <f t="shared" si="0"/>
        <v>100</v>
      </c>
      <c r="T10" s="600" t="s">
        <v>25</v>
      </c>
      <c r="U10" s="601">
        <f t="shared" si="1"/>
        <v>100</v>
      </c>
      <c r="V10" s="600" t="s">
        <v>25</v>
      </c>
      <c r="W10" s="601">
        <f t="shared" si="2"/>
        <v>100</v>
      </c>
      <c r="X10" s="602"/>
      <c r="Y10" s="3407"/>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77"/>
      <c r="Q11" s="477">
        <f t="shared" si="6"/>
        <v>111</v>
      </c>
      <c r="R11" s="600" t="s">
        <v>25</v>
      </c>
      <c r="S11" s="601">
        <f t="shared" si="0"/>
        <v>100</v>
      </c>
      <c r="T11" s="600" t="s">
        <v>25</v>
      </c>
      <c r="U11" s="601">
        <f t="shared" si="1"/>
        <v>100</v>
      </c>
      <c r="V11" s="600" t="s">
        <v>25</v>
      </c>
      <c r="W11" s="601">
        <f t="shared" si="2"/>
        <v>100</v>
      </c>
      <c r="X11" s="602"/>
      <c r="Y11" s="3407"/>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77"/>
      <c r="Q12" s="477">
        <f t="shared" si="6"/>
        <v>111</v>
      </c>
      <c r="R12" s="600" t="s">
        <v>25</v>
      </c>
      <c r="S12" s="601">
        <f t="shared" si="0"/>
        <v>100</v>
      </c>
      <c r="T12" s="600" t="s">
        <v>25</v>
      </c>
      <c r="U12" s="601">
        <f t="shared" si="1"/>
        <v>100</v>
      </c>
      <c r="V12" s="600" t="s">
        <v>25</v>
      </c>
      <c r="W12" s="601">
        <f t="shared" si="2"/>
        <v>100</v>
      </c>
      <c r="X12" s="602"/>
      <c r="Y12" s="3407"/>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77"/>
      <c r="Q13" s="477">
        <f t="shared" si="6"/>
        <v>111</v>
      </c>
      <c r="R13" s="600" t="s">
        <v>25</v>
      </c>
      <c r="S13" s="601">
        <f t="shared" si="0"/>
        <v>100</v>
      </c>
      <c r="T13" s="600" t="s">
        <v>25</v>
      </c>
      <c r="U13" s="601">
        <f t="shared" si="1"/>
        <v>100</v>
      </c>
      <c r="V13" s="600" t="s">
        <v>25</v>
      </c>
      <c r="W13" s="601">
        <f t="shared" si="2"/>
        <v>100</v>
      </c>
      <c r="X13" s="602"/>
      <c r="Y13" s="3407"/>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405" t="s">
        <v>2030</v>
      </c>
      <c r="Q14" s="635" t="str">
        <f t="shared" si="6"/>
        <v>交通便捷度</v>
      </c>
      <c r="R14" s="603" t="s">
        <v>25</v>
      </c>
      <c r="S14" s="604">
        <f t="shared" si="0"/>
        <v>100</v>
      </c>
      <c r="T14" s="603" t="s">
        <v>25</v>
      </c>
      <c r="U14" s="604">
        <f t="shared" si="1"/>
        <v>100</v>
      </c>
      <c r="V14" s="603" t="s">
        <v>25</v>
      </c>
      <c r="W14" s="604">
        <f t="shared" si="2"/>
        <v>100</v>
      </c>
      <c r="X14" s="1201"/>
      <c r="Y14" s="3405"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406"/>
      <c r="Q15" s="635"/>
      <c r="R15" s="603"/>
      <c r="S15" s="604"/>
      <c r="T15" s="603"/>
      <c r="U15" s="604"/>
      <c r="V15" s="603"/>
      <c r="W15" s="604"/>
      <c r="X15" s="1201"/>
      <c r="Y15" s="3406"/>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406"/>
      <c r="Q16" s="635" t="str">
        <f>B16</f>
        <v>公共配套设施</v>
      </c>
      <c r="R16" s="603" t="s">
        <v>25</v>
      </c>
      <c r="S16" s="604">
        <f>F16</f>
        <v>100</v>
      </c>
      <c r="T16" s="603" t="s">
        <v>25</v>
      </c>
      <c r="U16" s="604">
        <f>H16</f>
        <v>100</v>
      </c>
      <c r="V16" s="603" t="s">
        <v>25</v>
      </c>
      <c r="W16" s="604">
        <f>J16</f>
        <v>100</v>
      </c>
      <c r="X16" s="1201"/>
      <c r="Y16" s="3406"/>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406"/>
      <c r="Q17" s="635"/>
      <c r="R17" s="603"/>
      <c r="S17" s="604"/>
      <c r="T17" s="603"/>
      <c r="U17" s="604"/>
      <c r="V17" s="603"/>
      <c r="W17" s="604"/>
      <c r="X17" s="1201"/>
      <c r="Y17" s="3406"/>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406"/>
      <c r="Q18" s="635" t="str">
        <f>B18</f>
        <v>基础设施水平</v>
      </c>
      <c r="R18" s="603" t="s">
        <v>25</v>
      </c>
      <c r="S18" s="604">
        <f>F18</f>
        <v>100</v>
      </c>
      <c r="T18" s="603" t="s">
        <v>25</v>
      </c>
      <c r="U18" s="604">
        <f>H18</f>
        <v>100</v>
      </c>
      <c r="V18" s="603" t="s">
        <v>25</v>
      </c>
      <c r="W18" s="604">
        <f>J18</f>
        <v>100</v>
      </c>
      <c r="X18" s="1201"/>
      <c r="Y18" s="3406"/>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406"/>
      <c r="Q19" s="635"/>
      <c r="R19" s="603"/>
      <c r="S19" s="604"/>
      <c r="T19" s="603"/>
      <c r="U19" s="604"/>
      <c r="V19" s="603"/>
      <c r="W19" s="604"/>
      <c r="X19" s="1201"/>
      <c r="Y19" s="3406"/>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406"/>
      <c r="Q20" s="635" t="str">
        <f>B20</f>
        <v>自然及人文环境</v>
      </c>
      <c r="R20" s="603" t="s">
        <v>25</v>
      </c>
      <c r="S20" s="604">
        <f>F20</f>
        <v>100</v>
      </c>
      <c r="T20" s="603" t="s">
        <v>25</v>
      </c>
      <c r="U20" s="604">
        <f>H20</f>
        <v>100</v>
      </c>
      <c r="V20" s="603" t="s">
        <v>25</v>
      </c>
      <c r="W20" s="604">
        <f>J20</f>
        <v>100</v>
      </c>
      <c r="X20" s="1201"/>
      <c r="Y20" s="3406"/>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406"/>
      <c r="Q21" s="635"/>
      <c r="R21" s="603"/>
      <c r="S21" s="604"/>
      <c r="T21" s="603"/>
      <c r="U21" s="604"/>
      <c r="V21" s="603"/>
      <c r="W21" s="604"/>
      <c r="X21" s="1201"/>
      <c r="Y21" s="3406"/>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406"/>
      <c r="Q22" s="635" t="str">
        <f>B22</f>
        <v>楼层</v>
      </c>
      <c r="R22" s="603" t="s">
        <v>25</v>
      </c>
      <c r="S22" s="604">
        <f>F22</f>
        <v>100</v>
      </c>
      <c r="T22" s="603" t="s">
        <v>25</v>
      </c>
      <c r="U22" s="604">
        <f>H22</f>
        <v>100</v>
      </c>
      <c r="V22" s="603" t="s">
        <v>25</v>
      </c>
      <c r="W22" s="604">
        <f>J22</f>
        <v>100</v>
      </c>
      <c r="X22" s="1201"/>
      <c r="Y22" s="3406"/>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406"/>
      <c r="Q23" s="635">
        <f>B23</f>
        <v>111</v>
      </c>
      <c r="R23" s="603" t="s">
        <v>25</v>
      </c>
      <c r="S23" s="604">
        <f>F23</f>
        <v>100</v>
      </c>
      <c r="T23" s="603" t="s">
        <v>25</v>
      </c>
      <c r="U23" s="604">
        <f>H23</f>
        <v>100</v>
      </c>
      <c r="V23" s="603" t="s">
        <v>25</v>
      </c>
      <c r="W23" s="604">
        <f>J23</f>
        <v>100</v>
      </c>
      <c r="X23" s="1201"/>
      <c r="Y23" s="3406"/>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406"/>
      <c r="Q24" s="635">
        <f t="shared" ref="Q24:Q34" si="11">B24</f>
        <v>111</v>
      </c>
      <c r="R24" s="603" t="s">
        <v>25</v>
      </c>
      <c r="S24" s="604">
        <f>F24</f>
        <v>100</v>
      </c>
      <c r="T24" s="603" t="s">
        <v>25</v>
      </c>
      <c r="U24" s="604">
        <f>H24</f>
        <v>100</v>
      </c>
      <c r="V24" s="603" t="s">
        <v>25</v>
      </c>
      <c r="W24" s="604">
        <f>J24</f>
        <v>100</v>
      </c>
      <c r="X24" s="1201"/>
      <c r="Y24" s="3406"/>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406"/>
      <c r="Q25" s="477">
        <f t="shared" si="11"/>
        <v>111</v>
      </c>
      <c r="R25" s="600" t="s">
        <v>25</v>
      </c>
      <c r="S25" s="601">
        <f>F25</f>
        <v>100</v>
      </c>
      <c r="T25" s="600" t="s">
        <v>25</v>
      </c>
      <c r="U25" s="601">
        <f>H25</f>
        <v>100</v>
      </c>
      <c r="V25" s="600" t="s">
        <v>25</v>
      </c>
      <c r="W25" s="601">
        <f>J25</f>
        <v>100</v>
      </c>
      <c r="X25" s="602"/>
      <c r="Y25" s="3406"/>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408"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9"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409"/>
      <c r="Q27" s="605" t="str">
        <f t="shared" si="11"/>
        <v>成新率</v>
      </c>
      <c r="R27" s="606" t="s">
        <v>25</v>
      </c>
      <c r="S27" s="607" t="e">
        <f t="shared" si="12"/>
        <v>#N/A</v>
      </c>
      <c r="T27" s="606" t="s">
        <v>25</v>
      </c>
      <c r="U27" s="607" t="e">
        <f t="shared" si="13"/>
        <v>#N/A</v>
      </c>
      <c r="V27" s="606" t="s">
        <v>25</v>
      </c>
      <c r="W27" s="607" t="e">
        <f t="shared" si="14"/>
        <v>#N/A</v>
      </c>
      <c r="X27" s="608"/>
      <c r="Y27" s="3409"/>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409"/>
      <c r="Q28" s="635" t="str">
        <f t="shared" si="11"/>
        <v>物业等级</v>
      </c>
      <c r="R28" s="603" t="s">
        <v>25</v>
      </c>
      <c r="S28" s="604">
        <f t="shared" si="12"/>
        <v>100</v>
      </c>
      <c r="T28" s="603" t="s">
        <v>25</v>
      </c>
      <c r="U28" s="604">
        <f t="shared" si="13"/>
        <v>100</v>
      </c>
      <c r="V28" s="603" t="s">
        <v>25</v>
      </c>
      <c r="W28" s="604">
        <f t="shared" si="14"/>
        <v>100</v>
      </c>
      <c r="X28" s="1201"/>
      <c r="Y28" s="3409"/>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409"/>
      <c r="Q29" s="635" t="str">
        <f t="shared" si="11"/>
        <v>有无电梯</v>
      </c>
      <c r="R29" s="603" t="s">
        <v>25</v>
      </c>
      <c r="S29" s="604">
        <f t="shared" si="12"/>
        <v>100</v>
      </c>
      <c r="T29" s="603" t="s">
        <v>25</v>
      </c>
      <c r="U29" s="604">
        <f t="shared" si="13"/>
        <v>100</v>
      </c>
      <c r="V29" s="603" t="s">
        <v>25</v>
      </c>
      <c r="W29" s="604">
        <f t="shared" si="14"/>
        <v>100</v>
      </c>
      <c r="X29" s="1201"/>
      <c r="Y29" s="3409"/>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409"/>
      <c r="Q30" s="635" t="str">
        <f t="shared" si="11"/>
        <v>建筑面积</v>
      </c>
      <c r="R30" s="603" t="s">
        <v>25</v>
      </c>
      <c r="S30" s="604" t="e">
        <f t="shared" si="12"/>
        <v>#N/A</v>
      </c>
      <c r="T30" s="603" t="s">
        <v>25</v>
      </c>
      <c r="U30" s="604" t="e">
        <f t="shared" si="13"/>
        <v>#N/A</v>
      </c>
      <c r="V30" s="603" t="s">
        <v>25</v>
      </c>
      <c r="W30" s="604" t="e">
        <f t="shared" si="14"/>
        <v>#N/A</v>
      </c>
      <c r="X30" s="1201"/>
      <c r="Y30" s="3409"/>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409"/>
      <c r="Q31" s="477" t="str">
        <f t="shared" si="11"/>
        <v>是否封闭</v>
      </c>
      <c r="R31" s="600" t="s">
        <v>25</v>
      </c>
      <c r="S31" s="601">
        <f t="shared" si="12"/>
        <v>100</v>
      </c>
      <c r="T31" s="600" t="s">
        <v>25</v>
      </c>
      <c r="U31" s="601">
        <f t="shared" si="13"/>
        <v>100</v>
      </c>
      <c r="V31" s="600" t="s">
        <v>25</v>
      </c>
      <c r="W31" s="601">
        <f t="shared" si="14"/>
        <v>100</v>
      </c>
      <c r="X31" s="602"/>
      <c r="Y31" s="3409"/>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409" t="s">
        <v>2036</v>
      </c>
      <c r="Q32" s="635">
        <f t="shared" si="11"/>
        <v>111</v>
      </c>
      <c r="R32" s="603" t="s">
        <v>25</v>
      </c>
      <c r="S32" s="604">
        <f t="shared" si="12"/>
        <v>100</v>
      </c>
      <c r="T32" s="603" t="s">
        <v>25</v>
      </c>
      <c r="U32" s="604">
        <f t="shared" si="13"/>
        <v>100</v>
      </c>
      <c r="V32" s="603" t="s">
        <v>25</v>
      </c>
      <c r="W32" s="604">
        <f t="shared" si="14"/>
        <v>100</v>
      </c>
      <c r="X32" s="1201"/>
      <c r="Y32" s="3409"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409"/>
      <c r="Q33" s="635">
        <f t="shared" si="11"/>
        <v>111</v>
      </c>
      <c r="R33" s="603" t="s">
        <v>25</v>
      </c>
      <c r="S33" s="604">
        <f t="shared" si="12"/>
        <v>100</v>
      </c>
      <c r="T33" s="603" t="s">
        <v>25</v>
      </c>
      <c r="U33" s="604">
        <f t="shared" si="13"/>
        <v>100</v>
      </c>
      <c r="V33" s="603" t="s">
        <v>25</v>
      </c>
      <c r="W33" s="604">
        <f t="shared" si="14"/>
        <v>100</v>
      </c>
      <c r="X33" s="1201"/>
      <c r="Y33" s="3409"/>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409"/>
      <c r="Q34" s="635">
        <f t="shared" si="11"/>
        <v>111</v>
      </c>
      <c r="R34" s="603" t="s">
        <v>25</v>
      </c>
      <c r="S34" s="604">
        <f t="shared" si="12"/>
        <v>100</v>
      </c>
      <c r="T34" s="603" t="s">
        <v>25</v>
      </c>
      <c r="U34" s="604">
        <f t="shared" si="13"/>
        <v>100</v>
      </c>
      <c r="V34" s="603" t="s">
        <v>25</v>
      </c>
      <c r="W34" s="604">
        <f t="shared" si="14"/>
        <v>100</v>
      </c>
      <c r="X34" s="1201"/>
      <c r="Y34" s="3409"/>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77" t="str">
        <f>A35</f>
        <v>成交单价（元/平方米）</v>
      </c>
      <c r="Q35" s="3377"/>
      <c r="R35" s="3401">
        <f>E35</f>
        <v>0</v>
      </c>
      <c r="S35" s="3401"/>
      <c r="T35" s="3401">
        <f>G35</f>
        <v>0</v>
      </c>
      <c r="U35" s="3401"/>
      <c r="V35" s="3401">
        <f>I35</f>
        <v>0</v>
      </c>
      <c r="W35" s="3401"/>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77" t="str">
        <f>A36</f>
        <v>比较价值（元/平方米）</v>
      </c>
      <c r="Q36" s="3377"/>
      <c r="R36" s="3401" t="e">
        <f>IF(E1="售价",ROUND(PRODUCT(R35,AA7:AA34),0),ROUND(PRODUCT(R35,AA7:AA34),1))</f>
        <v>#DIV/0!</v>
      </c>
      <c r="S36" s="3401"/>
      <c r="T36" s="3401" t="e">
        <f>IF(E1="售价",ROUND(PRODUCT(T35,AB7:AB34),0),ROUND(PRODUCT(T35,AB7:AB34),1))</f>
        <v>#DIV/0!</v>
      </c>
      <c r="U36" s="3401"/>
      <c r="V36" s="3401" t="e">
        <f>IF(E1="售价",ROUND(PRODUCT(V35,AC7:AC34),0),ROUND(PRODUCT(V35,AC7:AC34),1))</f>
        <v>#DIV/0!</v>
      </c>
      <c r="W36" s="3401"/>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411" t="str">
        <f>A37</f>
        <v>估价对象XX用房的比较价值（楼面单价，元/平方米）</v>
      </c>
      <c r="Q37" s="3412"/>
      <c r="R37" s="3413" t="e">
        <f>IF(E1="售价",ROUND(IF(D36="简单平均",AVERAGE(R36:W36),R36*F36+T36*H36+V36*J36),0),ROUND(IF(D36="简单平均",AVERAGE(R36:V36),R36*F36+T36*H36+V36*J36),1))</f>
        <v>#DIV/0!</v>
      </c>
      <c r="S37" s="3413"/>
      <c r="T37" s="3413"/>
      <c r="U37" s="3413"/>
      <c r="V37" s="3413"/>
      <c r="W37" s="3413"/>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2022-11</v>
      </c>
      <c r="D46" s="1061">
        <f>EDATE(C46,-1)</f>
        <v>44835</v>
      </c>
      <c r="E46" s="1061">
        <f t="shared" ref="E46:O46" si="16">EDATE(D46,-1)</f>
        <v>44805</v>
      </c>
      <c r="F46" s="1061">
        <f t="shared" si="16"/>
        <v>44774</v>
      </c>
      <c r="G46" s="1061">
        <f t="shared" si="16"/>
        <v>44743</v>
      </c>
      <c r="H46" s="1061">
        <f t="shared" si="16"/>
        <v>44713</v>
      </c>
      <c r="I46" s="1061">
        <f t="shared" si="16"/>
        <v>44682</v>
      </c>
      <c r="J46" s="1061">
        <f t="shared" si="16"/>
        <v>44652</v>
      </c>
      <c r="K46" s="1061">
        <f t="shared" si="16"/>
        <v>44621</v>
      </c>
      <c r="L46" s="1061">
        <f t="shared" si="16"/>
        <v>44593</v>
      </c>
      <c r="M46" s="1061">
        <f t="shared" si="16"/>
        <v>44562</v>
      </c>
      <c r="N46" s="1061">
        <f t="shared" si="16"/>
        <v>44531</v>
      </c>
      <c r="O46" s="1061">
        <f t="shared" si="16"/>
        <v>44501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5" t="s">
        <v>2008</v>
      </c>
      <c r="AC4" s="3304" t="s">
        <v>2009</v>
      </c>
    </row>
    <row r="5" spans="1:29">
      <c r="A5" s="1503"/>
      <c r="B5" s="1504"/>
      <c r="C5" s="3364" t="s">
        <v>2012</v>
      </c>
      <c r="D5" s="3301"/>
      <c r="E5" s="3363" t="s">
        <v>2013</v>
      </c>
      <c r="F5" s="3325"/>
      <c r="G5" s="3364" t="s">
        <v>2014</v>
      </c>
      <c r="H5" s="3301"/>
      <c r="I5" s="3364" t="s">
        <v>2015</v>
      </c>
      <c r="J5" s="3301"/>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44883</v>
      </c>
      <c r="D7" s="1511">
        <v>100</v>
      </c>
      <c r="E7" s="1512"/>
      <c r="F7" s="1513">
        <f>SUMIF(69:69,YEAR(E7)&amp;"-"&amp;INT((MONTH(E7)+2)/3),70:70)</f>
        <v>0</v>
      </c>
      <c r="G7" s="1781"/>
      <c r="H7" s="1511">
        <f>SUMIF(69:69,YEAR(G7)&amp;"-"&amp;INT((MONTH(G7)+2)/3),70:70)</f>
        <v>0</v>
      </c>
      <c r="I7" s="1781"/>
      <c r="J7" s="1511">
        <f>SUMIF(69:69,YEAR(I7)&amp;"-"&amp;INT((MONTH(I7)+2)/3),70:70)</f>
        <v>0</v>
      </c>
      <c r="K7" s="1782"/>
      <c r="L7" s="2693"/>
      <c r="P7" s="3302" t="s">
        <v>2019</v>
      </c>
      <c r="Q7" s="3327"/>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299"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107</v>
      </c>
      <c r="G10" s="1588"/>
      <c r="H10" s="1530">
        <f>ROUND(100/'数据-取费表'!B14,0)</f>
        <v>107</v>
      </c>
      <c r="I10" s="1588"/>
      <c r="J10" s="1530">
        <f>ROUND(100/'数据-取费表'!B14,0)</f>
        <v>107</v>
      </c>
      <c r="K10" s="1784"/>
      <c r="L10" s="2694"/>
      <c r="O10" s="2731"/>
      <c r="P10" s="3299"/>
      <c r="Q10" s="1471" t="str">
        <f t="shared" si="6"/>
        <v>土地使用年限（年）</v>
      </c>
      <c r="R10" s="1515" t="s">
        <v>25</v>
      </c>
      <c r="S10" s="1516">
        <f t="shared" si="0"/>
        <v>107</v>
      </c>
      <c r="T10" s="1515" t="s">
        <v>25</v>
      </c>
      <c r="U10" s="1516">
        <f t="shared" si="1"/>
        <v>107</v>
      </c>
      <c r="V10" s="1515" t="s">
        <v>25</v>
      </c>
      <c r="W10" s="1516">
        <f t="shared" si="2"/>
        <v>107</v>
      </c>
      <c r="X10" s="1517"/>
      <c r="Y10" s="3225"/>
      <c r="Z10" s="1518" t="str">
        <f t="shared" si="7"/>
        <v>土地使用年限（年）</v>
      </c>
      <c r="AA10" s="1518">
        <f t="shared" si="3"/>
        <v>0.93457943925233644</v>
      </c>
      <c r="AB10" s="1518">
        <f t="shared" si="4"/>
        <v>0.93457943925233644</v>
      </c>
      <c r="AC10" s="1518">
        <f t="shared" si="5"/>
        <v>0.93457943925233644</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299"/>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299"/>
      <c r="Q12" s="1471" t="str">
        <f t="shared" si="6"/>
        <v>配建</v>
      </c>
      <c r="R12" s="1515" t="s">
        <v>25</v>
      </c>
      <c r="S12" s="1516">
        <f t="shared" si="0"/>
        <v>100</v>
      </c>
      <c r="T12" s="1515" t="s">
        <v>25</v>
      </c>
      <c r="U12" s="1516">
        <f t="shared" si="1"/>
        <v>100</v>
      </c>
      <c r="V12" s="1515" t="s">
        <v>25</v>
      </c>
      <c r="W12" s="1516">
        <f t="shared" si="2"/>
        <v>100</v>
      </c>
      <c r="X12" s="1517"/>
      <c r="Y12" s="3225"/>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28" t="s">
        <v>2030</v>
      </c>
      <c r="Q15" s="1453" t="str">
        <f t="shared" si="6"/>
        <v>居住社区成熟度</v>
      </c>
      <c r="R15" s="1557" t="s">
        <v>25</v>
      </c>
      <c r="S15" s="1558">
        <f t="shared" si="0"/>
        <v>100</v>
      </c>
      <c r="T15" s="1557" t="s">
        <v>25</v>
      </c>
      <c r="U15" s="1558">
        <f t="shared" si="1"/>
        <v>100</v>
      </c>
      <c r="V15" s="1557" t="s">
        <v>25</v>
      </c>
      <c r="W15" s="1558">
        <f t="shared" si="2"/>
        <v>100</v>
      </c>
      <c r="X15" s="1501"/>
      <c r="Y15" s="3328"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29"/>
      <c r="Q16" s="1453"/>
      <c r="R16" s="1557"/>
      <c r="S16" s="1558"/>
      <c r="T16" s="1557"/>
      <c r="U16" s="1558"/>
      <c r="V16" s="1557"/>
      <c r="W16" s="1558"/>
      <c r="X16" s="1501"/>
      <c r="Y16" s="3329"/>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29"/>
      <c r="Q17" s="1453" t="str">
        <f>B17</f>
        <v>商业繁华度</v>
      </c>
      <c r="R17" s="1557" t="s">
        <v>25</v>
      </c>
      <c r="S17" s="1558">
        <f>F17</f>
        <v>100</v>
      </c>
      <c r="T17" s="1557" t="s">
        <v>25</v>
      </c>
      <c r="U17" s="1558">
        <f>H17</f>
        <v>100</v>
      </c>
      <c r="V17" s="1557" t="s">
        <v>25</v>
      </c>
      <c r="W17" s="1558">
        <f>J17</f>
        <v>100</v>
      </c>
      <c r="X17" s="1501"/>
      <c r="Y17" s="3329"/>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29"/>
      <c r="Q18" s="1453"/>
      <c r="R18" s="1557"/>
      <c r="S18" s="1558"/>
      <c r="T18" s="1557"/>
      <c r="U18" s="1558"/>
      <c r="V18" s="1557"/>
      <c r="W18" s="1558"/>
      <c r="X18" s="1501"/>
      <c r="Y18" s="3329"/>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29"/>
      <c r="Q19" s="1453" t="str">
        <f>B19</f>
        <v>办公集聚程度</v>
      </c>
      <c r="R19" s="1557" t="s">
        <v>25</v>
      </c>
      <c r="S19" s="1558">
        <f>F19</f>
        <v>100</v>
      </c>
      <c r="T19" s="1557" t="s">
        <v>25</v>
      </c>
      <c r="U19" s="1558">
        <f>H19</f>
        <v>100</v>
      </c>
      <c r="V19" s="1557" t="s">
        <v>25</v>
      </c>
      <c r="W19" s="1558">
        <f>J19</f>
        <v>100</v>
      </c>
      <c r="X19" s="1501"/>
      <c r="Y19" s="3329"/>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29"/>
      <c r="Q20" s="1453"/>
      <c r="R20" s="1557"/>
      <c r="S20" s="1558"/>
      <c r="T20" s="1557"/>
      <c r="U20" s="1558"/>
      <c r="V20" s="1557"/>
      <c r="W20" s="1558"/>
      <c r="X20" s="1501"/>
      <c r="Y20" s="3329"/>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29"/>
      <c r="Q21" s="1453" t="str">
        <f>B21</f>
        <v>交通便捷度</v>
      </c>
      <c r="R21" s="1557" t="s">
        <v>25</v>
      </c>
      <c r="S21" s="1558">
        <f>F21</f>
        <v>100</v>
      </c>
      <c r="T21" s="1557" t="s">
        <v>25</v>
      </c>
      <c r="U21" s="1558">
        <f>H21</f>
        <v>100</v>
      </c>
      <c r="V21" s="1557" t="s">
        <v>25</v>
      </c>
      <c r="W21" s="1558">
        <f>J21</f>
        <v>100</v>
      </c>
      <c r="X21" s="1501"/>
      <c r="Y21" s="3329"/>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29"/>
      <c r="Q22" s="1453"/>
      <c r="R22" s="1557"/>
      <c r="S22" s="1558"/>
      <c r="T22" s="1557"/>
      <c r="U22" s="1558"/>
      <c r="V22" s="1557"/>
      <c r="W22" s="1558"/>
      <c r="X22" s="1501"/>
      <c r="Y22" s="3329"/>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29"/>
      <c r="Q23" s="1453" t="str">
        <f t="shared" ref="Q23:Q37" si="8">B23</f>
        <v>区域土地利用方向</v>
      </c>
      <c r="R23" s="1557" t="s">
        <v>25</v>
      </c>
      <c r="S23" s="1558">
        <f>F23</f>
        <v>100</v>
      </c>
      <c r="T23" s="1557" t="s">
        <v>25</v>
      </c>
      <c r="U23" s="1558">
        <f>H23</f>
        <v>100</v>
      </c>
      <c r="V23" s="1557" t="s">
        <v>25</v>
      </c>
      <c r="W23" s="1558">
        <f>J23</f>
        <v>100</v>
      </c>
      <c r="X23" s="1501"/>
      <c r="Y23" s="3329"/>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29"/>
      <c r="Q24" s="1453"/>
      <c r="R24" s="1557"/>
      <c r="S24" s="1558"/>
      <c r="T24" s="1557"/>
      <c r="U24" s="1558"/>
      <c r="V24" s="1557"/>
      <c r="W24" s="1558"/>
      <c r="X24" s="1501"/>
      <c r="Y24" s="3329"/>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29"/>
      <c r="Q25" s="1453" t="str">
        <f t="shared" si="8"/>
        <v>自然及人文环境状况</v>
      </c>
      <c r="R25" s="1557" t="s">
        <v>25</v>
      </c>
      <c r="S25" s="1558">
        <f>F25</f>
        <v>100</v>
      </c>
      <c r="T25" s="1557" t="s">
        <v>25</v>
      </c>
      <c r="U25" s="1558">
        <f>H25</f>
        <v>100</v>
      </c>
      <c r="V25" s="1557" t="s">
        <v>25</v>
      </c>
      <c r="W25" s="1558">
        <f>J25</f>
        <v>100</v>
      </c>
      <c r="X25" s="1501"/>
      <c r="Y25" s="3329"/>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29"/>
      <c r="Q26" s="1453"/>
      <c r="R26" s="1557"/>
      <c r="S26" s="1558"/>
      <c r="T26" s="1557"/>
      <c r="U26" s="1558"/>
      <c r="V26" s="1557"/>
      <c r="W26" s="1558"/>
      <c r="X26" s="1501"/>
      <c r="Y26" s="3329"/>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29"/>
      <c r="Q27" s="1471" t="str">
        <f t="shared" ref="Q27" si="9">B27</f>
        <v>公共配套设施</v>
      </c>
      <c r="R27" s="1515" t="s">
        <v>25</v>
      </c>
      <c r="S27" s="1516">
        <f>F27</f>
        <v>100</v>
      </c>
      <c r="T27" s="1515" t="s">
        <v>25</v>
      </c>
      <c r="U27" s="1516">
        <f>H27</f>
        <v>100</v>
      </c>
      <c r="V27" s="1515" t="s">
        <v>25</v>
      </c>
      <c r="W27" s="1516">
        <f>J27</f>
        <v>100</v>
      </c>
      <c r="X27" s="1501"/>
      <c r="Y27" s="3329"/>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29"/>
      <c r="Q28" s="1453"/>
      <c r="R28" s="1557"/>
      <c r="S28" s="1558"/>
      <c r="T28" s="1557"/>
      <c r="U28" s="1558"/>
      <c r="V28" s="1557"/>
      <c r="W28" s="1558"/>
      <c r="X28" s="1501"/>
      <c r="Y28" s="3329"/>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29"/>
      <c r="Q29" s="1471" t="str">
        <f t="shared" si="8"/>
        <v>基础设施水平</v>
      </c>
      <c r="R29" s="1515" t="s">
        <v>25</v>
      </c>
      <c r="S29" s="1516">
        <f>F29</f>
        <v>100</v>
      </c>
      <c r="T29" s="1515" t="s">
        <v>25</v>
      </c>
      <c r="U29" s="1516">
        <f>H29</f>
        <v>100</v>
      </c>
      <c r="V29" s="1515" t="s">
        <v>25</v>
      </c>
      <c r="W29" s="1516">
        <f>J29</f>
        <v>100</v>
      </c>
      <c r="X29" s="1517"/>
      <c r="Y29" s="3329"/>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29"/>
      <c r="Q30" s="1471"/>
      <c r="R30" s="1515"/>
      <c r="S30" s="1516"/>
      <c r="T30" s="1515"/>
      <c r="U30" s="1516"/>
      <c r="V30" s="1515"/>
      <c r="W30" s="1516"/>
      <c r="X30" s="1517"/>
      <c r="Y30" s="3329"/>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29"/>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29"/>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29"/>
      <c r="Q32" s="1453" t="str">
        <f t="shared" si="8"/>
        <v>毗邻道路的类型与等级</v>
      </c>
      <c r="R32" s="1557" t="s">
        <v>25</v>
      </c>
      <c r="S32" s="1558">
        <f t="shared" si="10"/>
        <v>100</v>
      </c>
      <c r="T32" s="1557" t="s">
        <v>25</v>
      </c>
      <c r="U32" s="1558">
        <f t="shared" si="11"/>
        <v>100</v>
      </c>
      <c r="V32" s="1557" t="s">
        <v>25</v>
      </c>
      <c r="W32" s="1558">
        <f t="shared" si="12"/>
        <v>100</v>
      </c>
      <c r="X32" s="1501"/>
      <c r="Y32" s="3329"/>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29"/>
      <c r="Q33" s="1453"/>
      <c r="R33" s="1557"/>
      <c r="S33" s="1558"/>
      <c r="T33" s="1557"/>
      <c r="U33" s="1558"/>
      <c r="V33" s="1557"/>
      <c r="W33" s="1558"/>
      <c r="X33" s="1501"/>
      <c r="Y33" s="3329"/>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29"/>
      <c r="Q34" s="1453" t="str">
        <f t="shared" si="8"/>
        <v>土地级别</v>
      </c>
      <c r="R34" s="1557" t="s">
        <v>25</v>
      </c>
      <c r="S34" s="1558">
        <f t="shared" si="10"/>
        <v>100</v>
      </c>
      <c r="T34" s="1557" t="s">
        <v>25</v>
      </c>
      <c r="U34" s="1558">
        <f t="shared" si="11"/>
        <v>100</v>
      </c>
      <c r="V34" s="1557" t="s">
        <v>25</v>
      </c>
      <c r="W34" s="1558">
        <f t="shared" si="12"/>
        <v>100</v>
      </c>
      <c r="X34" s="1501"/>
      <c r="Y34" s="3329"/>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29"/>
      <c r="Q35" s="1453">
        <f t="shared" si="8"/>
        <v>111</v>
      </c>
      <c r="R35" s="1557" t="s">
        <v>25</v>
      </c>
      <c r="S35" s="1558">
        <f t="shared" si="10"/>
        <v>100</v>
      </c>
      <c r="T35" s="1557" t="s">
        <v>25</v>
      </c>
      <c r="U35" s="1558">
        <f t="shared" si="11"/>
        <v>100</v>
      </c>
      <c r="V35" s="1557" t="s">
        <v>25</v>
      </c>
      <c r="W35" s="1558">
        <f t="shared" si="12"/>
        <v>100</v>
      </c>
      <c r="X35" s="1501"/>
      <c r="Y35" s="3329"/>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30" t="s">
        <v>2036</v>
      </c>
      <c r="Q36" s="1453">
        <f t="shared" si="8"/>
        <v>111</v>
      </c>
      <c r="R36" s="1557" t="s">
        <v>25</v>
      </c>
      <c r="S36" s="1558">
        <f t="shared" si="10"/>
        <v>100</v>
      </c>
      <c r="T36" s="1557" t="s">
        <v>25</v>
      </c>
      <c r="U36" s="1558">
        <f t="shared" si="11"/>
        <v>100</v>
      </c>
      <c r="V36" s="1557" t="s">
        <v>25</v>
      </c>
      <c r="W36" s="1558">
        <f t="shared" si="12"/>
        <v>100</v>
      </c>
      <c r="X36" s="1501"/>
      <c r="Y36" s="3331"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31"/>
      <c r="Q37" s="1453">
        <f t="shared" si="8"/>
        <v>111</v>
      </c>
      <c r="R37" s="1596" t="s">
        <v>25</v>
      </c>
      <c r="S37" s="1597">
        <f t="shared" si="10"/>
        <v>100</v>
      </c>
      <c r="T37" s="1596" t="s">
        <v>25</v>
      </c>
      <c r="U37" s="1597">
        <f t="shared" si="11"/>
        <v>100</v>
      </c>
      <c r="V37" s="1596" t="s">
        <v>25</v>
      </c>
      <c r="W37" s="1597">
        <f t="shared" si="12"/>
        <v>100</v>
      </c>
      <c r="X37" s="1598"/>
      <c r="Y37" s="3331"/>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31"/>
      <c r="Q38" s="1453" t="str">
        <f>B38</f>
        <v>宗地面积</v>
      </c>
      <c r="R38" s="1557" t="s">
        <v>25</v>
      </c>
      <c r="S38" s="1558" t="e">
        <f t="shared" si="10"/>
        <v>#N/A</v>
      </c>
      <c r="T38" s="1557" t="s">
        <v>25</v>
      </c>
      <c r="U38" s="1558" t="e">
        <f t="shared" si="11"/>
        <v>#N/A</v>
      </c>
      <c r="V38" s="1557" t="s">
        <v>25</v>
      </c>
      <c r="W38" s="1558" t="e">
        <f t="shared" si="12"/>
        <v>#N/A</v>
      </c>
      <c r="X38" s="1501"/>
      <c r="Y38" s="3331"/>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31"/>
      <c r="Q39" s="1453" t="str">
        <f t="shared" ref="Q39:Q45" si="14">B39</f>
        <v>宗地形状</v>
      </c>
      <c r="R39" s="1557" t="s">
        <v>25</v>
      </c>
      <c r="S39" s="1558">
        <f t="shared" si="10"/>
        <v>100</v>
      </c>
      <c r="T39" s="1557" t="s">
        <v>25</v>
      </c>
      <c r="U39" s="1558">
        <f t="shared" si="11"/>
        <v>100</v>
      </c>
      <c r="V39" s="1557" t="s">
        <v>25</v>
      </c>
      <c r="W39" s="1558">
        <f t="shared" si="12"/>
        <v>100</v>
      </c>
      <c r="X39" s="1501"/>
      <c r="Y39" s="3331"/>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31"/>
      <c r="Q40" s="1453" t="str">
        <f t="shared" si="14"/>
        <v>临街宽度及深度</v>
      </c>
      <c r="R40" s="1557" t="s">
        <v>25</v>
      </c>
      <c r="S40" s="1558">
        <f t="shared" si="10"/>
        <v>100</v>
      </c>
      <c r="T40" s="1557" t="s">
        <v>25</v>
      </c>
      <c r="U40" s="1558">
        <f t="shared" si="11"/>
        <v>100</v>
      </c>
      <c r="V40" s="1557" t="s">
        <v>25</v>
      </c>
      <c r="W40" s="1558">
        <f t="shared" si="12"/>
        <v>100</v>
      </c>
      <c r="X40" s="1501"/>
      <c r="Y40" s="3331"/>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31"/>
      <c r="Q41" s="1453" t="str">
        <f t="shared" si="14"/>
        <v>宗地开发程度</v>
      </c>
      <c r="R41" s="1515" t="s">
        <v>25</v>
      </c>
      <c r="S41" s="1516">
        <f t="shared" si="10"/>
        <v>100</v>
      </c>
      <c r="T41" s="1515" t="s">
        <v>25</v>
      </c>
      <c r="U41" s="1516">
        <f t="shared" si="11"/>
        <v>100</v>
      </c>
      <c r="V41" s="1515" t="s">
        <v>25</v>
      </c>
      <c r="W41" s="1516">
        <f t="shared" si="12"/>
        <v>100</v>
      </c>
      <c r="X41" s="1517"/>
      <c r="Y41" s="3331"/>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31" t="s">
        <v>2036</v>
      </c>
      <c r="Q42" s="1453" t="str">
        <f t="shared" si="14"/>
        <v>工程地质条件</v>
      </c>
      <c r="R42" s="1557" t="s">
        <v>25</v>
      </c>
      <c r="S42" s="1558">
        <f t="shared" si="10"/>
        <v>100</v>
      </c>
      <c r="T42" s="1557" t="s">
        <v>25</v>
      </c>
      <c r="U42" s="1558">
        <f t="shared" si="11"/>
        <v>100</v>
      </c>
      <c r="V42" s="1557" t="s">
        <v>25</v>
      </c>
      <c r="W42" s="1558">
        <f t="shared" si="12"/>
        <v>100</v>
      </c>
      <c r="X42" s="1501"/>
      <c r="Y42" s="3331"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31"/>
      <c r="Q43" s="1453">
        <f t="shared" si="14"/>
        <v>111</v>
      </c>
      <c r="R43" s="1557" t="s">
        <v>25</v>
      </c>
      <c r="S43" s="1558">
        <f t="shared" si="10"/>
        <v>100</v>
      </c>
      <c r="T43" s="1557" t="s">
        <v>25</v>
      </c>
      <c r="U43" s="1558">
        <f t="shared" si="11"/>
        <v>100</v>
      </c>
      <c r="V43" s="1557" t="s">
        <v>25</v>
      </c>
      <c r="W43" s="1558">
        <f t="shared" si="12"/>
        <v>100</v>
      </c>
      <c r="X43" s="1501"/>
      <c r="Y43" s="3331"/>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31"/>
      <c r="Q44" s="1453">
        <f t="shared" si="14"/>
        <v>111</v>
      </c>
      <c r="R44" s="1557" t="s">
        <v>25</v>
      </c>
      <c r="S44" s="1558">
        <f t="shared" si="10"/>
        <v>100</v>
      </c>
      <c r="T44" s="1557" t="s">
        <v>25</v>
      </c>
      <c r="U44" s="1558">
        <f t="shared" si="11"/>
        <v>100</v>
      </c>
      <c r="V44" s="1557" t="s">
        <v>25</v>
      </c>
      <c r="W44" s="1558">
        <f t="shared" si="12"/>
        <v>100</v>
      </c>
      <c r="X44" s="1501"/>
      <c r="Y44" s="3331"/>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31"/>
      <c r="Q45" s="1453">
        <f t="shared" si="14"/>
        <v>111</v>
      </c>
      <c r="R45" s="1596" t="s">
        <v>25</v>
      </c>
      <c r="S45" s="1597">
        <f t="shared" si="10"/>
        <v>100</v>
      </c>
      <c r="T45" s="1596" t="s">
        <v>25</v>
      </c>
      <c r="U45" s="1597">
        <f t="shared" si="11"/>
        <v>100</v>
      </c>
      <c r="V45" s="1596" t="s">
        <v>25</v>
      </c>
      <c r="W45" s="1597">
        <f t="shared" si="12"/>
        <v>100</v>
      </c>
      <c r="X45" s="1598"/>
      <c r="Y45" s="3331"/>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299" t="str">
        <f>A46</f>
        <v>成交单价</v>
      </c>
      <c r="Q46" s="3299"/>
      <c r="R46" s="3323">
        <f>E46</f>
        <v>0</v>
      </c>
      <c r="S46" s="3323"/>
      <c r="T46" s="3323">
        <f>G46</f>
        <v>0</v>
      </c>
      <c r="U46" s="3323"/>
      <c r="V46" s="3323">
        <f>I46</f>
        <v>0</v>
      </c>
      <c r="W46" s="3323"/>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299" t="str">
        <f>A47</f>
        <v>比较价值（元/平方米）</v>
      </c>
      <c r="Q47" s="3299"/>
      <c r="R47" s="3414" t="e">
        <f>ROUND(PRODUCT(R46,AA7:AA45),0)</f>
        <v>#DIV/0!</v>
      </c>
      <c r="S47" s="3414"/>
      <c r="T47" s="3414" t="e">
        <f>ROUND(PRODUCT(T46,AB7:AB45),0)</f>
        <v>#DIV/0!</v>
      </c>
      <c r="U47" s="3414"/>
      <c r="V47" s="3414" t="e">
        <f>ROUND(PRODUCT(V46,AC7:AC45),0)</f>
        <v>#DIV/0!</v>
      </c>
      <c r="W47" s="3414"/>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333" t="str">
        <f>A48</f>
        <v>估价对象XX用房的比较价值（楼面单价，元/平方米）</v>
      </c>
      <c r="Q48" s="3334"/>
      <c r="R48" s="3415" t="e">
        <f>ROUND(IF(D47="简单平均",AVERAGE(R47:W47),R47*F47+T47*H47+V47*J47),0)</f>
        <v>#DIV/0!</v>
      </c>
      <c r="S48" s="3415"/>
      <c r="T48" s="3415"/>
      <c r="U48" s="3415"/>
      <c r="V48" s="3415"/>
      <c r="W48" s="3415"/>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2022-11-1</v>
      </c>
      <c r="D67" s="1849">
        <f>EDATE(C67,-3)</f>
        <v>44774</v>
      </c>
      <c r="E67" s="1849">
        <f t="shared" ref="E67:O67" si="18">EDATE(D67,-3)</f>
        <v>44682</v>
      </c>
      <c r="F67" s="1849">
        <f t="shared" si="18"/>
        <v>44593</v>
      </c>
      <c r="G67" s="1849">
        <f t="shared" si="18"/>
        <v>44501</v>
      </c>
      <c r="H67" s="1849">
        <f t="shared" si="18"/>
        <v>44409</v>
      </c>
      <c r="I67" s="1849">
        <f t="shared" si="18"/>
        <v>44317</v>
      </c>
      <c r="J67" s="1849">
        <f t="shared" si="18"/>
        <v>44228</v>
      </c>
      <c r="K67" s="1849">
        <f t="shared" si="18"/>
        <v>44136</v>
      </c>
      <c r="L67" s="1849">
        <f t="shared" si="18"/>
        <v>44044</v>
      </c>
      <c r="M67" s="1849">
        <f t="shared" si="18"/>
        <v>43952</v>
      </c>
      <c r="N67" s="1849">
        <f t="shared" si="18"/>
        <v>43862</v>
      </c>
      <c r="O67" s="1849">
        <f t="shared" si="18"/>
        <v>43770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5" t="s">
        <v>2006</v>
      </c>
      <c r="D4" s="3386"/>
      <c r="E4" s="3387" t="s">
        <v>2007</v>
      </c>
      <c r="F4" s="3388"/>
      <c r="G4" s="3385" t="s">
        <v>2008</v>
      </c>
      <c r="H4" s="3386"/>
      <c r="I4" s="3385" t="s">
        <v>2009</v>
      </c>
      <c r="J4" s="3386"/>
      <c r="K4" s="482" t="s">
        <v>2010</v>
      </c>
      <c r="L4" s="2715"/>
      <c r="P4" s="3389" t="s">
        <v>2011</v>
      </c>
      <c r="Q4" s="3390"/>
      <c r="R4" s="3395" t="s">
        <v>2007</v>
      </c>
      <c r="S4" s="3396"/>
      <c r="T4" s="3395" t="s">
        <v>2008</v>
      </c>
      <c r="U4" s="3396"/>
      <c r="V4" s="3401" t="s">
        <v>2009</v>
      </c>
      <c r="W4" s="3401"/>
      <c r="X4" s="1201"/>
      <c r="Y4" s="3395" t="s">
        <v>2011</v>
      </c>
      <c r="Z4" s="3396"/>
      <c r="AA4" s="3382" t="s">
        <v>2007</v>
      </c>
      <c r="AB4" s="3383" t="s">
        <v>2008</v>
      </c>
      <c r="AC4" s="3382" t="s">
        <v>2009</v>
      </c>
    </row>
    <row r="5" spans="1:29">
      <c r="A5" s="293"/>
      <c r="B5" s="294"/>
      <c r="C5" s="3378" t="s">
        <v>2012</v>
      </c>
      <c r="D5" s="3379"/>
      <c r="E5" s="3402" t="s">
        <v>2013</v>
      </c>
      <c r="F5" s="3403"/>
      <c r="G5" s="3378" t="s">
        <v>2014</v>
      </c>
      <c r="H5" s="3379"/>
      <c r="I5" s="3378" t="s">
        <v>2015</v>
      </c>
      <c r="J5" s="3379"/>
      <c r="K5" s="482"/>
      <c r="L5" s="2715"/>
      <c r="P5" s="3391"/>
      <c r="Q5" s="3392"/>
      <c r="R5" s="3397"/>
      <c r="S5" s="3398"/>
      <c r="T5" s="3397"/>
      <c r="U5" s="3398"/>
      <c r="V5" s="3401"/>
      <c r="W5" s="3401"/>
      <c r="X5" s="1201"/>
      <c r="Y5" s="3397"/>
      <c r="Z5" s="3398"/>
      <c r="AA5" s="3383"/>
      <c r="AB5" s="3383"/>
      <c r="AC5" s="3383"/>
    </row>
    <row r="6" spans="1:29" ht="15" thickBot="1">
      <c r="A6" s="295"/>
      <c r="B6" s="296"/>
      <c r="C6" s="3375" t="s">
        <v>2016</v>
      </c>
      <c r="D6" s="3376"/>
      <c r="E6" s="3373" t="s">
        <v>2016</v>
      </c>
      <c r="F6" s="3374"/>
      <c r="G6" s="3375" t="s">
        <v>2016</v>
      </c>
      <c r="H6" s="3376"/>
      <c r="I6" s="3375" t="s">
        <v>2016</v>
      </c>
      <c r="J6" s="3376"/>
      <c r="K6" s="482" t="s">
        <v>2017</v>
      </c>
      <c r="L6" s="2715"/>
      <c r="P6" s="3393"/>
      <c r="Q6" s="3394"/>
      <c r="R6" s="3397"/>
      <c r="S6" s="3398"/>
      <c r="T6" s="3399"/>
      <c r="U6" s="3400"/>
      <c r="V6" s="3401"/>
      <c r="W6" s="3401"/>
      <c r="X6" s="1201"/>
      <c r="Y6" s="3399"/>
      <c r="Z6" s="3400"/>
      <c r="AA6" s="3384"/>
      <c r="AB6" s="3384"/>
      <c r="AC6" s="3384"/>
    </row>
    <row r="7" spans="1:29" s="24" customFormat="1" ht="15" thickBot="1">
      <c r="A7" s="297" t="s">
        <v>2018</v>
      </c>
      <c r="B7" s="298"/>
      <c r="C7" s="299">
        <f>'数据-取费表'!B2</f>
        <v>44883</v>
      </c>
      <c r="D7" s="300">
        <v>100</v>
      </c>
      <c r="E7" s="301"/>
      <c r="F7" s="302">
        <f>SUMIF(64:64,YEAR(E7)&amp;"-"&amp;INT((MONTH(E7)+2)/3),65:65)</f>
        <v>0</v>
      </c>
      <c r="G7" s="1413"/>
      <c r="H7" s="300">
        <f>SUMIF(64:64,YEAR(G7)&amp;"-"&amp;INT((MONTH(G7)+2)/3),65:65)</f>
        <v>0</v>
      </c>
      <c r="I7" s="1413"/>
      <c r="J7" s="300">
        <f>SUMIF(64:64,YEAR(I7)&amp;"-"&amp;INT((MONTH(I7)+2)/3),65:65)</f>
        <v>0</v>
      </c>
      <c r="K7" s="483"/>
      <c r="L7" s="2716"/>
      <c r="P7" s="3380" t="s">
        <v>2019</v>
      </c>
      <c r="Q7" s="3404"/>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77" t="s">
        <v>2025</v>
      </c>
      <c r="Q9" s="477" t="str">
        <f t="shared" ref="Q9:Q15" si="6">B9</f>
        <v>用途</v>
      </c>
      <c r="R9" s="600" t="s">
        <v>25</v>
      </c>
      <c r="S9" s="601">
        <f t="shared" si="0"/>
        <v>100</v>
      </c>
      <c r="T9" s="600" t="s">
        <v>25</v>
      </c>
      <c r="U9" s="601">
        <f t="shared" si="1"/>
        <v>100</v>
      </c>
      <c r="V9" s="600" t="s">
        <v>25</v>
      </c>
      <c r="W9" s="601">
        <f t="shared" si="2"/>
        <v>100</v>
      </c>
      <c r="X9" s="602"/>
      <c r="Y9" s="3407"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107</v>
      </c>
      <c r="G10" s="317"/>
      <c r="H10" s="25">
        <f>ROUND(100/'数据-取费表'!B14,0)</f>
        <v>107</v>
      </c>
      <c r="I10" s="317"/>
      <c r="J10" s="25">
        <f>ROUND(100/'数据-取费表'!B14,0)</f>
        <v>107</v>
      </c>
      <c r="K10" s="533"/>
      <c r="L10" s="2718"/>
      <c r="O10" s="2719"/>
      <c r="P10" s="3377"/>
      <c r="Q10" s="477" t="str">
        <f t="shared" si="6"/>
        <v>土地使用年限（年）</v>
      </c>
      <c r="R10" s="600" t="s">
        <v>25</v>
      </c>
      <c r="S10" s="601">
        <f t="shared" si="0"/>
        <v>107</v>
      </c>
      <c r="T10" s="600" t="s">
        <v>25</v>
      </c>
      <c r="U10" s="601">
        <f t="shared" si="1"/>
        <v>107</v>
      </c>
      <c r="V10" s="600" t="s">
        <v>25</v>
      </c>
      <c r="W10" s="601">
        <f t="shared" si="2"/>
        <v>107</v>
      </c>
      <c r="X10" s="602"/>
      <c r="Y10" s="3407"/>
      <c r="Z10" s="18" t="str">
        <f t="shared" si="7"/>
        <v>土地使用年限（年）</v>
      </c>
      <c r="AA10" s="18">
        <f t="shared" si="3"/>
        <v>0.93457943925233644</v>
      </c>
      <c r="AB10" s="18">
        <f t="shared" si="4"/>
        <v>0.93457943925233644</v>
      </c>
      <c r="AC10" s="18">
        <f t="shared" si="5"/>
        <v>0.93457943925233644</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77"/>
      <c r="Q11" s="477" t="str">
        <f t="shared" si="6"/>
        <v>容积率</v>
      </c>
      <c r="R11" s="600" t="s">
        <v>25</v>
      </c>
      <c r="S11" s="601" t="e">
        <f t="shared" si="0"/>
        <v>#N/A</v>
      </c>
      <c r="T11" s="600" t="s">
        <v>25</v>
      </c>
      <c r="U11" s="601" t="e">
        <f t="shared" si="1"/>
        <v>#N/A</v>
      </c>
      <c r="V11" s="600" t="s">
        <v>25</v>
      </c>
      <c r="W11" s="601" t="e">
        <f t="shared" si="2"/>
        <v>#N/A</v>
      </c>
      <c r="X11" s="602"/>
      <c r="Y11" s="3407"/>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77"/>
      <c r="Q12" s="477">
        <f t="shared" si="6"/>
        <v>111</v>
      </c>
      <c r="R12" s="600" t="s">
        <v>25</v>
      </c>
      <c r="S12" s="601">
        <f t="shared" si="0"/>
        <v>100</v>
      </c>
      <c r="T12" s="600" t="s">
        <v>25</v>
      </c>
      <c r="U12" s="601">
        <f t="shared" si="1"/>
        <v>100</v>
      </c>
      <c r="V12" s="600" t="s">
        <v>25</v>
      </c>
      <c r="W12" s="601">
        <f t="shared" si="2"/>
        <v>100</v>
      </c>
      <c r="X12" s="602"/>
      <c r="Y12" s="3407"/>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77"/>
      <c r="Q13" s="477">
        <f t="shared" si="6"/>
        <v>111</v>
      </c>
      <c r="R13" s="600" t="s">
        <v>25</v>
      </c>
      <c r="S13" s="601">
        <f t="shared" si="0"/>
        <v>100</v>
      </c>
      <c r="T13" s="600" t="s">
        <v>25</v>
      </c>
      <c r="U13" s="601">
        <f t="shared" si="1"/>
        <v>100</v>
      </c>
      <c r="V13" s="600" t="s">
        <v>25</v>
      </c>
      <c r="W13" s="601">
        <f t="shared" si="2"/>
        <v>100</v>
      </c>
      <c r="X13" s="602"/>
      <c r="Y13" s="3407"/>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77"/>
      <c r="Q14" s="477">
        <f t="shared" si="6"/>
        <v>111</v>
      </c>
      <c r="R14" s="600" t="s">
        <v>25</v>
      </c>
      <c r="S14" s="601">
        <f t="shared" si="0"/>
        <v>100</v>
      </c>
      <c r="T14" s="600" t="s">
        <v>25</v>
      </c>
      <c r="U14" s="601">
        <f t="shared" si="1"/>
        <v>100</v>
      </c>
      <c r="V14" s="600" t="s">
        <v>25</v>
      </c>
      <c r="W14" s="601">
        <f t="shared" si="2"/>
        <v>100</v>
      </c>
      <c r="X14" s="602"/>
      <c r="Y14" s="3407"/>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405" t="s">
        <v>2030</v>
      </c>
      <c r="Q15" s="635" t="str">
        <f t="shared" si="6"/>
        <v>产业集聚程度</v>
      </c>
      <c r="R15" s="603" t="s">
        <v>25</v>
      </c>
      <c r="S15" s="604">
        <f t="shared" si="0"/>
        <v>100</v>
      </c>
      <c r="T15" s="603" t="s">
        <v>25</v>
      </c>
      <c r="U15" s="604">
        <f t="shared" si="1"/>
        <v>100</v>
      </c>
      <c r="V15" s="603" t="s">
        <v>25</v>
      </c>
      <c r="W15" s="604">
        <f t="shared" si="2"/>
        <v>100</v>
      </c>
      <c r="X15" s="1201"/>
      <c r="Y15" s="3405"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406"/>
      <c r="Q16" s="635"/>
      <c r="R16" s="603"/>
      <c r="S16" s="604"/>
      <c r="T16" s="603"/>
      <c r="U16" s="604"/>
      <c r="V16" s="603"/>
      <c r="W16" s="604"/>
      <c r="X16" s="1201"/>
      <c r="Y16" s="3406"/>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406"/>
      <c r="Q17" s="635" t="str">
        <f>B17</f>
        <v>交通便捷度</v>
      </c>
      <c r="R17" s="603" t="s">
        <v>25</v>
      </c>
      <c r="S17" s="604">
        <f>F17</f>
        <v>100</v>
      </c>
      <c r="T17" s="603" t="s">
        <v>25</v>
      </c>
      <c r="U17" s="604">
        <f>H17</f>
        <v>100</v>
      </c>
      <c r="V17" s="603" t="s">
        <v>25</v>
      </c>
      <c r="W17" s="604">
        <f>J17</f>
        <v>100</v>
      </c>
      <c r="X17" s="1201"/>
      <c r="Y17" s="3406"/>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406"/>
      <c r="Q18" s="635"/>
      <c r="R18" s="603"/>
      <c r="S18" s="604"/>
      <c r="T18" s="603"/>
      <c r="U18" s="604"/>
      <c r="V18" s="603"/>
      <c r="W18" s="604"/>
      <c r="X18" s="1201"/>
      <c r="Y18" s="3406"/>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406"/>
      <c r="Q19" s="635" t="str">
        <f t="shared" ref="Q19:Q33" si="8">B19</f>
        <v>区域土地利用方向</v>
      </c>
      <c r="R19" s="603" t="s">
        <v>25</v>
      </c>
      <c r="S19" s="604">
        <f>F19</f>
        <v>100</v>
      </c>
      <c r="T19" s="603" t="s">
        <v>25</v>
      </c>
      <c r="U19" s="604">
        <f>H19</f>
        <v>100</v>
      </c>
      <c r="V19" s="603" t="s">
        <v>25</v>
      </c>
      <c r="W19" s="604">
        <f>J19</f>
        <v>100</v>
      </c>
      <c r="X19" s="1201"/>
      <c r="Y19" s="3406"/>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406"/>
      <c r="Q20" s="635"/>
      <c r="R20" s="603"/>
      <c r="S20" s="604"/>
      <c r="T20" s="603"/>
      <c r="U20" s="604"/>
      <c r="V20" s="603"/>
      <c r="W20" s="604"/>
      <c r="X20" s="1201"/>
      <c r="Y20" s="3406"/>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406"/>
      <c r="Q21" s="635" t="str">
        <f t="shared" si="8"/>
        <v>环境状况</v>
      </c>
      <c r="R21" s="603" t="s">
        <v>25</v>
      </c>
      <c r="S21" s="604">
        <f>F21</f>
        <v>100</v>
      </c>
      <c r="T21" s="603" t="s">
        <v>25</v>
      </c>
      <c r="U21" s="604">
        <f>H21</f>
        <v>100</v>
      </c>
      <c r="V21" s="603" t="s">
        <v>25</v>
      </c>
      <c r="W21" s="604">
        <f>J21</f>
        <v>100</v>
      </c>
      <c r="X21" s="1201"/>
      <c r="Y21" s="3406"/>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406"/>
      <c r="Q22" s="635"/>
      <c r="R22" s="603"/>
      <c r="S22" s="604"/>
      <c r="T22" s="603"/>
      <c r="U22" s="604"/>
      <c r="V22" s="603"/>
      <c r="W22" s="604"/>
      <c r="X22" s="1201"/>
      <c r="Y22" s="3406"/>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406"/>
      <c r="Q23" s="477" t="str">
        <f t="shared" si="8"/>
        <v>公共配套设施</v>
      </c>
      <c r="R23" s="600" t="s">
        <v>25</v>
      </c>
      <c r="S23" s="601">
        <f>F23</f>
        <v>100</v>
      </c>
      <c r="T23" s="600" t="s">
        <v>25</v>
      </c>
      <c r="U23" s="601">
        <f>H23</f>
        <v>100</v>
      </c>
      <c r="V23" s="600" t="s">
        <v>25</v>
      </c>
      <c r="W23" s="601">
        <f>J23</f>
        <v>100</v>
      </c>
      <c r="X23" s="602"/>
      <c r="Y23" s="3406"/>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406"/>
      <c r="Q24" s="477"/>
      <c r="R24" s="600"/>
      <c r="S24" s="601"/>
      <c r="T24" s="600"/>
      <c r="U24" s="601"/>
      <c r="V24" s="600"/>
      <c r="W24" s="601"/>
      <c r="X24" s="602"/>
      <c r="Y24" s="3406"/>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406"/>
      <c r="Q25" s="477" t="str">
        <f t="shared" ref="Q25" si="9">B25</f>
        <v>基础设施水平</v>
      </c>
      <c r="R25" s="600" t="s">
        <v>25</v>
      </c>
      <c r="S25" s="601">
        <f>F25</f>
        <v>100</v>
      </c>
      <c r="T25" s="600" t="s">
        <v>25</v>
      </c>
      <c r="U25" s="601">
        <f>H25</f>
        <v>100</v>
      </c>
      <c r="V25" s="600" t="s">
        <v>25</v>
      </c>
      <c r="W25" s="601">
        <f>J25</f>
        <v>100</v>
      </c>
      <c r="X25" s="602"/>
      <c r="Y25" s="3406"/>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406"/>
      <c r="Q26" s="477"/>
      <c r="R26" s="600"/>
      <c r="S26" s="601"/>
      <c r="T26" s="600"/>
      <c r="U26" s="601"/>
      <c r="V26" s="600"/>
      <c r="W26" s="601"/>
      <c r="X26" s="602"/>
      <c r="Y26" s="3406"/>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406"/>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406"/>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406"/>
      <c r="Q28" s="635" t="str">
        <f t="shared" si="8"/>
        <v>毗邻道路的类型与等级</v>
      </c>
      <c r="R28" s="603" t="s">
        <v>25</v>
      </c>
      <c r="S28" s="604">
        <f t="shared" si="10"/>
        <v>100</v>
      </c>
      <c r="T28" s="603" t="s">
        <v>25</v>
      </c>
      <c r="U28" s="604">
        <f t="shared" si="11"/>
        <v>100</v>
      </c>
      <c r="V28" s="603" t="s">
        <v>25</v>
      </c>
      <c r="W28" s="604">
        <f t="shared" si="12"/>
        <v>100</v>
      </c>
      <c r="X28" s="1201"/>
      <c r="Y28" s="3406"/>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406"/>
      <c r="Q29" s="635"/>
      <c r="R29" s="603"/>
      <c r="S29" s="604"/>
      <c r="T29" s="603"/>
      <c r="U29" s="604"/>
      <c r="V29" s="603"/>
      <c r="W29" s="604"/>
      <c r="X29" s="1201"/>
      <c r="Y29" s="3406"/>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406"/>
      <c r="Q30" s="635" t="str">
        <f t="shared" si="8"/>
        <v>土地级别</v>
      </c>
      <c r="R30" s="603" t="s">
        <v>25</v>
      </c>
      <c r="S30" s="604">
        <f t="shared" si="10"/>
        <v>100</v>
      </c>
      <c r="T30" s="603" t="s">
        <v>25</v>
      </c>
      <c r="U30" s="604">
        <f t="shared" si="11"/>
        <v>100</v>
      </c>
      <c r="V30" s="603" t="s">
        <v>25</v>
      </c>
      <c r="W30" s="604">
        <f t="shared" si="12"/>
        <v>100</v>
      </c>
      <c r="X30" s="1201"/>
      <c r="Y30" s="3406"/>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406"/>
      <c r="Q31" s="635">
        <f t="shared" si="8"/>
        <v>111</v>
      </c>
      <c r="R31" s="603" t="s">
        <v>25</v>
      </c>
      <c r="S31" s="604">
        <f t="shared" si="10"/>
        <v>100</v>
      </c>
      <c r="T31" s="603" t="s">
        <v>25</v>
      </c>
      <c r="U31" s="604">
        <f t="shared" si="11"/>
        <v>100</v>
      </c>
      <c r="V31" s="603" t="s">
        <v>25</v>
      </c>
      <c r="W31" s="604">
        <f t="shared" si="12"/>
        <v>100</v>
      </c>
      <c r="X31" s="1201"/>
      <c r="Y31" s="3406"/>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408" t="s">
        <v>2036</v>
      </c>
      <c r="Q32" s="635">
        <f t="shared" si="8"/>
        <v>111</v>
      </c>
      <c r="R32" s="603" t="s">
        <v>25</v>
      </c>
      <c r="S32" s="604">
        <f t="shared" si="10"/>
        <v>100</v>
      </c>
      <c r="T32" s="603" t="s">
        <v>25</v>
      </c>
      <c r="U32" s="604">
        <f t="shared" si="11"/>
        <v>100</v>
      </c>
      <c r="V32" s="603" t="s">
        <v>25</v>
      </c>
      <c r="W32" s="604">
        <f t="shared" si="12"/>
        <v>100</v>
      </c>
      <c r="X32" s="1201"/>
      <c r="Y32" s="3409"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409"/>
      <c r="Q33" s="635">
        <f t="shared" si="8"/>
        <v>111</v>
      </c>
      <c r="R33" s="606" t="s">
        <v>25</v>
      </c>
      <c r="S33" s="607">
        <f t="shared" si="10"/>
        <v>100</v>
      </c>
      <c r="T33" s="606" t="s">
        <v>25</v>
      </c>
      <c r="U33" s="607">
        <f t="shared" si="11"/>
        <v>100</v>
      </c>
      <c r="V33" s="606" t="s">
        <v>25</v>
      </c>
      <c r="W33" s="607">
        <f t="shared" si="12"/>
        <v>100</v>
      </c>
      <c r="X33" s="608"/>
      <c r="Y33" s="3409"/>
      <c r="Z33" s="609">
        <f t="shared" si="13"/>
        <v>111</v>
      </c>
      <c r="AA33" s="1202">
        <f t="shared" si="3"/>
        <v>1</v>
      </c>
      <c r="AB33" s="1202">
        <f t="shared" si="4"/>
        <v>1</v>
      </c>
      <c r="AC33" s="1202">
        <f t="shared" si="5"/>
        <v>1</v>
      </c>
    </row>
    <row r="34" spans="1:29" ht="15.6">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409"/>
      <c r="Q34" s="635" t="str">
        <f>B34</f>
        <v>宗地面积</v>
      </c>
      <c r="R34" s="603" t="s">
        <v>25</v>
      </c>
      <c r="S34" s="604" t="e">
        <f t="shared" si="10"/>
        <v>#N/A</v>
      </c>
      <c r="T34" s="603" t="s">
        <v>25</v>
      </c>
      <c r="U34" s="604" t="e">
        <f t="shared" si="11"/>
        <v>#N/A</v>
      </c>
      <c r="V34" s="603" t="s">
        <v>25</v>
      </c>
      <c r="W34" s="604" t="e">
        <f t="shared" si="12"/>
        <v>#N/A</v>
      </c>
      <c r="X34" s="1201"/>
      <c r="Y34" s="3409"/>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409"/>
      <c r="Q35" s="635" t="str">
        <f t="shared" ref="Q35:Q40" si="14">B35</f>
        <v>宗地形状</v>
      </c>
      <c r="R35" s="603" t="s">
        <v>25</v>
      </c>
      <c r="S35" s="604">
        <f t="shared" si="10"/>
        <v>100</v>
      </c>
      <c r="T35" s="603" t="s">
        <v>25</v>
      </c>
      <c r="U35" s="604">
        <f t="shared" si="11"/>
        <v>100</v>
      </c>
      <c r="V35" s="603" t="s">
        <v>25</v>
      </c>
      <c r="W35" s="604">
        <f t="shared" si="12"/>
        <v>100</v>
      </c>
      <c r="X35" s="1201"/>
      <c r="Y35" s="3409"/>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409"/>
      <c r="Q36" s="635" t="str">
        <f t="shared" si="14"/>
        <v>宗地开发程度</v>
      </c>
      <c r="R36" s="600" t="s">
        <v>25</v>
      </c>
      <c r="S36" s="601">
        <f t="shared" si="10"/>
        <v>100</v>
      </c>
      <c r="T36" s="600" t="s">
        <v>25</v>
      </c>
      <c r="U36" s="601">
        <f t="shared" si="11"/>
        <v>100</v>
      </c>
      <c r="V36" s="600" t="s">
        <v>25</v>
      </c>
      <c r="W36" s="601">
        <f t="shared" si="12"/>
        <v>100</v>
      </c>
      <c r="X36" s="602"/>
      <c r="Y36" s="3409"/>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409" t="s">
        <v>2036</v>
      </c>
      <c r="Q37" s="635" t="str">
        <f t="shared" si="14"/>
        <v>工程地质条件</v>
      </c>
      <c r="R37" s="603" t="s">
        <v>25</v>
      </c>
      <c r="S37" s="604">
        <f t="shared" si="10"/>
        <v>100</v>
      </c>
      <c r="T37" s="603" t="s">
        <v>25</v>
      </c>
      <c r="U37" s="604">
        <f t="shared" si="11"/>
        <v>100</v>
      </c>
      <c r="V37" s="603" t="s">
        <v>25</v>
      </c>
      <c r="W37" s="604">
        <f t="shared" si="12"/>
        <v>100</v>
      </c>
      <c r="X37" s="1201"/>
      <c r="Y37" s="3409"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409"/>
      <c r="Q38" s="635">
        <f t="shared" si="14"/>
        <v>111</v>
      </c>
      <c r="R38" s="603" t="s">
        <v>25</v>
      </c>
      <c r="S38" s="604">
        <f t="shared" si="10"/>
        <v>100</v>
      </c>
      <c r="T38" s="603" t="s">
        <v>25</v>
      </c>
      <c r="U38" s="604">
        <f t="shared" si="11"/>
        <v>100</v>
      </c>
      <c r="V38" s="603" t="s">
        <v>25</v>
      </c>
      <c r="W38" s="604">
        <f t="shared" si="12"/>
        <v>100</v>
      </c>
      <c r="X38" s="1201"/>
      <c r="Y38" s="3409"/>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409"/>
      <c r="Q39" s="635">
        <f t="shared" si="14"/>
        <v>111</v>
      </c>
      <c r="R39" s="603" t="s">
        <v>25</v>
      </c>
      <c r="S39" s="604">
        <f t="shared" si="10"/>
        <v>100</v>
      </c>
      <c r="T39" s="603" t="s">
        <v>25</v>
      </c>
      <c r="U39" s="604">
        <f t="shared" si="11"/>
        <v>100</v>
      </c>
      <c r="V39" s="603" t="s">
        <v>25</v>
      </c>
      <c r="W39" s="604">
        <f t="shared" si="12"/>
        <v>100</v>
      </c>
      <c r="X39" s="1201"/>
      <c r="Y39" s="3409"/>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409"/>
      <c r="Q40" s="635">
        <f t="shared" si="14"/>
        <v>111</v>
      </c>
      <c r="R40" s="606" t="s">
        <v>25</v>
      </c>
      <c r="S40" s="607">
        <f t="shared" si="10"/>
        <v>100</v>
      </c>
      <c r="T40" s="606" t="s">
        <v>25</v>
      </c>
      <c r="U40" s="607">
        <f t="shared" si="11"/>
        <v>100</v>
      </c>
      <c r="V40" s="606" t="s">
        <v>25</v>
      </c>
      <c r="W40" s="607">
        <f t="shared" si="12"/>
        <v>100</v>
      </c>
      <c r="X40" s="608"/>
      <c r="Y40" s="3409"/>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77" t="str">
        <f>A41</f>
        <v>成交单价</v>
      </c>
      <c r="Q41" s="3377"/>
      <c r="R41" s="3401">
        <f>E41</f>
        <v>0</v>
      </c>
      <c r="S41" s="3401"/>
      <c r="T41" s="3401">
        <f>G41</f>
        <v>0</v>
      </c>
      <c r="U41" s="3401"/>
      <c r="V41" s="3401">
        <f>I41</f>
        <v>0</v>
      </c>
      <c r="W41" s="3401"/>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77" t="str">
        <f>A42</f>
        <v>比较价值（元/平方米）</v>
      </c>
      <c r="Q42" s="3377"/>
      <c r="R42" s="3417" t="e">
        <f>ROUND(PRODUCT(R41,AA7:AA40),0)</f>
        <v>#DIV/0!</v>
      </c>
      <c r="S42" s="3417"/>
      <c r="T42" s="3417" t="e">
        <f>ROUND(PRODUCT(T41,AB7:AB40),0)</f>
        <v>#DIV/0!</v>
      </c>
      <c r="U42" s="3417"/>
      <c r="V42" s="3417" t="e">
        <f>ROUND(PRODUCT(V41,AC7:AC40),0)</f>
        <v>#DIV/0!</v>
      </c>
      <c r="W42" s="3417"/>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411" t="str">
        <f>A43</f>
        <v>估价对象XX用房的比较价值（楼面单价，元/平方米）</v>
      </c>
      <c r="Q43" s="3412"/>
      <c r="R43" s="3416" t="e">
        <f>ROUND(IF(D42="简单平均",AVERAGE(R42:W42),R42*F42+T42*H42+V42*J42),0)</f>
        <v>#DIV/0!</v>
      </c>
      <c r="S43" s="3416"/>
      <c r="T43" s="3416"/>
      <c r="U43" s="3416"/>
      <c r="V43" s="3416"/>
      <c r="W43" s="3416"/>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2022-11-1</v>
      </c>
      <c r="D62" s="1055">
        <f>EDATE(C62,-3)</f>
        <v>44774</v>
      </c>
      <c r="E62" s="1055">
        <f t="shared" ref="E62:O62" si="18">EDATE(D62,-3)</f>
        <v>44682</v>
      </c>
      <c r="F62" s="1055">
        <f t="shared" si="18"/>
        <v>44593</v>
      </c>
      <c r="G62" s="1055">
        <f t="shared" si="18"/>
        <v>44501</v>
      </c>
      <c r="H62" s="1055">
        <f t="shared" si="18"/>
        <v>44409</v>
      </c>
      <c r="I62" s="1055">
        <f t="shared" si="18"/>
        <v>44317</v>
      </c>
      <c r="J62" s="1055">
        <f t="shared" si="18"/>
        <v>44228</v>
      </c>
      <c r="K62" s="1055">
        <f t="shared" si="18"/>
        <v>44136</v>
      </c>
      <c r="L62" s="1055">
        <f t="shared" si="18"/>
        <v>44044</v>
      </c>
      <c r="M62" s="1055">
        <f t="shared" si="18"/>
        <v>43952</v>
      </c>
      <c r="N62" s="1055">
        <f t="shared" si="18"/>
        <v>43862</v>
      </c>
      <c r="O62" s="1055">
        <f t="shared" si="18"/>
        <v>43770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估价对象为北京市房地产，为XX所有。根据《》[]，估价对象建筑面积为440.01平方米。根据《》[]，估价对象（分摊）出让国有建设用地使用权面积为平方米。估价对象用途为。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2022年11月18日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440.01</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35"/>
      <c r="B4" s="3436"/>
      <c r="C4" s="3436"/>
      <c r="D4" s="3437"/>
      <c r="E4" s="3437"/>
      <c r="F4" s="3437"/>
      <c r="G4" s="3437"/>
      <c r="H4" s="3437"/>
      <c r="I4" s="3437"/>
      <c r="J4" s="3438"/>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39"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40"/>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33" t="s">
        <v>2291</v>
      </c>
      <c r="X8" s="3434"/>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40"/>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34"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40"/>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34"/>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40"/>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34"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39">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34"/>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41"/>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34"/>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41"/>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42"/>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18">
        <f>IF(E2="办公",2,IF(E2="工业",2,IF(E2="住宅",3,IF(E2="商业",IF(C8="不临58条商业街",2,3)))))</f>
        <v>3</v>
      </c>
      <c r="B16" s="1467" t="s">
        <v>2337</v>
      </c>
      <c r="C16" s="1444">
        <f>ROUND(IF(F17="与级别开发程度一致",0,(G17-E17)/C17),0)</f>
        <v>0</v>
      </c>
      <c r="D16" s="3431" t="s">
        <v>2341</v>
      </c>
      <c r="E16" s="3432"/>
      <c r="F16" s="3431" t="s">
        <v>2338</v>
      </c>
      <c r="G16" s="3432"/>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19"/>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44883</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0.94330000000000003</v>
      </c>
      <c r="D20" s="1986" t="s">
        <v>2353</v>
      </c>
      <c r="E20" s="2817">
        <f>存贷款利率!E22/100</f>
        <v>4.3499999999999997E-2</v>
      </c>
      <c r="F20" s="1986" t="s">
        <v>2342</v>
      </c>
      <c r="G20" s="2818">
        <f>SUMIF(M26:P26,E2,M28:P28)</f>
        <v>0.05</v>
      </c>
      <c r="H20" s="1986" t="s">
        <v>2354</v>
      </c>
      <c r="I20" s="1987">
        <f>'数据-取费表'!B13</f>
        <v>49.89</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440.01</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28"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29"/>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29"/>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30"/>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20" t="s">
        <v>2436</v>
      </c>
      <c r="B90" s="3420"/>
      <c r="C90" s="3420"/>
      <c r="D90" s="3420"/>
      <c r="E90" s="3420"/>
      <c r="F90" s="3420"/>
      <c r="G90" s="3420"/>
      <c r="H90" s="3420"/>
      <c r="I90" s="3420"/>
      <c r="J90" s="3420"/>
      <c r="K90" s="2081"/>
      <c r="L90" s="2081"/>
      <c r="M90" s="2081"/>
      <c r="N90" s="2081"/>
    </row>
    <row r="91" spans="1:33">
      <c r="A91" s="3422" t="s">
        <v>2437</v>
      </c>
      <c r="B91" s="3422" t="s">
        <v>2438</v>
      </c>
      <c r="C91" s="2025" t="s">
        <v>2439</v>
      </c>
      <c r="D91" s="2026"/>
      <c r="E91" s="2026"/>
      <c r="F91" s="2026"/>
      <c r="G91" s="2026"/>
      <c r="H91" s="2026"/>
      <c r="I91" s="2026"/>
      <c r="J91" s="2082"/>
      <c r="K91" s="1359"/>
      <c r="L91" s="1359"/>
      <c r="M91" s="1359"/>
      <c r="N91" s="1359"/>
    </row>
    <row r="92" spans="1:33">
      <c r="A92" s="3422"/>
      <c r="B92" s="3422"/>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23"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24"/>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24"/>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24"/>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24"/>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24"/>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24"/>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25"/>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23"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24"/>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24"/>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24"/>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24"/>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24"/>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24"/>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24"/>
      <c r="B108" s="3426"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25"/>
      <c r="B109" s="3427"/>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21" t="s">
        <v>2444</v>
      </c>
      <c r="B110" s="3421"/>
      <c r="C110" s="3421"/>
      <c r="D110" s="3421"/>
      <c r="E110" s="3421"/>
      <c r="F110" s="3421"/>
      <c r="G110" s="3421"/>
      <c r="H110" s="3421"/>
      <c r="I110" s="3421"/>
      <c r="J110" s="3421"/>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3" t="s">
        <v>597</v>
      </c>
      <c r="B1" s="3443"/>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3" t="s">
        <v>105</v>
      </c>
      <c r="B1" s="3443"/>
      <c r="C1" s="3443"/>
      <c r="D1" s="3443"/>
      <c r="E1" s="3443"/>
      <c r="F1" s="3443"/>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4" t="s">
        <v>118</v>
      </c>
      <c r="B2" s="3444"/>
      <c r="C2" s="3444"/>
      <c r="D2" s="3444"/>
      <c r="E2" s="3444"/>
      <c r="F2" s="3444"/>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5"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6"/>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51" t="s">
        <v>2802</v>
      </c>
      <c r="B20" s="3454" t="s">
        <v>2810</v>
      </c>
      <c r="C20" s="3024" t="s">
        <v>2811</v>
      </c>
      <c r="D20" s="3025"/>
      <c r="E20" s="3026">
        <v>1</v>
      </c>
      <c r="F20" s="3027" t="s">
        <v>2812</v>
      </c>
      <c r="G20" s="3027"/>
    </row>
    <row r="21" spans="1:13" ht="19.5" customHeight="1">
      <c r="A21" s="3452"/>
      <c r="B21" s="3450"/>
      <c r="C21" s="707" t="s">
        <v>2813</v>
      </c>
      <c r="D21" s="708"/>
      <c r="E21" s="3028">
        <v>1</v>
      </c>
      <c r="F21" s="3027" t="s">
        <v>2814</v>
      </c>
      <c r="G21" s="3027"/>
    </row>
    <row r="22" spans="1:13" ht="19.5" customHeight="1">
      <c r="A22" s="3452"/>
      <c r="B22" s="3450"/>
      <c r="C22" s="707" t="s">
        <v>2815</v>
      </c>
      <c r="D22" s="708"/>
      <c r="E22" s="3028">
        <v>0.9</v>
      </c>
      <c r="F22" s="3027" t="s">
        <v>2816</v>
      </c>
      <c r="G22" s="3027"/>
    </row>
    <row r="23" spans="1:13" ht="19.5" customHeight="1">
      <c r="A23" s="3452"/>
      <c r="B23" s="3450"/>
      <c r="C23" s="707" t="s">
        <v>2817</v>
      </c>
      <c r="D23" s="708"/>
      <c r="E23" s="3028">
        <v>0.9</v>
      </c>
      <c r="F23" s="3027" t="s">
        <v>2818</v>
      </c>
      <c r="G23" s="3027"/>
    </row>
    <row r="24" spans="1:13" ht="19.5" customHeight="1">
      <c r="A24" s="3452"/>
      <c r="B24" s="3450"/>
      <c r="C24" s="707" t="s">
        <v>2819</v>
      </c>
      <c r="D24" s="708"/>
      <c r="E24" s="3028">
        <v>0.8</v>
      </c>
      <c r="F24" s="3027" t="s">
        <v>2820</v>
      </c>
      <c r="G24" s="3027"/>
    </row>
    <row r="25" spans="1:13" ht="19.5" customHeight="1" thickBot="1">
      <c r="A25" s="3453"/>
      <c r="B25" s="3455"/>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56" t="s">
        <v>2807</v>
      </c>
      <c r="B27" s="3454" t="s">
        <v>2807</v>
      </c>
      <c r="C27" s="3024" t="s">
        <v>2824</v>
      </c>
      <c r="D27" s="3025"/>
      <c r="E27" s="3026">
        <v>1</v>
      </c>
      <c r="F27" s="3027" t="s">
        <v>2865</v>
      </c>
      <c r="G27" s="3027"/>
    </row>
    <row r="28" spans="1:13" ht="19.5" customHeight="1">
      <c r="A28" s="3457"/>
      <c r="B28" s="3450"/>
      <c r="C28" s="707" t="s">
        <v>2825</v>
      </c>
      <c r="D28" s="708"/>
      <c r="E28" s="3028">
        <v>1</v>
      </c>
      <c r="F28" s="3027" t="s">
        <v>2866</v>
      </c>
      <c r="G28" s="3027"/>
    </row>
    <row r="29" spans="1:13" ht="19.5" customHeight="1">
      <c r="A29" s="3457"/>
      <c r="B29" s="3450"/>
      <c r="C29" s="707" t="s">
        <v>2826</v>
      </c>
      <c r="D29" s="708"/>
      <c r="E29" s="3028">
        <v>0.8</v>
      </c>
      <c r="F29" s="3027" t="s">
        <v>2867</v>
      </c>
      <c r="G29" s="3027"/>
    </row>
    <row r="30" spans="1:13" ht="19.5" customHeight="1">
      <c r="A30" s="3457"/>
      <c r="B30" s="3450"/>
      <c r="C30" s="707" t="s">
        <v>2827</v>
      </c>
      <c r="D30" s="708"/>
      <c r="E30" s="3028">
        <v>0.8</v>
      </c>
      <c r="F30" s="3027" t="s">
        <v>2868</v>
      </c>
      <c r="G30" s="3027"/>
    </row>
    <row r="31" spans="1:13" ht="19.5" customHeight="1">
      <c r="A31" s="3457"/>
      <c r="B31" s="3450"/>
      <c r="C31" s="707" t="s">
        <v>2828</v>
      </c>
      <c r="D31" s="708"/>
      <c r="E31" s="3028">
        <v>0.8</v>
      </c>
      <c r="F31" s="3027" t="s">
        <v>2869</v>
      </c>
      <c r="G31" s="3027"/>
    </row>
    <row r="32" spans="1:13" ht="19.5" customHeight="1">
      <c r="A32" s="3457"/>
      <c r="B32" s="3450"/>
      <c r="C32" s="707" t="s">
        <v>2829</v>
      </c>
      <c r="D32" s="708"/>
      <c r="E32" s="3028">
        <v>0.7</v>
      </c>
      <c r="F32" s="3027" t="s">
        <v>2870</v>
      </c>
      <c r="G32" s="3027"/>
    </row>
    <row r="33" spans="1:7" ht="19.5" customHeight="1">
      <c r="A33" s="3457"/>
      <c r="B33" s="3450"/>
      <c r="C33" s="707" t="s">
        <v>2830</v>
      </c>
      <c r="D33" s="708"/>
      <c r="E33" s="3028">
        <v>0.8</v>
      </c>
      <c r="F33" s="3027" t="s">
        <v>2871</v>
      </c>
      <c r="G33" s="3027"/>
    </row>
    <row r="34" spans="1:7" ht="19.5" customHeight="1">
      <c r="A34" s="3457"/>
      <c r="B34" s="3450"/>
      <c r="C34" s="707" t="s">
        <v>2831</v>
      </c>
      <c r="D34" s="708"/>
      <c r="E34" s="3028">
        <v>0.6</v>
      </c>
      <c r="F34" s="3027" t="s">
        <v>2872</v>
      </c>
      <c r="G34" s="3027"/>
    </row>
    <row r="35" spans="1:7" ht="19.5" customHeight="1">
      <c r="A35" s="3457"/>
      <c r="B35" s="3450"/>
      <c r="C35" s="707" t="s">
        <v>2832</v>
      </c>
      <c r="D35" s="708"/>
      <c r="E35" s="3028">
        <v>0.2</v>
      </c>
      <c r="F35" s="3027" t="s">
        <v>2873</v>
      </c>
      <c r="G35" s="3027"/>
    </row>
    <row r="36" spans="1:7" ht="19.5" customHeight="1">
      <c r="A36" s="3457"/>
      <c r="B36" s="3450"/>
      <c r="C36" s="707" t="s">
        <v>2833</v>
      </c>
      <c r="D36" s="708"/>
      <c r="E36" s="3028">
        <v>0.2</v>
      </c>
      <c r="F36" s="3027" t="s">
        <v>2874</v>
      </c>
      <c r="G36" s="3027"/>
    </row>
    <row r="37" spans="1:7" ht="19.5" customHeight="1">
      <c r="A37" s="3457"/>
      <c r="B37" s="3448" t="s">
        <v>2834</v>
      </c>
      <c r="C37" s="707" t="s">
        <v>2835</v>
      </c>
      <c r="D37" s="708"/>
      <c r="E37" s="3028">
        <v>0.6</v>
      </c>
      <c r="F37" s="3027" t="s">
        <v>2875</v>
      </c>
      <c r="G37" s="3027"/>
    </row>
    <row r="38" spans="1:7" ht="19.5" customHeight="1">
      <c r="A38" s="3457"/>
      <c r="B38" s="3450"/>
      <c r="C38" s="707" t="s">
        <v>2836</v>
      </c>
      <c r="D38" s="708"/>
      <c r="E38" s="3028">
        <v>0.6</v>
      </c>
      <c r="F38" s="3027" t="s">
        <v>2876</v>
      </c>
      <c r="G38" s="3027"/>
    </row>
    <row r="39" spans="1:7" ht="19.5" customHeight="1" thickBot="1">
      <c r="A39" s="3458"/>
      <c r="B39" s="3455"/>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51" t="s">
        <v>2840</v>
      </c>
      <c r="B41" s="3454" t="s">
        <v>2841</v>
      </c>
      <c r="C41" s="3024" t="s">
        <v>2842</v>
      </c>
      <c r="D41" s="3025"/>
      <c r="E41" s="3026">
        <v>1</v>
      </c>
      <c r="F41" s="3027" t="s">
        <v>2843</v>
      </c>
      <c r="G41" s="3027"/>
    </row>
    <row r="42" spans="1:7" ht="19.5" customHeight="1">
      <c r="A42" s="3452"/>
      <c r="B42" s="3450"/>
      <c r="C42" s="707" t="s">
        <v>2844</v>
      </c>
      <c r="D42" s="708"/>
      <c r="E42" s="3028">
        <v>1</v>
      </c>
      <c r="F42" s="3027" t="s">
        <v>2845</v>
      </c>
      <c r="G42" s="3027"/>
    </row>
    <row r="43" spans="1:7" ht="19.5" customHeight="1">
      <c r="A43" s="3452"/>
      <c r="B43" s="3449"/>
      <c r="C43" s="707" t="s">
        <v>2846</v>
      </c>
      <c r="D43" s="708"/>
      <c r="E43" s="3028">
        <v>1.5</v>
      </c>
      <c r="F43" s="3027" t="s">
        <v>2847</v>
      </c>
      <c r="G43" s="3027"/>
    </row>
    <row r="44" spans="1:7" ht="19.5" customHeight="1">
      <c r="A44" s="3452"/>
      <c r="B44" s="3037" t="s">
        <v>2807</v>
      </c>
      <c r="C44" s="707" t="s">
        <v>2806</v>
      </c>
      <c r="D44" s="708"/>
      <c r="E44" s="3028">
        <v>2</v>
      </c>
      <c r="F44" s="3027" t="s">
        <v>2848</v>
      </c>
      <c r="G44" s="3027"/>
    </row>
    <row r="45" spans="1:7" ht="19.5" customHeight="1">
      <c r="A45" s="3452"/>
      <c r="B45" s="3448" t="s">
        <v>2849</v>
      </c>
      <c r="C45" s="707" t="s">
        <v>2850</v>
      </c>
      <c r="D45" s="708"/>
      <c r="E45" s="3028">
        <v>1</v>
      </c>
      <c r="F45" s="3027" t="s">
        <v>2851</v>
      </c>
      <c r="G45" s="3027"/>
    </row>
    <row r="46" spans="1:7" ht="19.5" customHeight="1">
      <c r="A46" s="3452"/>
      <c r="B46" s="3450"/>
      <c r="C46" s="707" t="s">
        <v>2852</v>
      </c>
      <c r="D46" s="708"/>
      <c r="E46" s="3028">
        <v>1</v>
      </c>
      <c r="F46" s="3027" t="s">
        <v>2853</v>
      </c>
      <c r="G46" s="3027"/>
    </row>
    <row r="47" spans="1:7" ht="19.5" customHeight="1">
      <c r="A47" s="3452"/>
      <c r="B47" s="3450"/>
      <c r="C47" s="707" t="s">
        <v>2854</v>
      </c>
      <c r="D47" s="708"/>
      <c r="E47" s="3028">
        <v>1</v>
      </c>
      <c r="F47" s="3027" t="s">
        <v>2855</v>
      </c>
      <c r="G47" s="3027"/>
    </row>
    <row r="48" spans="1:7" ht="19.5" customHeight="1">
      <c r="A48" s="3452"/>
      <c r="B48" s="3450"/>
      <c r="C48" s="707" t="s">
        <v>2856</v>
      </c>
      <c r="D48" s="708"/>
      <c r="E48" s="3028">
        <v>1</v>
      </c>
      <c r="F48" s="3027" t="s">
        <v>2857</v>
      </c>
      <c r="G48" s="3027"/>
    </row>
    <row r="49" spans="1:7" ht="19.5" customHeight="1">
      <c r="A49" s="3452"/>
      <c r="B49" s="3450"/>
      <c r="C49" s="707" t="s">
        <v>2858</v>
      </c>
      <c r="D49" s="708"/>
      <c r="E49" s="3028">
        <v>1</v>
      </c>
      <c r="F49" s="3027" t="s">
        <v>2859</v>
      </c>
      <c r="G49" s="3027"/>
    </row>
    <row r="50" spans="1:7" ht="19.5" customHeight="1">
      <c r="A50" s="3452"/>
      <c r="B50" s="3450"/>
      <c r="C50" s="707" t="s">
        <v>2860</v>
      </c>
      <c r="D50" s="708"/>
      <c r="E50" s="3028">
        <v>1</v>
      </c>
      <c r="F50" s="3027" t="s">
        <v>2861</v>
      </c>
      <c r="G50" s="3027"/>
    </row>
    <row r="51" spans="1:7" ht="19.5" customHeight="1" thickBot="1">
      <c r="A51" s="3453"/>
      <c r="B51" s="3455"/>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8" t="s">
        <v>2880</v>
      </c>
      <c r="C73" s="3018" t="s">
        <v>2881</v>
      </c>
      <c r="D73" s="3018" t="s">
        <v>2882</v>
      </c>
      <c r="E73" s="3043">
        <v>0.2</v>
      </c>
      <c r="F73" s="3037">
        <v>25</v>
      </c>
    </row>
    <row r="74" spans="1:7" ht="24">
      <c r="A74" s="3037">
        <v>2</v>
      </c>
      <c r="B74" s="3450"/>
      <c r="C74" s="3018" t="s">
        <v>2883</v>
      </c>
      <c r="D74" s="3018" t="s">
        <v>2884</v>
      </c>
      <c r="E74" s="3043">
        <v>0.2</v>
      </c>
      <c r="F74" s="3037">
        <v>25</v>
      </c>
    </row>
    <row r="75" spans="1:7" ht="24">
      <c r="A75" s="3037">
        <v>3</v>
      </c>
      <c r="B75" s="3450"/>
      <c r="C75" s="3018" t="s">
        <v>2885</v>
      </c>
      <c r="D75" s="3018" t="s">
        <v>2886</v>
      </c>
      <c r="E75" s="3043">
        <v>0.2</v>
      </c>
      <c r="F75" s="3037">
        <v>25</v>
      </c>
    </row>
    <row r="76" spans="1:7" ht="14.4">
      <c r="A76" s="3037">
        <v>4</v>
      </c>
      <c r="B76" s="3450"/>
      <c r="C76" s="3018" t="s">
        <v>2887</v>
      </c>
      <c r="D76" s="3018" t="s">
        <v>2888</v>
      </c>
      <c r="E76" s="3043">
        <v>0.15</v>
      </c>
      <c r="F76" s="3037">
        <v>20</v>
      </c>
    </row>
    <row r="77" spans="1:7" ht="24">
      <c r="A77" s="3037">
        <v>5</v>
      </c>
      <c r="B77" s="3450"/>
      <c r="C77" s="3018" t="s">
        <v>2889</v>
      </c>
      <c r="D77" s="3018" t="s">
        <v>2890</v>
      </c>
      <c r="E77" s="3043">
        <v>0.15</v>
      </c>
      <c r="F77" s="3037">
        <v>20</v>
      </c>
    </row>
    <row r="78" spans="1:7" ht="24">
      <c r="A78" s="3037">
        <v>6</v>
      </c>
      <c r="B78" s="3450"/>
      <c r="C78" s="3018" t="s">
        <v>2891</v>
      </c>
      <c r="D78" s="3018" t="s">
        <v>2892</v>
      </c>
      <c r="E78" s="3043">
        <v>0.15</v>
      </c>
      <c r="F78" s="3037">
        <v>20</v>
      </c>
    </row>
    <row r="79" spans="1:7" ht="24">
      <c r="A79" s="3037">
        <v>7</v>
      </c>
      <c r="B79" s="3450"/>
      <c r="C79" s="3018" t="s">
        <v>2893</v>
      </c>
      <c r="D79" s="3018" t="s">
        <v>2894</v>
      </c>
      <c r="E79" s="3043">
        <v>0.15</v>
      </c>
      <c r="F79" s="3037">
        <v>20</v>
      </c>
    </row>
    <row r="80" spans="1:7" ht="24">
      <c r="A80" s="3037">
        <v>8</v>
      </c>
      <c r="B80" s="3450"/>
      <c r="C80" s="3018" t="s">
        <v>2895</v>
      </c>
      <c r="D80" s="3018" t="s">
        <v>2896</v>
      </c>
      <c r="E80" s="3043">
        <v>0.1</v>
      </c>
      <c r="F80" s="3037">
        <v>15</v>
      </c>
    </row>
    <row r="81" spans="1:6" ht="24">
      <c r="A81" s="3037">
        <v>9</v>
      </c>
      <c r="B81" s="3450"/>
      <c r="C81" s="3018" t="s">
        <v>2897</v>
      </c>
      <c r="D81" s="3018" t="s">
        <v>2898</v>
      </c>
      <c r="E81" s="3043">
        <v>0.1</v>
      </c>
      <c r="F81" s="3037">
        <v>15</v>
      </c>
    </row>
    <row r="82" spans="1:6" ht="24">
      <c r="A82" s="3037">
        <v>10</v>
      </c>
      <c r="B82" s="3450"/>
      <c r="C82" s="3018" t="s">
        <v>2899</v>
      </c>
      <c r="D82" s="3018" t="s">
        <v>2900</v>
      </c>
      <c r="E82" s="3043">
        <v>0.1</v>
      </c>
      <c r="F82" s="3037">
        <v>15</v>
      </c>
    </row>
    <row r="83" spans="1:6" ht="24">
      <c r="A83" s="3037">
        <v>11</v>
      </c>
      <c r="B83" s="3450"/>
      <c r="C83" s="3018" t="s">
        <v>2901</v>
      </c>
      <c r="D83" s="3018" t="s">
        <v>2902</v>
      </c>
      <c r="E83" s="3043">
        <v>0.1</v>
      </c>
      <c r="F83" s="3037">
        <v>15</v>
      </c>
    </row>
    <row r="84" spans="1:6" ht="24">
      <c r="A84" s="3037">
        <v>12</v>
      </c>
      <c r="B84" s="3450"/>
      <c r="C84" s="3018" t="s">
        <v>2903</v>
      </c>
      <c r="D84" s="3018" t="s">
        <v>2904</v>
      </c>
      <c r="E84" s="3043">
        <v>0.1</v>
      </c>
      <c r="F84" s="3037">
        <v>15</v>
      </c>
    </row>
    <row r="85" spans="1:6" ht="24">
      <c r="A85" s="3037">
        <v>13</v>
      </c>
      <c r="B85" s="3450"/>
      <c r="C85" s="3018" t="s">
        <v>2905</v>
      </c>
      <c r="D85" s="3018" t="s">
        <v>2906</v>
      </c>
      <c r="E85" s="3043">
        <v>0.1</v>
      </c>
      <c r="F85" s="3037">
        <v>15</v>
      </c>
    </row>
    <row r="86" spans="1:6" ht="24">
      <c r="A86" s="3037">
        <v>14</v>
      </c>
      <c r="B86" s="3450"/>
      <c r="C86" s="3018" t="s">
        <v>2907</v>
      </c>
      <c r="D86" s="3018" t="s">
        <v>2908</v>
      </c>
      <c r="E86" s="3043">
        <v>0.1</v>
      </c>
      <c r="F86" s="3037">
        <v>15</v>
      </c>
    </row>
    <row r="87" spans="1:6" ht="24">
      <c r="A87" s="3037">
        <v>15</v>
      </c>
      <c r="B87" s="3450"/>
      <c r="C87" s="3018" t="s">
        <v>2909</v>
      </c>
      <c r="D87" s="3018" t="s">
        <v>2910</v>
      </c>
      <c r="E87" s="3043">
        <v>0.1</v>
      </c>
      <c r="F87" s="3037">
        <v>15</v>
      </c>
    </row>
    <row r="88" spans="1:6" ht="24">
      <c r="A88" s="3037">
        <v>16</v>
      </c>
      <c r="B88" s="3450"/>
      <c r="C88" s="3018" t="s">
        <v>2911</v>
      </c>
      <c r="D88" s="3018" t="s">
        <v>2912</v>
      </c>
      <c r="E88" s="3043">
        <v>0.1</v>
      </c>
      <c r="F88" s="3037">
        <v>15</v>
      </c>
    </row>
    <row r="89" spans="1:6" ht="24">
      <c r="A89" s="3037">
        <v>17</v>
      </c>
      <c r="B89" s="3449"/>
      <c r="C89" s="3018" t="s">
        <v>2913</v>
      </c>
      <c r="D89" s="3018" t="s">
        <v>2914</v>
      </c>
      <c r="E89" s="3043">
        <v>0.1</v>
      </c>
      <c r="F89" s="3037">
        <v>15</v>
      </c>
    </row>
    <row r="90" spans="1:6" ht="14.4">
      <c r="A90" s="3037">
        <v>18</v>
      </c>
      <c r="B90" s="3448" t="s">
        <v>2915</v>
      </c>
      <c r="C90" s="3018" t="s">
        <v>2916</v>
      </c>
      <c r="D90" s="3018" t="s">
        <v>2917</v>
      </c>
      <c r="E90" s="3043">
        <v>0.2</v>
      </c>
      <c r="F90" s="3037">
        <v>25</v>
      </c>
    </row>
    <row r="91" spans="1:6" ht="24">
      <c r="A91" s="3037">
        <v>19</v>
      </c>
      <c r="B91" s="3450"/>
      <c r="C91" s="3018" t="s">
        <v>2918</v>
      </c>
      <c r="D91" s="3018" t="s">
        <v>2919</v>
      </c>
      <c r="E91" s="3043">
        <v>0.2</v>
      </c>
      <c r="F91" s="3037">
        <v>25</v>
      </c>
    </row>
    <row r="92" spans="1:6" ht="14.4">
      <c r="A92" s="3037">
        <v>20</v>
      </c>
      <c r="B92" s="3450"/>
      <c r="C92" s="3018" t="s">
        <v>2920</v>
      </c>
      <c r="D92" s="3018" t="s">
        <v>2921</v>
      </c>
      <c r="E92" s="3043">
        <v>0.15</v>
      </c>
      <c r="F92" s="3037">
        <v>20</v>
      </c>
    </row>
    <row r="93" spans="1:6" ht="24">
      <c r="A93" s="3037">
        <v>21</v>
      </c>
      <c r="B93" s="3450"/>
      <c r="C93" s="3018" t="s">
        <v>2922</v>
      </c>
      <c r="D93" s="3018" t="s">
        <v>2923</v>
      </c>
      <c r="E93" s="3043">
        <v>0.15</v>
      </c>
      <c r="F93" s="3037">
        <v>20</v>
      </c>
    </row>
    <row r="94" spans="1:6" ht="24">
      <c r="A94" s="3037">
        <v>22</v>
      </c>
      <c r="B94" s="3450"/>
      <c r="C94" s="3018" t="s">
        <v>2924</v>
      </c>
      <c r="D94" s="3018" t="s">
        <v>2925</v>
      </c>
      <c r="E94" s="3043">
        <v>0.15</v>
      </c>
      <c r="F94" s="3037">
        <v>20</v>
      </c>
    </row>
    <row r="95" spans="1:6" ht="36">
      <c r="A95" s="3037">
        <v>23</v>
      </c>
      <c r="B95" s="3450"/>
      <c r="C95" s="3018" t="s">
        <v>2926</v>
      </c>
      <c r="D95" s="3018" t="s">
        <v>2927</v>
      </c>
      <c r="E95" s="3043">
        <v>0.15</v>
      </c>
      <c r="F95" s="3037">
        <v>20</v>
      </c>
    </row>
    <row r="96" spans="1:6" ht="24">
      <c r="A96" s="3037">
        <v>24</v>
      </c>
      <c r="B96" s="3450"/>
      <c r="C96" s="3018" t="s">
        <v>2928</v>
      </c>
      <c r="D96" s="3018" t="s">
        <v>2929</v>
      </c>
      <c r="E96" s="3043">
        <v>0.1</v>
      </c>
      <c r="F96" s="3037">
        <v>15</v>
      </c>
    </row>
    <row r="97" spans="1:6" ht="24">
      <c r="A97" s="3037">
        <v>25</v>
      </c>
      <c r="B97" s="3450"/>
      <c r="C97" s="3018" t="s">
        <v>2930</v>
      </c>
      <c r="D97" s="3018" t="s">
        <v>2931</v>
      </c>
      <c r="E97" s="3043">
        <v>0.1</v>
      </c>
      <c r="F97" s="3037">
        <v>15</v>
      </c>
    </row>
    <row r="98" spans="1:6" ht="24">
      <c r="A98" s="3037">
        <v>26</v>
      </c>
      <c r="B98" s="3450"/>
      <c r="C98" s="3018" t="s">
        <v>2932</v>
      </c>
      <c r="D98" s="3018" t="s">
        <v>2933</v>
      </c>
      <c r="E98" s="3043">
        <v>0.1</v>
      </c>
      <c r="F98" s="3037">
        <v>15</v>
      </c>
    </row>
    <row r="99" spans="1:6" ht="24">
      <c r="A99" s="3037">
        <v>27</v>
      </c>
      <c r="B99" s="3450"/>
      <c r="C99" s="3018" t="s">
        <v>2934</v>
      </c>
      <c r="D99" s="3018" t="s">
        <v>2935</v>
      </c>
      <c r="E99" s="3043">
        <v>0.1</v>
      </c>
      <c r="F99" s="3037">
        <v>15</v>
      </c>
    </row>
    <row r="100" spans="1:6" ht="24">
      <c r="A100" s="3037">
        <v>28</v>
      </c>
      <c r="B100" s="3450"/>
      <c r="C100" s="3018" t="s">
        <v>2936</v>
      </c>
      <c r="D100" s="3018" t="s">
        <v>2937</v>
      </c>
      <c r="E100" s="3043">
        <v>0.1</v>
      </c>
      <c r="F100" s="3037">
        <v>15</v>
      </c>
    </row>
    <row r="101" spans="1:6" ht="24">
      <c r="A101" s="3037">
        <v>29</v>
      </c>
      <c r="B101" s="3450"/>
      <c r="C101" s="3018" t="s">
        <v>2938</v>
      </c>
      <c r="D101" s="3018" t="s">
        <v>2939</v>
      </c>
      <c r="E101" s="3043">
        <v>0.1</v>
      </c>
      <c r="F101" s="3037">
        <v>15</v>
      </c>
    </row>
    <row r="102" spans="1:6" ht="24">
      <c r="A102" s="3037">
        <v>30</v>
      </c>
      <c r="B102" s="3450"/>
      <c r="C102" s="3018" t="s">
        <v>2940</v>
      </c>
      <c r="D102" s="3018" t="s">
        <v>2941</v>
      </c>
      <c r="E102" s="3043">
        <v>0.1</v>
      </c>
      <c r="F102" s="3037">
        <v>15</v>
      </c>
    </row>
    <row r="103" spans="1:6" ht="24">
      <c r="A103" s="3037">
        <v>31</v>
      </c>
      <c r="B103" s="3450"/>
      <c r="C103" s="3018" t="s">
        <v>2942</v>
      </c>
      <c r="D103" s="3018" t="s">
        <v>2943</v>
      </c>
      <c r="E103" s="3043">
        <v>0.1</v>
      </c>
      <c r="F103" s="3037">
        <v>15</v>
      </c>
    </row>
    <row r="104" spans="1:6" ht="24">
      <c r="A104" s="3037">
        <v>32</v>
      </c>
      <c r="B104" s="3450"/>
      <c r="C104" s="3018" t="s">
        <v>2944</v>
      </c>
      <c r="D104" s="3018" t="s">
        <v>2945</v>
      </c>
      <c r="E104" s="3043">
        <v>0.1</v>
      </c>
      <c r="F104" s="3037">
        <v>15</v>
      </c>
    </row>
    <row r="105" spans="1:6" ht="24">
      <c r="A105" s="3037">
        <v>33</v>
      </c>
      <c r="B105" s="3450"/>
      <c r="C105" s="3018" t="s">
        <v>2946</v>
      </c>
      <c r="D105" s="3018" t="s">
        <v>2947</v>
      </c>
      <c r="E105" s="3043">
        <v>0.1</v>
      </c>
      <c r="F105" s="3037">
        <v>15</v>
      </c>
    </row>
    <row r="106" spans="1:6" ht="24">
      <c r="A106" s="3037">
        <v>34</v>
      </c>
      <c r="B106" s="3449"/>
      <c r="C106" s="3018" t="s">
        <v>2948</v>
      </c>
      <c r="D106" s="3018" t="s">
        <v>2949</v>
      </c>
      <c r="E106" s="3043">
        <v>0.1</v>
      </c>
      <c r="F106" s="3037">
        <v>15</v>
      </c>
    </row>
    <row r="107" spans="1:6" ht="36">
      <c r="A107" s="3037">
        <v>35</v>
      </c>
      <c r="B107" s="3448" t="s">
        <v>2950</v>
      </c>
      <c r="C107" s="3037" t="s">
        <v>2951</v>
      </c>
      <c r="D107" s="3018" t="s">
        <v>2952</v>
      </c>
      <c r="E107" s="3043">
        <v>0.15</v>
      </c>
      <c r="F107" s="3037">
        <v>20</v>
      </c>
    </row>
    <row r="108" spans="1:6" ht="24">
      <c r="A108" s="3037">
        <v>36</v>
      </c>
      <c r="B108" s="3450"/>
      <c r="C108" s="3037" t="s">
        <v>2953</v>
      </c>
      <c r="D108" s="3018" t="s">
        <v>2954</v>
      </c>
      <c r="E108" s="3043">
        <v>0.15</v>
      </c>
      <c r="F108" s="3037">
        <v>20</v>
      </c>
    </row>
    <row r="109" spans="1:6" ht="24">
      <c r="A109" s="3037">
        <v>37</v>
      </c>
      <c r="B109" s="3450"/>
      <c r="C109" s="3037" t="s">
        <v>2955</v>
      </c>
      <c r="D109" s="3018" t="s">
        <v>2956</v>
      </c>
      <c r="E109" s="3043">
        <v>0.15</v>
      </c>
      <c r="F109" s="3037">
        <v>20</v>
      </c>
    </row>
    <row r="110" spans="1:6" ht="24">
      <c r="A110" s="3037">
        <v>38</v>
      </c>
      <c r="B110" s="3450"/>
      <c r="C110" s="3037" t="s">
        <v>2957</v>
      </c>
      <c r="D110" s="3018" t="s">
        <v>2958</v>
      </c>
      <c r="E110" s="3043">
        <v>0.1</v>
      </c>
      <c r="F110" s="3037">
        <v>15</v>
      </c>
    </row>
    <row r="111" spans="1:6" ht="24">
      <c r="A111" s="3037">
        <v>39</v>
      </c>
      <c r="B111" s="3450"/>
      <c r="C111" s="3037" t="s">
        <v>2959</v>
      </c>
      <c r="D111" s="3018" t="s">
        <v>2960</v>
      </c>
      <c r="E111" s="3043">
        <v>0.1</v>
      </c>
      <c r="F111" s="3037">
        <v>15</v>
      </c>
    </row>
    <row r="112" spans="1:6" ht="24">
      <c r="A112" s="3037">
        <v>40</v>
      </c>
      <c r="B112" s="3449"/>
      <c r="C112" s="3037" t="s">
        <v>2961</v>
      </c>
      <c r="D112" s="3018" t="s">
        <v>2962</v>
      </c>
      <c r="E112" s="3043">
        <v>0.1</v>
      </c>
      <c r="F112" s="3037">
        <v>15</v>
      </c>
    </row>
    <row r="113" spans="1:6" ht="24">
      <c r="A113" s="3037">
        <v>41</v>
      </c>
      <c r="B113" s="3447" t="s">
        <v>2963</v>
      </c>
      <c r="C113" s="3037" t="s">
        <v>2964</v>
      </c>
      <c r="D113" s="3018" t="s">
        <v>2965</v>
      </c>
      <c r="E113" s="3043">
        <v>0.1</v>
      </c>
      <c r="F113" s="3037">
        <v>15</v>
      </c>
    </row>
    <row r="114" spans="1:6" ht="24">
      <c r="A114" s="3037">
        <v>42</v>
      </c>
      <c r="B114" s="3447"/>
      <c r="C114" s="3037" t="s">
        <v>2966</v>
      </c>
      <c r="D114" s="3018" t="s">
        <v>2967</v>
      </c>
      <c r="E114" s="3043">
        <v>0.1</v>
      </c>
      <c r="F114" s="3037">
        <v>15</v>
      </c>
    </row>
    <row r="115" spans="1:6" ht="24">
      <c r="A115" s="3037">
        <v>43</v>
      </c>
      <c r="B115" s="3447"/>
      <c r="C115" s="3037" t="s">
        <v>2968</v>
      </c>
      <c r="D115" s="3018" t="s">
        <v>2969</v>
      </c>
      <c r="E115" s="3043">
        <v>0.1</v>
      </c>
      <c r="F115" s="3037">
        <v>15</v>
      </c>
    </row>
    <row r="116" spans="1:6" ht="24">
      <c r="A116" s="3037">
        <v>44</v>
      </c>
      <c r="B116" s="3448" t="s">
        <v>2970</v>
      </c>
      <c r="C116" s="3037" t="s">
        <v>2971</v>
      </c>
      <c r="D116" s="3018" t="s">
        <v>2972</v>
      </c>
      <c r="E116" s="3043">
        <v>0.1</v>
      </c>
      <c r="F116" s="3037">
        <v>15</v>
      </c>
    </row>
    <row r="117" spans="1:6" ht="24">
      <c r="A117" s="3037">
        <v>45</v>
      </c>
      <c r="B117" s="3449"/>
      <c r="C117" s="3018" t="s">
        <v>2973</v>
      </c>
      <c r="D117" s="3018" t="s">
        <v>2974</v>
      </c>
      <c r="E117" s="3043">
        <v>0.1</v>
      </c>
      <c r="F117" s="3037">
        <v>15</v>
      </c>
    </row>
    <row r="118" spans="1:6" ht="24">
      <c r="A118" s="3037">
        <v>46</v>
      </c>
      <c r="B118" s="3448" t="s">
        <v>2975</v>
      </c>
      <c r="C118" s="3037" t="s">
        <v>2976</v>
      </c>
      <c r="D118" s="3018" t="s">
        <v>2977</v>
      </c>
      <c r="E118" s="3043">
        <v>0.1</v>
      </c>
      <c r="F118" s="3037">
        <v>15</v>
      </c>
    </row>
    <row r="119" spans="1:6" ht="24">
      <c r="A119" s="3037">
        <v>47</v>
      </c>
      <c r="B119" s="3449"/>
      <c r="C119" s="3037" t="s">
        <v>2978</v>
      </c>
      <c r="D119" s="3018" t="s">
        <v>2979</v>
      </c>
      <c r="E119" s="3043">
        <v>0.1</v>
      </c>
      <c r="F119" s="3037">
        <v>15</v>
      </c>
    </row>
    <row r="120" spans="1:6" ht="24">
      <c r="A120" s="3037">
        <v>48</v>
      </c>
      <c r="B120" s="3448" t="s">
        <v>2980</v>
      </c>
      <c r="C120" s="3037" t="s">
        <v>2981</v>
      </c>
      <c r="D120" s="3018" t="s">
        <v>2982</v>
      </c>
      <c r="E120" s="3043">
        <v>0.1</v>
      </c>
      <c r="F120" s="3037">
        <v>15</v>
      </c>
    </row>
    <row r="121" spans="1:6" ht="24">
      <c r="A121" s="3037">
        <v>49</v>
      </c>
      <c r="B121" s="3449"/>
      <c r="C121" s="3037" t="s">
        <v>2983</v>
      </c>
      <c r="D121" s="3018" t="s">
        <v>2984</v>
      </c>
      <c r="E121" s="3043">
        <v>0.1</v>
      </c>
      <c r="F121" s="3037">
        <v>15</v>
      </c>
    </row>
    <row r="122" spans="1:6" ht="24">
      <c r="A122" s="3037">
        <v>50</v>
      </c>
      <c r="B122" s="3447" t="s">
        <v>2985</v>
      </c>
      <c r="C122" s="3037" t="s">
        <v>2986</v>
      </c>
      <c r="D122" s="3018" t="s">
        <v>2987</v>
      </c>
      <c r="E122" s="3043">
        <v>0.1</v>
      </c>
      <c r="F122" s="3037">
        <v>15</v>
      </c>
    </row>
    <row r="123" spans="1:6" ht="24">
      <c r="A123" s="3037">
        <v>51</v>
      </c>
      <c r="B123" s="3447"/>
      <c r="C123" s="3037" t="s">
        <v>2988</v>
      </c>
      <c r="D123" s="3018" t="s">
        <v>2989</v>
      </c>
      <c r="E123" s="3043">
        <v>0.1</v>
      </c>
      <c r="F123" s="3037">
        <v>15</v>
      </c>
    </row>
    <row r="124" spans="1:6" ht="24">
      <c r="A124" s="3037">
        <v>52</v>
      </c>
      <c r="B124" s="3447" t="s">
        <v>2990</v>
      </c>
      <c r="C124" s="3037" t="s">
        <v>2991</v>
      </c>
      <c r="D124" s="3018" t="s">
        <v>2992</v>
      </c>
      <c r="E124" s="3043">
        <v>0.1</v>
      </c>
      <c r="F124" s="3037">
        <v>15</v>
      </c>
    </row>
    <row r="125" spans="1:6" ht="24">
      <c r="A125" s="3037">
        <v>53</v>
      </c>
      <c r="B125" s="3447"/>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47" t="s">
        <v>2998</v>
      </c>
      <c r="C127" s="3037" t="s">
        <v>2999</v>
      </c>
      <c r="D127" s="3018" t="s">
        <v>3000</v>
      </c>
      <c r="E127" s="3043">
        <v>0.1</v>
      </c>
      <c r="F127" s="3037">
        <v>15</v>
      </c>
    </row>
    <row r="128" spans="1:6" ht="24">
      <c r="A128" s="3037">
        <v>56</v>
      </c>
      <c r="B128" s="3447"/>
      <c r="C128" s="3037" t="s">
        <v>3001</v>
      </c>
      <c r="D128" s="3018" t="s">
        <v>3002</v>
      </c>
      <c r="E128" s="3043">
        <v>0.1</v>
      </c>
      <c r="F128" s="3037">
        <v>15</v>
      </c>
    </row>
    <row r="129" spans="1:6" ht="24">
      <c r="A129" s="3037">
        <v>57</v>
      </c>
      <c r="B129" s="3447"/>
      <c r="C129" s="3037" t="s">
        <v>3003</v>
      </c>
      <c r="D129" s="3018" t="s">
        <v>3004</v>
      </c>
      <c r="E129" s="3043">
        <v>0.1</v>
      </c>
      <c r="F129" s="3037">
        <v>15</v>
      </c>
    </row>
    <row r="130" spans="1:6" ht="24">
      <c r="A130" s="3037">
        <v>58</v>
      </c>
      <c r="B130" s="3447" t="s">
        <v>3005</v>
      </c>
      <c r="C130" s="3037" t="s">
        <v>3006</v>
      </c>
      <c r="D130" s="3018" t="s">
        <v>3007</v>
      </c>
      <c r="E130" s="3043">
        <v>0.1</v>
      </c>
      <c r="F130" s="3037">
        <v>15</v>
      </c>
    </row>
    <row r="131" spans="1:6" ht="24">
      <c r="A131" s="3037">
        <v>59</v>
      </c>
      <c r="B131" s="3447"/>
      <c r="C131" s="3037" t="s">
        <v>3008</v>
      </c>
      <c r="D131" s="3018" t="s">
        <v>3009</v>
      </c>
      <c r="E131" s="3043">
        <v>0.1</v>
      </c>
      <c r="F131" s="3037">
        <v>15</v>
      </c>
    </row>
    <row r="132" spans="1:6" ht="24">
      <c r="A132" s="3037">
        <v>60</v>
      </c>
      <c r="B132" s="3448" t="s">
        <v>3010</v>
      </c>
      <c r="C132" s="3037" t="s">
        <v>3011</v>
      </c>
      <c r="D132" s="3018" t="s">
        <v>3012</v>
      </c>
      <c r="E132" s="3043">
        <v>0.1</v>
      </c>
      <c r="F132" s="3037">
        <v>15</v>
      </c>
    </row>
    <row r="133" spans="1:6" ht="24">
      <c r="A133" s="3037">
        <v>61</v>
      </c>
      <c r="B133" s="3449"/>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47" t="s">
        <v>3018</v>
      </c>
      <c r="C135" s="3037" t="s">
        <v>3019</v>
      </c>
      <c r="D135" s="3018" t="s">
        <v>3020</v>
      </c>
      <c r="E135" s="3043">
        <v>0.1</v>
      </c>
      <c r="F135" s="3037">
        <v>15</v>
      </c>
    </row>
    <row r="136" spans="1:6" ht="24">
      <c r="A136" s="3037">
        <v>64</v>
      </c>
      <c r="B136" s="3447"/>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64" t="s">
        <v>782</v>
      </c>
      <c r="C1" s="3464"/>
      <c r="D1" s="3464"/>
      <c r="E1" s="3464"/>
      <c r="F1" s="3464"/>
      <c r="G1" s="3463" t="s">
        <v>783</v>
      </c>
      <c r="H1" s="3463"/>
      <c r="I1" s="3463"/>
      <c r="J1" s="3463"/>
      <c r="K1" s="3463"/>
      <c r="L1" s="3463"/>
      <c r="N1" s="3463" t="s">
        <v>784</v>
      </c>
      <c r="O1" s="3463"/>
      <c r="P1" s="3463"/>
      <c r="Q1" s="3463"/>
      <c r="S1" s="3463" t="s">
        <v>785</v>
      </c>
      <c r="T1" s="3463"/>
      <c r="U1" s="3463"/>
      <c r="V1" s="3463"/>
      <c r="X1" s="3462" t="s">
        <v>786</v>
      </c>
      <c r="Y1" s="3463"/>
      <c r="Z1" s="3463"/>
      <c r="AA1" s="3463"/>
      <c r="AB1" s="3463"/>
      <c r="AD1" s="3462" t="s">
        <v>787</v>
      </c>
      <c r="AE1" s="3463"/>
      <c r="AF1" s="3463"/>
      <c r="AG1" s="3463"/>
      <c r="AH1" s="3463"/>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60">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60"/>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60"/>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9"/>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65">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60"/>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60"/>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9"/>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5">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60"/>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60"/>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61"/>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59">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60"/>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60"/>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61"/>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59">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60"/>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60"/>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61"/>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6">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7"/>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7"/>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8"/>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59">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60"/>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60"/>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61"/>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59">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60">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60">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61">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59">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60">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60">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61">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59">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60">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60">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61">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59">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60">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60">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61">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59">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60">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60">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61">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59">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60">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60">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61">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59">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60">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60">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61">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59">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60">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60">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61">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59">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60">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60">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61">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59">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60">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60">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61">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44883</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5:H12"/>
  <sheetViews>
    <sheetView workbookViewId="0">
      <selection activeCell="H6" sqref="H6:H12"/>
    </sheetView>
  </sheetViews>
  <sheetFormatPr defaultRowHeight="14.4"/>
  <cols>
    <col min="2" max="2" width="17.44140625" customWidth="1"/>
    <col min="3" max="3" width="24.109375" customWidth="1"/>
    <col min="5" max="5" width="15" customWidth="1"/>
  </cols>
  <sheetData>
    <row r="5" spans="1:8">
      <c r="B5" s="1206" t="s">
        <v>3056</v>
      </c>
      <c r="C5" s="1206" t="s">
        <v>3055</v>
      </c>
      <c r="D5" s="1206" t="s">
        <v>3054</v>
      </c>
      <c r="E5" s="1206" t="s">
        <v>3053</v>
      </c>
      <c r="F5" s="1206" t="s">
        <v>3052</v>
      </c>
      <c r="G5" s="1206" t="s">
        <v>3051</v>
      </c>
    </row>
    <row r="6" spans="1:8" ht="28.8">
      <c r="A6">
        <v>1</v>
      </c>
      <c r="B6" s="3058" t="s">
        <v>3050</v>
      </c>
      <c r="C6" s="3058" t="s">
        <v>3041</v>
      </c>
      <c r="D6" s="1206" t="s">
        <v>3042</v>
      </c>
      <c r="E6" s="1206" t="s">
        <v>3043</v>
      </c>
      <c r="F6" s="1206" t="s">
        <v>3044</v>
      </c>
      <c r="G6">
        <v>83.02</v>
      </c>
      <c r="H6">
        <f ca="1">典型户型修正!S27</f>
        <v>3388295</v>
      </c>
    </row>
    <row r="7" spans="1:8" ht="28.8">
      <c r="A7">
        <v>2</v>
      </c>
      <c r="B7" s="3058" t="s">
        <v>3050</v>
      </c>
      <c r="C7" s="3058" t="s">
        <v>3041</v>
      </c>
      <c r="D7" s="1206" t="s">
        <v>3045</v>
      </c>
      <c r="E7" s="1206" t="s">
        <v>3043</v>
      </c>
      <c r="F7" s="1206" t="s">
        <v>3044</v>
      </c>
      <c r="G7">
        <v>67.25</v>
      </c>
      <c r="H7">
        <f ca="1">典型户型修正!S28</f>
        <v>2744674</v>
      </c>
    </row>
    <row r="8" spans="1:8" ht="28.8">
      <c r="A8">
        <v>3</v>
      </c>
      <c r="B8" s="3058" t="s">
        <v>3050</v>
      </c>
      <c r="C8" s="3058" t="s">
        <v>3041</v>
      </c>
      <c r="D8" s="1206" t="s">
        <v>3046</v>
      </c>
      <c r="E8" s="1206" t="s">
        <v>3043</v>
      </c>
      <c r="F8" s="1206" t="s">
        <v>3044</v>
      </c>
      <c r="G8">
        <v>80.53</v>
      </c>
      <c r="H8">
        <f ca="1">典型户型修正!S29</f>
        <v>3286671</v>
      </c>
    </row>
    <row r="9" spans="1:8" ht="28.8">
      <c r="A9">
        <v>4</v>
      </c>
      <c r="B9" s="3058" t="s">
        <v>3050</v>
      </c>
      <c r="C9" s="3058" t="s">
        <v>3041</v>
      </c>
      <c r="D9" s="1206" t="s">
        <v>3047</v>
      </c>
      <c r="E9" s="1206" t="s">
        <v>3043</v>
      </c>
      <c r="F9" s="1206" t="s">
        <v>3044</v>
      </c>
      <c r="G9">
        <v>66.59</v>
      </c>
      <c r="H9">
        <f ca="1">典型户型修正!S30</f>
        <v>2717738</v>
      </c>
    </row>
    <row r="10" spans="1:8" ht="28.8">
      <c r="A10">
        <v>5</v>
      </c>
      <c r="B10" s="3058" t="s">
        <v>3050</v>
      </c>
      <c r="C10" s="3058" t="s">
        <v>3041</v>
      </c>
      <c r="D10" s="1206" t="s">
        <v>3048</v>
      </c>
      <c r="E10" s="1206" t="s">
        <v>3043</v>
      </c>
      <c r="F10" s="1206" t="s">
        <v>3044</v>
      </c>
      <c r="G10">
        <v>65.069999999999993</v>
      </c>
      <c r="H10">
        <f ca="1">典型户型修正!S31</f>
        <v>2655702</v>
      </c>
    </row>
    <row r="11" spans="1:8" ht="28.8">
      <c r="A11">
        <v>6</v>
      </c>
      <c r="B11" s="3058" t="s">
        <v>3050</v>
      </c>
      <c r="C11" s="3058" t="s">
        <v>3041</v>
      </c>
      <c r="D11" s="1206" t="s">
        <v>3049</v>
      </c>
      <c r="E11" s="1206" t="s">
        <v>3043</v>
      </c>
      <c r="F11" s="1206" t="s">
        <v>3044</v>
      </c>
      <c r="G11">
        <v>77.55</v>
      </c>
      <c r="H11">
        <f ca="1">典型户型修正!S32</f>
        <v>3165048</v>
      </c>
    </row>
    <row r="12" spans="1:8">
      <c r="G12">
        <f>SUM(G6:G11)</f>
        <v>440.01</v>
      </c>
      <c r="H12">
        <f ca="1">SUM(H6:H11)</f>
        <v>17958128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3.5" customHeight="1">
      <c r="A3" s="1222"/>
      <c r="B3" s="1222"/>
      <c r="C3" s="1222"/>
      <c r="D3" s="1222"/>
      <c r="E3" s="1222"/>
    </row>
    <row r="4" spans="1:5" ht="18" thickBot="1">
      <c r="A4" s="3066" t="str">
        <f>IF(项目基本情况!D5="房地产市场价值","估价结果一览表（市场价值不需本页表格)","估价结果一览表")</f>
        <v>估价结果一览表</v>
      </c>
      <c r="B4" s="3066"/>
      <c r="C4" s="3066"/>
      <c r="D4" s="3066"/>
      <c r="E4" s="3066"/>
    </row>
    <row r="5" spans="1:5" ht="14.25" customHeight="1" thickTop="1">
      <c r="B5" s="1223" t="s">
        <v>562</v>
      </c>
      <c r="C5" s="3067" t="s">
        <v>593</v>
      </c>
      <c r="D5" s="3068"/>
    </row>
    <row r="6" spans="1:5" ht="15.6">
      <c r="B6" s="1224" t="str">
        <f>项目基本情况!I1</f>
        <v>北京市房地产</v>
      </c>
      <c r="C6" s="3069">
        <f>项目基本情况!C12</f>
        <v>440.01</v>
      </c>
      <c r="D6" s="3069"/>
    </row>
    <row r="7" spans="1:5" ht="15.6">
      <c r="B7" s="3063" t="s">
        <v>594</v>
      </c>
      <c r="C7" s="1225" t="str">
        <f>IF('数据-取费表'!B3="万元","总价（万元）","总价（元）")</f>
        <v>总价（元）</v>
      </c>
      <c r="D7" s="1226">
        <f ca="1">IF('数据-取费表'!E3="否",结果表!I102,'结果表 (1修多)'!I104)</f>
        <v>17958128</v>
      </c>
    </row>
    <row r="8" spans="1:5" ht="31.2">
      <c r="B8" s="3063"/>
      <c r="C8" s="1227" t="s">
        <v>924</v>
      </c>
      <c r="D8" s="1228" t="str">
        <f ca="1">IF('数据-取费表'!B3="万元",NUMBERSTRING(INT(D7*10000),2)&amp;"元整",NUMBERSTRING(INT(D7),2)&amp;"元整")</f>
        <v>壹仟柒佰玖拾伍万捌仟壹佰贰拾捌元整</v>
      </c>
    </row>
    <row r="9" spans="1:5" ht="15.6">
      <c r="B9" s="3063"/>
      <c r="C9" s="1229" t="s">
        <v>1020</v>
      </c>
      <c r="D9" s="1226">
        <f ca="1">IF('数据-取费表'!E3="否",结果表!I103,'结果表 (1修多)'!I105)</f>
        <v>408129997</v>
      </c>
    </row>
    <row r="10" spans="1:5" ht="15.6">
      <c r="B10" s="3070"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70"/>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70" t="str">
        <f>IF('数据-取费表'!E3="否",结果表!F110,'结果表 (1修多)'!F112)</f>
        <v>3.房地产抵押价值</v>
      </c>
      <c r="C15" s="1220" t="str">
        <f>C7</f>
        <v>总价（元）</v>
      </c>
      <c r="D15" s="1226">
        <f ca="1">IF('数据-取费表'!E3="否",结果表!I110,'结果表 (1修多)'!I112)</f>
        <v>17958128</v>
      </c>
    </row>
    <row r="16" spans="1:5" ht="31.2">
      <c r="B16" s="3070"/>
      <c r="C16" s="1227" t="s">
        <v>924</v>
      </c>
      <c r="D16" s="1226" t="str">
        <f ca="1">IF('数据-取费表'!B3="万元",NUMBERSTRING(INT(D15*10000),2)&amp;"元整",NUMBERSTRING(INT(D15),2)&amp;"元整")</f>
        <v>壹仟柒佰玖拾伍万捌仟壹佰贰拾捌元整</v>
      </c>
    </row>
    <row r="17" spans="2:4" ht="15.6">
      <c r="B17" s="3070"/>
      <c r="C17" s="1229" t="s">
        <v>1020</v>
      </c>
      <c r="D17" s="1226">
        <f ca="1">IF('数据-取费表'!E3="否",结果表!I111,'结果表 (1修多)'!I113)</f>
        <v>408129997</v>
      </c>
    </row>
    <row r="18" spans="2:4" ht="15.6">
      <c r="B18" s="3070" t="str">
        <f>IF('数据-取费表'!E3="否",结果表!F112,'结果表 (1修多)'!F114)</f>
        <v>——</v>
      </c>
      <c r="C18" s="1220" t="str">
        <f>C7</f>
        <v>总价（元）</v>
      </c>
      <c r="D18" s="1226" t="str">
        <f>IF('数据-取费表'!E3="否",结果表!I112,'结果表 (1修多)'!I114)</f>
        <v>——</v>
      </c>
    </row>
    <row r="19" spans="2:4" ht="15.6">
      <c r="B19" s="3070"/>
      <c r="C19" s="1227" t="s">
        <v>924</v>
      </c>
      <c r="D19" s="1226" t="e">
        <f>IF('数据-取费表'!B3="万元",NUMBERSTRING(INT(D18*10000),2)&amp;"元整",NUMBERSTRING(INT(D18),2)&amp;"元整")</f>
        <v>#VALUE!</v>
      </c>
    </row>
    <row r="20" spans="2:4" ht="15.6">
      <c r="B20" s="3070"/>
      <c r="C20" s="1229" t="s">
        <v>1020</v>
      </c>
      <c r="D20" s="1226" t="str">
        <f>IF('数据-取费表'!E3="否",结果表!I113,'结果表 (1修多)'!I115)</f>
        <v>——</v>
      </c>
    </row>
    <row r="21" spans="2:4" ht="15.6">
      <c r="B21" s="3063" t="str">
        <f>IF('数据-取费表'!E3="否",结果表!F114,'结果表 (1修多)'!F116)</f>
        <v>——</v>
      </c>
      <c r="C21" s="1225" t="str">
        <f>C7</f>
        <v>总价（元）</v>
      </c>
      <c r="D21" s="1226" t="str">
        <f>IF('数据-取费表'!E3="否",结果表!I114,'结果表 (1修多)'!I116)</f>
        <v>——</v>
      </c>
    </row>
    <row r="22" spans="2:4" ht="15.6">
      <c r="B22" s="3063"/>
      <c r="C22" s="1227" t="s">
        <v>924</v>
      </c>
      <c r="D22" s="1228" t="e">
        <f>IF('数据-取费表'!B3="万元",NUMBERSTRING(INT(D21*10000),2)&amp;"元整",NUMBERSTRING(INT(D21),2)&amp;"元整")</f>
        <v>#VALUE!</v>
      </c>
    </row>
    <row r="23" spans="2:4" ht="16.2" thickBot="1">
      <c r="B23" s="3064"/>
      <c r="C23" s="1234" t="s">
        <v>1020</v>
      </c>
      <c r="D23" s="1235" t="str">
        <f ca="1">IF('数据-取费表'!E3="否",结果表!I115,'结果表 (1修多)'!I117)</f>
        <v>——</v>
      </c>
    </row>
    <row r="24" spans="2:4" ht="15" thickTop="1"/>
    <row r="25" spans="2:4" ht="18.75" customHeight="1" thickBot="1">
      <c r="B25" s="3078" t="s">
        <v>1021</v>
      </c>
      <c r="C25" s="3078"/>
      <c r="D25" s="3078"/>
    </row>
    <row r="26" spans="2:4" ht="18.75" customHeight="1" thickTop="1">
      <c r="B26" s="3081" t="s">
        <v>923</v>
      </c>
      <c r="C26" s="3082"/>
      <c r="D26" s="3079" t="s">
        <v>922</v>
      </c>
    </row>
    <row r="27" spans="2:4" ht="18.75" customHeight="1">
      <c r="B27" s="3083"/>
      <c r="C27" s="3084"/>
      <c r="D27" s="3080"/>
    </row>
    <row r="28" spans="2:4" ht="15.6">
      <c r="B28" s="3071" t="s">
        <v>594</v>
      </c>
      <c r="C28" s="1236" t="s">
        <v>925</v>
      </c>
      <c r="D28" s="1237">
        <f ca="1">IF('数据-取费表'!E3="否",结果表!I102,'结果表 (1修多)'!I104)</f>
        <v>17958128</v>
      </c>
    </row>
    <row r="29" spans="2:4" ht="31.2">
      <c r="B29" s="3072"/>
      <c r="C29" s="1238" t="s">
        <v>924</v>
      </c>
      <c r="D29" s="1239" t="str">
        <f ca="1">IF('数据-取费表'!B3="万元",NUMBERSTRING(INT(D28*10000),2)&amp;"元整",NUMBERSTRING(INT(D28),2)&amp;"元整")</f>
        <v>壹仟柒佰玖拾伍万捌仟壹佰贰拾捌元整</v>
      </c>
    </row>
    <row r="30" spans="2:4" ht="15.6">
      <c r="B30" s="3073"/>
      <c r="C30" s="1229" t="s">
        <v>927</v>
      </c>
      <c r="D30" s="1240">
        <f ca="1">IF('数据-取费表'!E3="否",结果表!I103,'结果表 (1修多)'!I105)</f>
        <v>408129997</v>
      </c>
    </row>
    <row r="31" spans="2:4" ht="15.6">
      <c r="B31" s="3076" t="str">
        <f>B10</f>
        <v>2.估价师所知悉的法定优先受偿款</v>
      </c>
      <c r="C31" s="1241" t="s">
        <v>926</v>
      </c>
      <c r="D31" s="1242">
        <f>IF('数据-取费表'!E3="否",结果表!I105,'结果表 (1修多)'!I107)</f>
        <v>0</v>
      </c>
    </row>
    <row r="32" spans="2:4" ht="15.6">
      <c r="B32" s="3085"/>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74" t="str">
        <f>B15</f>
        <v>3.房地产抵押价值</v>
      </c>
      <c r="C36" s="1241" t="str">
        <f>C28</f>
        <v>总价</v>
      </c>
      <c r="D36" s="1242">
        <f ca="1">IF('数据-取费表'!E3="否",结果表!I110,'结果表 (1修多)'!I112)</f>
        <v>17958128</v>
      </c>
    </row>
    <row r="37" spans="2:4" ht="31.2">
      <c r="B37" s="3074"/>
      <c r="C37" s="1238" t="s">
        <v>924</v>
      </c>
      <c r="D37" s="1228" t="str">
        <f ca="1">IF('数据-取费表'!B3="万元",NUMBERSTRING(INT(D36*10000),2)&amp;"元整",NUMBERSTRING(INT(D36),2)&amp;"元整")</f>
        <v>壹仟柒佰玖拾伍万捌仟壹佰贰拾捌元整</v>
      </c>
    </row>
    <row r="38" spans="2:4" ht="15.6">
      <c r="B38" s="3074"/>
      <c r="C38" s="1229" t="s">
        <v>928</v>
      </c>
      <c r="D38" s="1240">
        <f ca="1">IF('数据-取费表'!E3="否",结果表!D113,'结果表 (1修多)'!D117)</f>
        <v>408129997</v>
      </c>
    </row>
    <row r="39" spans="2:4" ht="15.6">
      <c r="B39" s="3075" t="str">
        <f>B18</f>
        <v>——</v>
      </c>
      <c r="C39" s="1241" t="str">
        <f>C28</f>
        <v>总价</v>
      </c>
      <c r="D39" s="1242" t="str">
        <f>IF('数据-取费表'!E3="否",结果表!I112,'结果表 (1修多)'!I114)</f>
        <v>——</v>
      </c>
    </row>
    <row r="40" spans="2:4" ht="15.6">
      <c r="B40" s="3075"/>
      <c r="C40" s="1238" t="s">
        <v>924</v>
      </c>
      <c r="D40" s="1228" t="e">
        <f>IF('数据-取费表'!B3="万元",NUMBERSTRING(INT(D39*10000),2)&amp;"元整",NUMBERSTRING(INT(D39),2)&amp;"元整")</f>
        <v>#VALUE!</v>
      </c>
    </row>
    <row r="41" spans="2:4" ht="15.6">
      <c r="B41" s="3075"/>
      <c r="C41" s="1229" t="s">
        <v>928</v>
      </c>
      <c r="D41" s="1240" t="str">
        <f>IF('数据-取费表'!E3="否",结果表!D115,'结果表 (1修多)'!D119)</f>
        <v>——</v>
      </c>
    </row>
    <row r="42" spans="2:4" ht="15.6">
      <c r="B42" s="3074" t="str">
        <f>B21</f>
        <v>——</v>
      </c>
      <c r="C42" s="1241" t="str">
        <f>C28</f>
        <v>总价</v>
      </c>
      <c r="D42" s="1242" t="str">
        <f>IF('数据-取费表'!E3="否",结果表!I114,'结果表 (1修多)'!I116)</f>
        <v>——</v>
      </c>
    </row>
    <row r="43" spans="2:4" ht="15.6">
      <c r="B43" s="3076"/>
      <c r="C43" s="1238" t="s">
        <v>924</v>
      </c>
      <c r="D43" s="1243" t="e">
        <f>IF('数据-取费表'!B3="万元",NUMBERSTRING(INT(D42*10000),2)&amp;"元整",NUMBERSTRING(INT(D42),2)&amp;"元整")</f>
        <v>#VALUE!</v>
      </c>
    </row>
    <row r="44" spans="2:4" ht="16.2" thickBot="1">
      <c r="B44" s="3077"/>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2" t="str">
        <f>IF(项目基本情况!D5="房地产市场价值","估价结果一览表","结果表-2")</f>
        <v>结果表-2</v>
      </c>
      <c r="B1" s="3092"/>
      <c r="C1" s="3092"/>
      <c r="D1" s="3092"/>
      <c r="E1" s="3092"/>
      <c r="F1" s="3092"/>
      <c r="G1" s="3092"/>
      <c r="H1" s="3092"/>
      <c r="I1" s="3092"/>
    </row>
    <row r="2" spans="1:9" ht="30" customHeight="1" thickTop="1">
      <c r="A2" s="3093" t="s">
        <v>1022</v>
      </c>
      <c r="B2" s="3093" t="s">
        <v>1023</v>
      </c>
      <c r="C2" s="3093" t="s">
        <v>1024</v>
      </c>
      <c r="D2" s="3093" t="str">
        <f>IF('数据-取费表'!E3="否",结果表!D119,'结果表 (1修多)'!D123)</f>
        <v>出让国有建设用地使用权价值</v>
      </c>
      <c r="E2" s="3093"/>
      <c r="F2" s="3093" t="s">
        <v>1025</v>
      </c>
      <c r="G2" s="3093"/>
      <c r="H2" s="3093" t="s">
        <v>1026</v>
      </c>
      <c r="I2" s="3093"/>
    </row>
    <row r="3" spans="1:9" ht="15.6">
      <c r="A3" s="3088"/>
      <c r="B3" s="3088"/>
      <c r="C3" s="3088"/>
      <c r="D3" s="740" t="s">
        <v>1027</v>
      </c>
      <c r="E3" s="740" t="s">
        <v>1028</v>
      </c>
      <c r="F3" s="740" t="s">
        <v>1027</v>
      </c>
      <c r="G3" s="740" t="s">
        <v>1029</v>
      </c>
      <c r="H3" s="740" t="s">
        <v>1027</v>
      </c>
      <c r="I3" s="740" t="s">
        <v>1029</v>
      </c>
    </row>
    <row r="4" spans="1:9" ht="46.5" customHeight="1">
      <c r="A4" s="740" t="str">
        <f>项目基本情况!I1</f>
        <v>北京市房地产</v>
      </c>
      <c r="B4" s="740">
        <f>结果表!B121</f>
        <v>440.01</v>
      </c>
      <c r="C4" s="740">
        <f>结果表!C121</f>
        <v>0</v>
      </c>
      <c r="D4" s="740">
        <f>IF('数据-取费表'!E3="否",结果表!D121,'结果表 (1修多)'!D125)</f>
        <v>0</v>
      </c>
      <c r="E4" s="740">
        <f>IF('数据-取费表'!E3="否",结果表!E121,'结果表 (1修多)'!E125)</f>
        <v>0</v>
      </c>
      <c r="F4" s="740">
        <f>IF('数据-取费表'!E3="否",结果表!F121,'结果表 (1修多)'!F125)</f>
        <v>0</v>
      </c>
      <c r="G4" s="740">
        <f>IF('数据-取费表'!E3="否",结果表!G121,'结果表 (1修多)'!G125)</f>
        <v>0</v>
      </c>
      <c r="H4" s="740">
        <f ca="1">IF('数据-取费表'!E3="否",结果表!H121,'结果表 (1修多)'!H125)</f>
        <v>17958128</v>
      </c>
      <c r="I4" s="740">
        <f ca="1">IF('数据-取费表'!E3="否",结果表!I121,'结果表 (1修多)'!I125)</f>
        <v>408129997</v>
      </c>
    </row>
    <row r="5" spans="1:9" ht="15">
      <c r="A5" s="3088" t="s">
        <v>1030</v>
      </c>
      <c r="B5" s="3088"/>
      <c r="C5" s="3088"/>
      <c r="D5" s="3086" t="str">
        <f>IF('数据-取费表'!E3="否",结果表!D122,'结果表 (1修多)'!D126)</f>
        <v>零元整</v>
      </c>
      <c r="E5" s="3086"/>
      <c r="F5" s="3086" t="str">
        <f>IF('数据-取费表'!E3="否",结果表!F122,'结果表 (1修多)'!F126)</f>
        <v>零元整</v>
      </c>
      <c r="G5" s="3086"/>
      <c r="H5" s="3086" t="str">
        <f ca="1">IF('数据-取费表'!E3="否",结果表!H122,'结果表 (1修多)'!H126)</f>
        <v>壹仟柒佰玖拾伍万捌仟壹佰贰拾捌元整</v>
      </c>
      <c r="I5" s="3086"/>
    </row>
    <row r="6" spans="1:9" ht="15.6">
      <c r="A6" s="3087" t="str">
        <f>IF('数据-取费表'!E3="否",结果表!A123,'结果表 (1修多)'!A127)</f>
        <v>估价师所知悉的法定优先受偿款</v>
      </c>
      <c r="B6" s="3087"/>
      <c r="C6" s="3087"/>
      <c r="D6" s="3087">
        <f>IF('数据-取费表'!E3="否",结果表!D123,'结果表 (1修多)'!D127)</f>
        <v>0</v>
      </c>
      <c r="E6" s="3087"/>
      <c r="F6" s="3087"/>
      <c r="G6" s="3087"/>
      <c r="H6" s="3087"/>
      <c r="I6" s="3087"/>
    </row>
    <row r="7" spans="1:9" ht="15">
      <c r="A7" s="3088" t="s">
        <v>1030</v>
      </c>
      <c r="B7" s="3088"/>
      <c r="C7" s="3088"/>
      <c r="D7" s="3089">
        <f>IF('数据-取费表'!E3="否",结果表!D124,'结果表 (1修多)'!D128)</f>
        <v>0</v>
      </c>
      <c r="E7" s="3090"/>
      <c r="F7" s="3090"/>
      <c r="G7" s="3090"/>
      <c r="H7" s="3090"/>
      <c r="I7" s="3091"/>
    </row>
    <row r="8" spans="1:9" ht="15.6">
      <c r="A8" s="3087" t="str">
        <f>IF('数据-取费表'!E3="否",结果表!A125,'结果表 (1修多)'!A129)</f>
        <v>房地产抵押价值</v>
      </c>
      <c r="B8" s="3087"/>
      <c r="C8" s="3087"/>
      <c r="D8" s="3087">
        <f ca="1">IF('数据-取费表'!E3="否",结果表!D125,'结果表 (1修多)'!D129)</f>
        <v>17958128</v>
      </c>
      <c r="E8" s="3087"/>
      <c r="F8" s="3087"/>
      <c r="G8" s="3087"/>
      <c r="H8" s="3087"/>
      <c r="I8" s="3087"/>
    </row>
    <row r="9" spans="1:9" ht="15">
      <c r="A9" s="3088" t="s">
        <v>1030</v>
      </c>
      <c r="B9" s="3088"/>
      <c r="C9" s="3088"/>
      <c r="D9" s="3086">
        <f ca="1">IF('数据-取费表'!E3="否",结果表!D126,'结果表 (1修多)'!D130)</f>
        <v>408129997</v>
      </c>
      <c r="E9" s="3086"/>
      <c r="F9" s="3086"/>
      <c r="G9" s="3086"/>
      <c r="H9" s="3086"/>
      <c r="I9" s="3086"/>
    </row>
    <row r="10" spans="1:9" ht="15.6">
      <c r="A10" s="3087" t="str">
        <f>IF('数据-取费表'!E3="否",结果表!A127,'结果表 (1修多)'!A131)</f>
        <v/>
      </c>
      <c r="B10" s="3087"/>
      <c r="C10" s="3087"/>
      <c r="D10" s="3087">
        <f ca="1">IF('数据-取费表'!E3="否",结果表!D127,'结果表 (1修多)'!D130)</f>
        <v>408129997</v>
      </c>
      <c r="E10" s="3087"/>
      <c r="F10" s="3087"/>
      <c r="G10" s="3087"/>
      <c r="H10" s="3087"/>
      <c r="I10" s="3087"/>
    </row>
    <row r="11" spans="1:9" ht="15">
      <c r="A11" s="3088" t="s">
        <v>1030</v>
      </c>
      <c r="B11" s="3088"/>
      <c r="C11" s="3088"/>
      <c r="D11" s="3086" t="str">
        <f>IF('数据-取费表'!E3="否",结果表!D128,'结果表 (1修多)'!D132)</f>
        <v>——</v>
      </c>
      <c r="E11" s="3086"/>
      <c r="F11" s="3086"/>
      <c r="G11" s="3086"/>
      <c r="H11" s="3086"/>
      <c r="I11" s="3086"/>
    </row>
    <row r="12" spans="1:9" ht="15.6">
      <c r="A12" s="3087" t="str">
        <f>IF('数据-取费表'!E3="否",结果表!A129,'结果表 (1修多)'!A133)</f>
        <v/>
      </c>
      <c r="B12" s="3087"/>
      <c r="C12" s="3087"/>
      <c r="D12" s="3087" t="str">
        <f>IF('数据-取费表'!E3="否",结果表!D129,'结果表 (1修多)'!D133)</f>
        <v>——</v>
      </c>
      <c r="E12" s="3087"/>
      <c r="F12" s="3087"/>
      <c r="G12" s="3087"/>
      <c r="H12" s="3087"/>
      <c r="I12" s="3087"/>
    </row>
    <row r="13" spans="1:9" ht="15.6" thickBot="1">
      <c r="A13" s="3094" t="s">
        <v>1030</v>
      </c>
      <c r="B13" s="3094"/>
      <c r="C13" s="3094"/>
      <c r="D13" s="3095">
        <f>IF('数据-取费表'!E3="否",结果表!D130,'结果表 (1修多)'!D134)</f>
        <v>0</v>
      </c>
      <c r="E13" s="3095"/>
      <c r="F13" s="3095"/>
      <c r="G13" s="3095"/>
      <c r="H13" s="3095"/>
      <c r="I13" s="3095"/>
    </row>
    <row r="14" spans="1:9" ht="14.4" thickTop="1">
      <c r="A14" s="3096" t="str">
        <f>IF('数据-取费表'!E3="否",结果表!A131,'结果表 (1修多)'!A135)</f>
        <v>单位：平方米、元、元/平方米（币种：人民币）</v>
      </c>
      <c r="B14" s="3096"/>
      <c r="C14" s="3096"/>
      <c r="D14" s="3096"/>
      <c r="E14" s="3096"/>
      <c r="F14" s="3096"/>
      <c r="G14" s="3096"/>
      <c r="H14" s="3096"/>
      <c r="I14" s="3096"/>
    </row>
    <row r="16" spans="1:9" ht="17.399999999999999">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101" t="s">
        <v>1043</v>
      </c>
      <c r="B1" s="3101"/>
      <c r="C1" s="3101"/>
      <c r="D1" s="3101"/>
    </row>
    <row r="2" spans="1:4" ht="17.399999999999999">
      <c r="A2" s="3100" t="s">
        <v>1032</v>
      </c>
      <c r="B2" s="3100"/>
      <c r="C2" s="3100"/>
      <c r="D2" s="3100"/>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100" t="s">
        <v>1037</v>
      </c>
      <c r="B7" s="3100"/>
      <c r="C7" s="3100"/>
      <c r="D7" s="3100"/>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7" t="s">
        <v>2495</v>
      </c>
      <c r="B12" s="3099"/>
      <c r="C12" s="3099"/>
      <c r="D12" s="3099"/>
    </row>
    <row r="13" spans="1:4" ht="15.6">
      <c r="A13" s="30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9"/>
      <c r="C13" s="3099"/>
      <c r="D13" s="3099"/>
    </row>
    <row r="14" spans="1:4" ht="30" customHeight="1">
      <c r="A14" s="30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9"/>
      <c r="C14" s="3099"/>
      <c r="D14" s="3099"/>
    </row>
    <row r="15" spans="1:4" ht="15.75" customHeight="1">
      <c r="A15" s="3097" t="str">
        <f>IF(项目基本情况!D4="抵押","4.本次评估估价师所知悉的法定优先受偿款情况说明如下：","——")</f>
        <v>4.本次评估估价师所知悉的法定优先受偿款情况说明如下：</v>
      </c>
      <c r="B15" s="3099"/>
      <c r="C15" s="3099"/>
      <c r="D15" s="3099"/>
    </row>
    <row r="16" spans="1:4" ht="75" customHeight="1">
      <c r="A16" s="30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7"/>
      <c r="C16" s="3097"/>
      <c r="D16" s="3097"/>
    </row>
    <row r="17" spans="1:4" ht="63.75" customHeight="1">
      <c r="A17" s="3098" t="s">
        <v>1045</v>
      </c>
      <c r="B17" s="3098"/>
      <c r="C17" s="3098"/>
      <c r="D17" s="3098"/>
    </row>
    <row r="18" spans="1:4" ht="15.75" customHeight="1">
      <c r="A18" s="3097" t="str">
        <f>IF(项目基本情况!D4="抵押",结果表!L106,"——")</f>
        <v>本次评估不存在估价师所知悉的法定优先受偿款。</v>
      </c>
      <c r="B18" s="3097"/>
      <c r="C18" s="3097"/>
      <c r="D18" s="3097"/>
    </row>
    <row r="19" spans="1:4" ht="46.5" customHeight="1">
      <c r="A19" s="30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15">
      <c r="A20" s="3098" t="s">
        <v>2496</v>
      </c>
      <c r="B20" s="3098"/>
      <c r="C20" s="3098"/>
      <c r="D20" s="3098"/>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44890</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f ca="1">IF(C8&lt;B2,"已过期",1419970001)</f>
        <v>1419970001</v>
      </c>
      <c r="C8" s="2751">
        <v>44899</v>
      </c>
      <c r="D8" s="2761" t="str">
        <f t="shared" ca="1" si="0"/>
        <v>吴薇（注册号：1419970001）</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2" t="s">
        <v>582</v>
      </c>
      <c r="B17" s="3102"/>
      <c r="C17" s="3102"/>
      <c r="D17" s="3102"/>
      <c r="E17" s="3102"/>
      <c r="F17" s="3102"/>
      <c r="G17" s="3102"/>
      <c r="H17" s="3102"/>
    </row>
    <row r="18" spans="1:8" ht="24" customHeight="1">
      <c r="A18" s="3103" t="s">
        <v>583</v>
      </c>
      <c r="B18" s="3103"/>
      <c r="C18" s="3103"/>
      <c r="D18" s="2750"/>
      <c r="E18" s="3104" t="s">
        <v>584</v>
      </c>
      <c r="F18" s="3103"/>
      <c r="G18" s="3103"/>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4" ht="14.4">
      <c r="A54" s="3105"/>
      <c r="B54" s="8" t="s">
        <v>1280</v>
      </c>
      <c r="C54" s="8" t="s">
        <v>1281</v>
      </c>
    </row>
    <row r="55" spans="1:4" ht="14.4">
      <c r="A55" s="3105"/>
      <c r="B55" s="8" t="s">
        <v>1282</v>
      </c>
      <c r="C55" s="8" t="s">
        <v>1283</v>
      </c>
    </row>
    <row r="56" spans="1:4" ht="14.4">
      <c r="A56" s="3105"/>
      <c r="B56" s="8" t="s">
        <v>1284</v>
      </c>
      <c r="C56" s="8" t="s">
        <v>1285</v>
      </c>
    </row>
    <row r="57" spans="1:4" ht="14.4">
      <c r="A57" s="3105"/>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N63"/>
  <sheetViews>
    <sheetView view="pageBreakPreview" zoomScale="115" zoomScaleNormal="100" zoomScaleSheetLayoutView="115" workbookViewId="0">
      <selection activeCell="E7" sqref="E7"/>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44883</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3029</v>
      </c>
      <c r="E4" s="746"/>
      <c r="F4" s="746"/>
      <c r="G4" s="1065"/>
    </row>
    <row r="5" spans="1:17" ht="24">
      <c r="A5" s="1282" t="s">
        <v>1295</v>
      </c>
      <c r="B5" s="1283" t="s">
        <v>2479</v>
      </c>
      <c r="C5" s="2604" t="s">
        <v>1296</v>
      </c>
      <c r="D5" s="1284" t="s">
        <v>3030</v>
      </c>
      <c r="E5" s="2605" t="s">
        <v>1297</v>
      </c>
      <c r="F5" s="1284" t="s">
        <v>3030</v>
      </c>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3031</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3090</v>
      </c>
      <c r="C7" s="1368" t="str">
        <f>IF(B7="自然人","姓名","名称")</f>
        <v>姓名</v>
      </c>
      <c r="D7" s="1289" t="s">
        <v>2479</v>
      </c>
      <c r="E7" s="747"/>
      <c r="F7" s="747"/>
      <c r="G7" s="1066"/>
    </row>
    <row r="8" spans="1:17" ht="13.8" thickTop="1">
      <c r="A8" s="3106" t="s">
        <v>1301</v>
      </c>
      <c r="B8" s="1290" t="s">
        <v>1302</v>
      </c>
      <c r="C8" s="3119"/>
      <c r="D8" s="3120"/>
      <c r="E8" s="2338" t="s">
        <v>1303</v>
      </c>
      <c r="F8" s="2339" t="s">
        <v>1304</v>
      </c>
      <c r="G8" s="2340" t="str">
        <f>C6</f>
        <v>XX</v>
      </c>
    </row>
    <row r="9" spans="1:17" ht="26.4">
      <c r="A9" s="3106"/>
      <c r="B9" s="255" t="s">
        <v>1305</v>
      </c>
      <c r="C9" s="1283"/>
      <c r="D9" s="1291" t="s">
        <v>3058</v>
      </c>
      <c r="E9" s="2608" t="s">
        <v>1306</v>
      </c>
      <c r="F9" s="2341"/>
      <c r="G9" s="2342"/>
    </row>
    <row r="10" spans="1:17" ht="13.8" thickBot="1">
      <c r="A10" s="3106"/>
      <c r="B10" s="255" t="s">
        <v>1307</v>
      </c>
      <c r="C10" s="3121"/>
      <c r="D10" s="3122"/>
      <c r="E10" s="2609" t="s">
        <v>1308</v>
      </c>
      <c r="F10" s="2343"/>
      <c r="G10" s="2344"/>
    </row>
    <row r="11" spans="1:17" ht="13.8" thickBot="1">
      <c r="A11" s="3106"/>
      <c r="B11" s="1293" t="s">
        <v>1309</v>
      </c>
      <c r="C11" s="3123"/>
      <c r="D11" s="3124"/>
      <c r="E11" s="723"/>
      <c r="F11" s="723"/>
      <c r="G11" s="752"/>
    </row>
    <row r="12" spans="1:17" ht="13.8" thickBot="1">
      <c r="A12" s="3110" t="s">
        <v>2586</v>
      </c>
      <c r="B12" s="2610" t="s">
        <v>1310</v>
      </c>
      <c r="C12" s="731">
        <f>Sheet1!$G$12</f>
        <v>440.01</v>
      </c>
      <c r="D12" s="1294" t="s">
        <v>1311</v>
      </c>
      <c r="E12" s="1295"/>
      <c r="F12" s="1296"/>
      <c r="G12" s="752"/>
    </row>
    <row r="13" spans="1:17" ht="21" customHeight="1" thickBot="1">
      <c r="A13" s="3111"/>
      <c r="B13" s="2611" t="s">
        <v>1312</v>
      </c>
      <c r="C13" s="732"/>
      <c r="D13" s="1297" t="s">
        <v>1313</v>
      </c>
      <c r="E13" s="1298"/>
      <c r="F13" s="723"/>
      <c r="G13" s="752"/>
      <c r="I13" s="3129"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29"/>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29"/>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25" t="s">
        <v>1320</v>
      </c>
      <c r="C17" s="3126"/>
      <c r="D17" s="3127" t="s">
        <v>1321</v>
      </c>
      <c r="E17" s="3128"/>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38" t="s">
        <v>2585</v>
      </c>
      <c r="B24" s="3138"/>
      <c r="C24" s="3138"/>
      <c r="D24" s="3138"/>
      <c r="E24" s="3138"/>
      <c r="F24" s="3138"/>
      <c r="G24" s="3138"/>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13" t="s">
        <v>1334</v>
      </c>
      <c r="D28" s="3114"/>
      <c r="E28" s="724"/>
      <c r="F28" s="726" t="s">
        <v>1334</v>
      </c>
      <c r="G28" s="724"/>
      <c r="K28" s="2614"/>
    </row>
    <row r="29" spans="1:66">
      <c r="A29" s="727" t="s">
        <v>1335</v>
      </c>
      <c r="B29" s="721"/>
      <c r="C29" s="3115" t="s">
        <v>1336</v>
      </c>
      <c r="D29" s="3116"/>
      <c r="E29" s="721"/>
      <c r="F29" s="727" t="s">
        <v>1336</v>
      </c>
      <c r="G29" s="721"/>
      <c r="K29" s="2614"/>
    </row>
    <row r="30" spans="1:66">
      <c r="A30" s="727" t="s">
        <v>1337</v>
      </c>
      <c r="B30" s="721"/>
      <c r="C30" s="3115" t="s">
        <v>1337</v>
      </c>
      <c r="D30" s="3116"/>
      <c r="E30" s="721"/>
      <c r="F30" s="727" t="s">
        <v>1338</v>
      </c>
      <c r="G30" s="721"/>
      <c r="K30" s="2614"/>
    </row>
    <row r="31" spans="1:66">
      <c r="A31" s="727" t="s">
        <v>1339</v>
      </c>
      <c r="B31" s="721"/>
      <c r="C31" s="3135" t="s">
        <v>1340</v>
      </c>
      <c r="D31" s="723"/>
      <c r="E31" s="2361" t="str">
        <f>E32&amp;" "&amp;E33&amp;" "&amp;E34&amp;" "&amp;E35</f>
        <v xml:space="preserve">   </v>
      </c>
      <c r="F31" s="727" t="s">
        <v>1341</v>
      </c>
      <c r="G31" s="721"/>
    </row>
    <row r="32" spans="1:66">
      <c r="A32" s="727" t="s">
        <v>1342</v>
      </c>
      <c r="B32" s="721"/>
      <c r="C32" s="3136"/>
      <c r="D32" s="255" t="s">
        <v>1343</v>
      </c>
      <c r="E32" s="721"/>
      <c r="F32" s="727" t="s">
        <v>1344</v>
      </c>
      <c r="G32" s="721"/>
    </row>
    <row r="33" spans="1:7" ht="24.6" thickBot="1">
      <c r="A33" s="728" t="s">
        <v>1345</v>
      </c>
      <c r="B33" s="725"/>
      <c r="C33" s="3136"/>
      <c r="D33" s="255" t="s">
        <v>1346</v>
      </c>
      <c r="E33" s="721"/>
      <c r="F33" s="727" t="s">
        <v>1347</v>
      </c>
      <c r="G33" s="721"/>
    </row>
    <row r="34" spans="1:7">
      <c r="A34" s="726" t="s">
        <v>1348</v>
      </c>
      <c r="B34" s="724"/>
      <c r="C34" s="3136"/>
      <c r="D34" s="255" t="s">
        <v>1349</v>
      </c>
      <c r="E34" s="721"/>
      <c r="F34" s="727" t="s">
        <v>1350</v>
      </c>
      <c r="G34" s="721"/>
    </row>
    <row r="35" spans="1:7" ht="13.8" thickBot="1">
      <c r="A35" s="727" t="s">
        <v>1351</v>
      </c>
      <c r="B35" s="721"/>
      <c r="C35" s="3137"/>
      <c r="D35" s="255" t="s">
        <v>1352</v>
      </c>
      <c r="E35" s="721"/>
      <c r="F35" s="728" t="s">
        <v>1353</v>
      </c>
      <c r="G35" s="2362"/>
    </row>
    <row r="36" spans="1:7">
      <c r="A36" s="727" t="s">
        <v>1310</v>
      </c>
      <c r="B36" s="721"/>
      <c r="C36" s="3115" t="s">
        <v>1354</v>
      </c>
      <c r="D36" s="3116"/>
      <c r="E36" s="721"/>
      <c r="F36" s="2363" t="s">
        <v>1355</v>
      </c>
      <c r="G36" s="724"/>
    </row>
    <row r="37" spans="1:7" ht="24.6" thickBot="1">
      <c r="A37" s="727" t="s">
        <v>1356</v>
      </c>
      <c r="B37" s="721"/>
      <c r="C37" s="3117" t="s">
        <v>1357</v>
      </c>
      <c r="D37" s="3118"/>
      <c r="E37" s="725"/>
      <c r="F37" s="1313" t="s">
        <v>1358</v>
      </c>
      <c r="G37" s="721"/>
    </row>
    <row r="38" spans="1:7" ht="13.8" thickBot="1">
      <c r="A38" s="727" t="s">
        <v>1359</v>
      </c>
      <c r="B38" s="721"/>
      <c r="C38" s="3107" t="s">
        <v>1360</v>
      </c>
      <c r="D38" s="1294" t="s">
        <v>1344</v>
      </c>
      <c r="E38" s="724"/>
      <c r="F38" s="728" t="s">
        <v>1361</v>
      </c>
      <c r="G38" s="725"/>
    </row>
    <row r="39" spans="1:7">
      <c r="A39" s="727" t="s">
        <v>1362</v>
      </c>
      <c r="B39" s="721"/>
      <c r="C39" s="3108"/>
      <c r="D39" s="255" t="s">
        <v>1351</v>
      </c>
      <c r="E39" s="721"/>
      <c r="F39" s="726" t="s">
        <v>1363</v>
      </c>
      <c r="G39" s="724"/>
    </row>
    <row r="40" spans="1:7">
      <c r="A40" s="727" t="s">
        <v>1364</v>
      </c>
      <c r="B40" s="721"/>
      <c r="C40" s="3108" t="s">
        <v>1365</v>
      </c>
      <c r="D40" s="255" t="s">
        <v>1310</v>
      </c>
      <c r="E40" s="721"/>
      <c r="F40" s="727" t="s">
        <v>1366</v>
      </c>
      <c r="G40" s="721"/>
    </row>
    <row r="41" spans="1:7" ht="24.75" customHeight="1" thickBot="1">
      <c r="A41" s="728" t="s">
        <v>1367</v>
      </c>
      <c r="B41" s="725"/>
      <c r="C41" s="3109"/>
      <c r="D41" s="1297" t="s">
        <v>1312</v>
      </c>
      <c r="E41" s="725"/>
      <c r="F41" s="728" t="s">
        <v>1368</v>
      </c>
      <c r="G41" s="725"/>
    </row>
    <row r="42" spans="1:7" ht="24">
      <c r="A42" s="729" t="s">
        <v>1369</v>
      </c>
      <c r="B42" s="2364"/>
      <c r="C42" s="3130" t="s">
        <v>1369</v>
      </c>
      <c r="D42" s="3131"/>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32" t="s">
        <v>1372</v>
      </c>
      <c r="D49" s="3133"/>
      <c r="E49" s="742"/>
      <c r="F49" s="728" t="s">
        <v>1373</v>
      </c>
      <c r="G49" s="725"/>
    </row>
    <row r="50" spans="1:66">
      <c r="A50" s="727" t="s">
        <v>1374</v>
      </c>
      <c r="B50" s="741"/>
      <c r="C50" s="3107" t="s">
        <v>1375</v>
      </c>
      <c r="D50" s="3134"/>
      <c r="E50" s="2366"/>
      <c r="F50" s="758"/>
      <c r="G50" s="759"/>
    </row>
    <row r="51" spans="1:66" ht="13.8" thickBot="1">
      <c r="A51" s="727" t="s">
        <v>1376</v>
      </c>
      <c r="B51" s="741"/>
      <c r="C51" s="3109" t="s">
        <v>1377</v>
      </c>
      <c r="D51" s="3112"/>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800-000000000000}">
      <formula1>"自然人,企业"</formula1>
    </dataValidation>
    <dataValidation type="list" allowBlank="1" showInputMessage="1" showErrorMessage="1" sqref="B6" xr:uid="{00000000-0002-0000-0800-000001000000}">
      <formula1>"北京市,其他："</formula1>
    </dataValidation>
    <dataValidation type="list" allowBlank="1" showInputMessage="1" showErrorMessage="1" sqref="F9" xr:uid="{00000000-0002-0000-0800-000002000000}">
      <formula1>土地级别</formula1>
    </dataValidation>
    <dataValidation type="list" allowBlank="1" showInputMessage="1" showErrorMessage="1" sqref="F10" xr:uid="{00000000-0002-0000-0800-000003000000}">
      <formula1>INDIRECT($F$9)</formula1>
    </dataValidation>
    <dataValidation type="list" allowBlank="1" showInputMessage="1" showErrorMessage="1" sqref="E12" xr:uid="{00000000-0002-0000-0800-000004000000}">
      <formula1>"房屋所有权证,不动产权证书"</formula1>
    </dataValidation>
    <dataValidation type="list" allowBlank="1" showInputMessage="1" showErrorMessage="1" sqref="E13" xr:uid="{00000000-0002-0000-0800-000005000000}">
      <formula1>"国有土地使用证,不动产权证书,无"</formula1>
    </dataValidation>
    <dataValidation type="list" allowBlank="1" showInputMessage="1" showErrorMessage="1" sqref="D4" xr:uid="{00000000-0002-0000-0800-000006000000}">
      <formula1>"抵押,核定资产"</formula1>
    </dataValidation>
    <dataValidation type="list" allowBlank="1" showInputMessage="1" showErrorMessage="1" sqref="D5" xr:uid="{00000000-0002-0000-0800-000007000000}">
      <formula1>"房地产抵押价值,房地产市场价值"</formula1>
    </dataValidation>
    <dataValidation type="list" showInputMessage="1" showErrorMessage="1" sqref="D9" xr:uid="{00000000-0002-0000-0800-000008000000}">
      <formula1>"与房产证证载一致,与房产证证载不一致"</formula1>
    </dataValidation>
    <dataValidation type="list" allowBlank="1" showInputMessage="1" showErrorMessage="1" sqref="F5" xr:uid="{00000000-0002-0000-0800-000009000000}">
      <formula1>价值类型2</formula1>
    </dataValidation>
    <dataValidation type="list" allowBlank="1" showInputMessage="1" showErrorMessage="1" sqref="G5" xr:uid="{00000000-0002-0000-0800-00000A000000}">
      <formula1>"抵押净值,——"</formula1>
    </dataValidation>
    <dataValidation type="list" allowBlank="1" showInputMessage="1" showErrorMessage="1" sqref="B27 E27 G27" xr:uid="{00000000-0002-0000-0800-00000B000000}">
      <formula1>"已核对原件,未核对原件,——"</formula1>
    </dataValidation>
    <dataValidation type="list" allowBlank="1" showInputMessage="1" showErrorMessage="1" sqref="G42:G43 E42:E43 B42" xr:uid="{00000000-0002-0000-0800-00000C000000}">
      <formula1>"有,无,——"</formula1>
    </dataValidation>
    <dataValidation type="list" allowBlank="1" showInputMessage="1" showErrorMessage="1" sqref="B43" xr:uid="{00000000-0002-0000-0800-00000D000000}">
      <formula1>"原件,复印件"</formula1>
    </dataValidation>
    <dataValidation type="list" allowBlank="1" showInputMessage="1" showErrorMessage="1" sqref="B3 D3" xr:uid="{00000000-0002-0000-0800-00000E000000}">
      <formula1>注册房地产估价师</formula1>
    </dataValidation>
    <dataValidation type="list" allowBlank="1" showInputMessage="1" showErrorMessage="1" sqref="C18:C19 E18" xr:uid="{00000000-0002-0000-0800-00000F000000}">
      <formula1>"原件,复印件,——"</formula1>
    </dataValidation>
    <dataValidation type="list" allowBlank="1" showInputMessage="1" showErrorMessage="1" sqref="E16 C16 G16" xr:uid="{00000000-0002-0000-0800-000010000000}">
      <formula1>判定</formula1>
    </dataValidation>
    <dataValidation type="list" allowBlank="1" showInputMessage="1" showErrorMessage="1" sqref="B18:B19" xr:uid="{00000000-0002-0000-0800-000011000000}">
      <formula1>"《房屋所有权证》,《国有土地使用证》,《不动产权证书》,——"</formula1>
    </dataValidation>
    <dataValidation type="list" allowBlank="1" showInputMessage="1" showErrorMessage="1" sqref="F12" xr:uid="{00000000-0002-0000-08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估价师及机构信息</vt:lpstr>
      <vt:lpstr>定义</vt:lpstr>
      <vt:lpstr>项目基本情况</vt:lpstr>
      <vt:lpstr>抵押物清单（分楼）</vt:lpstr>
      <vt:lpstr>使用说明</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2022-11-25T05:30:05Z</dcterms:modified>
</cp:coreProperties>
</file>